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S:\TELECOMS\STOCKS\EMEA\Africa\Axian\Models\"/>
    </mc:Choice>
  </mc:AlternateContent>
  <xr:revisionPtr revIDLastSave="0" documentId="13_ncr:1_{945F9BD5-4825-4090-86C7-4A158EC91424}" xr6:coauthVersionLast="47" xr6:coauthVersionMax="47" xr10:uidLastSave="{00000000-0000-0000-0000-000000000000}"/>
  <bookViews>
    <workbookView xWindow="-90" yWindow="-21720" windowWidth="38640" windowHeight="21120" xr2:uid="{225A3465-29B2-44A7-9588-A177839A89D9}"/>
  </bookViews>
  <sheets>
    <sheet name="Cover" sheetId="7" r:id="rId1"/>
    <sheet name="Valuation" sheetId="1" r:id="rId2"/>
    <sheet name="Revenue" sheetId="2" r:id="rId3"/>
    <sheet name="Income statment" sheetId="4" r:id="rId4"/>
    <sheet name="Capex" sheetId="8" r:id="rId5"/>
    <sheet name="BS and debt" sheetId="10" r:id="rId6"/>
    <sheet name="Cash flow" sheetId="5" r:id="rId7"/>
    <sheet name="Analysis" sheetId="11" r:id="rId8"/>
    <sheet name="Interims" sheetId="12" r:id="rId9"/>
    <sheet name="Bond pricing" sheetId="13" r:id="rId10"/>
    <sheet name="Anna" sheetId="14" r:id="rId11"/>
  </sheets>
  <externalReferences>
    <externalReference r:id="rId12"/>
  </externalReferences>
  <definedNames>
    <definedName name="___">#REF!</definedName>
    <definedName name="__FDS_HYPERLINK_TOGGLE_STATE__" hidden="1">"ON"</definedName>
    <definedName name="_1_0Market">#REF!</definedName>
    <definedName name="_1993A">#REF!</definedName>
    <definedName name="_1994A">#REF!</definedName>
    <definedName name="_1995">#REF!</definedName>
    <definedName name="_1995A">#REF!</definedName>
    <definedName name="_1996">#REF!</definedName>
    <definedName name="_1996A">#REF!</definedName>
    <definedName name="_1997">#REF!</definedName>
    <definedName name="_1997A">#REF!</definedName>
    <definedName name="_1998">#REF!</definedName>
    <definedName name="_1998E">#REF!</definedName>
    <definedName name="_1999">#REF!</definedName>
    <definedName name="_1999E">#REF!</definedName>
    <definedName name="_2000">#REF!</definedName>
    <definedName name="_2000E">#REF!</definedName>
    <definedName name="_2001">#REF!</definedName>
    <definedName name="_2001E">#REF!</definedName>
    <definedName name="_2002">#REF!</definedName>
    <definedName name="_2002E">#REF!</definedName>
    <definedName name="_2003E">#REF!</definedName>
    <definedName name="_2004E">#REF!</definedName>
    <definedName name="_2005E">#REF!</definedName>
    <definedName name="_2B_0Working_pr">#REF!</definedName>
    <definedName name="_3D_0Working_l">#REF!</definedName>
    <definedName name="_Key1" hidden="1">#REF!</definedName>
    <definedName name="_Order1" hidden="1">255</definedName>
    <definedName name="_Sort" hidden="1">#REF!</definedName>
    <definedName name="_UP">#REF!</definedName>
    <definedName name="_yr1996">#REF!</definedName>
    <definedName name="anscount" hidden="1">1</definedName>
    <definedName name="aRG">#REF!</definedName>
    <definedName name="assoc">#REF!</definedName>
    <definedName name="Belgium_Belgacom_fixed_export">#REF!</definedName>
    <definedName name="Belgium_Belgacom_mobile_export">#REF!</definedName>
    <definedName name="bondcos">#REF!</definedName>
    <definedName name="bondcost">#REF!</definedName>
    <definedName name="bsminority">#REF!</definedName>
    <definedName name="BT_Att">#REF!</definedName>
    <definedName name="BT_BSMins">#REF!</definedName>
    <definedName name="BT_CFPS">#REF!</definedName>
    <definedName name="BT_CFPS_fd">#REF!</definedName>
    <definedName name="BT_DPS">#REF!</definedName>
    <definedName name="BT_DtoE">#REF!</definedName>
    <definedName name="BT_EBITDA">#REF!</definedName>
    <definedName name="BT_EPS_fd">#REF!</definedName>
    <definedName name="BT_FA">#REF!</definedName>
    <definedName name="BT_Min">#REF!</definedName>
    <definedName name="BT_Minorities">#REF!</definedName>
    <definedName name="BT_Mins">#REF!</definedName>
    <definedName name="BT_NAV">#REF!</definedName>
    <definedName name="BT_NDebt">#REF!</definedName>
    <definedName name="BT_netdebt">#REF!</definedName>
    <definedName name="BT_Provs">#REF!</definedName>
    <definedName name="BT_R">#REF!</definedName>
    <definedName name="BT_Rec">#REF!</definedName>
    <definedName name="BT_ROCE">#REF!</definedName>
    <definedName name="BT_ROE">#REF!</definedName>
    <definedName name="BT_Sales">#REF!</definedName>
    <definedName name="BT_Shf">#REF!</definedName>
    <definedName name="BT_Shissued">#REF!</definedName>
    <definedName name="BT_UK_export">#REF!</definedName>
    <definedName name="BT_UP">#REF!</definedName>
    <definedName name="Capital_Employed">#REF!</definedName>
    <definedName name="cash">#REF!</definedName>
    <definedName name="casheps">#REF!</definedName>
    <definedName name="changend">#REF!</definedName>
    <definedName name="Chile">#REF!</definedName>
    <definedName name="Core_old__BT_cap_ex">#REF!</definedName>
    <definedName name="corecapex">#REF!</definedName>
    <definedName name="CPE">#REF!</definedName>
    <definedName name="creditors">#REF!</definedName>
    <definedName name="cueps">#REF!</definedName>
    <definedName name="DB">"WIREUK"</definedName>
    <definedName name="DCF_Valuation">#REF!</definedName>
    <definedName name="debtors">#REF!</definedName>
    <definedName name="depre">#REF!</definedName>
    <definedName name="depreciation">#REF!</definedName>
    <definedName name="disposals">#REF!</definedName>
    <definedName name="divpaid">#REF!</definedName>
    <definedName name="dps">#REF!</definedName>
    <definedName name="eps">#REF!</definedName>
    <definedName name="F.1981.03">#REF!</definedName>
    <definedName name="F.1982.03">#REF!</definedName>
    <definedName name="F.1983.03">#REF!</definedName>
    <definedName name="F.1984.03">#REF!</definedName>
    <definedName name="F.1985.03">#REF!</definedName>
    <definedName name="F.1986.03">#REF!</definedName>
    <definedName name="F.1987.03">#REF!</definedName>
    <definedName name="F.1988.03">#REF!</definedName>
    <definedName name="F.1989.03">#REF!</definedName>
    <definedName name="F.1990.03">#REF!</definedName>
    <definedName name="F.1991.03">#REF!</definedName>
    <definedName name="F.1992.03">#REF!</definedName>
    <definedName name="F.1993.03">#REF!</definedName>
    <definedName name="F.1994.03">#REF!</definedName>
    <definedName name="F.1995.03">#REF!</definedName>
    <definedName name="F.1998.03">#REF!</definedName>
    <definedName name="fcf">#REF!</definedName>
    <definedName name="France_Telecom">#REF!</definedName>
    <definedName name="France_Telecom_Belgium_mobile_interconnect_receipts">#REF!</definedName>
    <definedName name="France_Telecom_Belgium_mobile_interconnect_receipts_from_fixed_operators">#REF!</definedName>
    <definedName name="France_Telecom_Belgium_mobile_interconnect_receipts_from_mobile_operators">#REF!</definedName>
    <definedName name="France_Telecom_Belgium_mobile_other_revenue">#REF!</definedName>
    <definedName name="France_Telecom_Belgium_mobile_retail_and_wholesale_services_revenue">#REF!</definedName>
    <definedName name="France_Telecom_Belgium_mobile_retail_revenue">#REF!</definedName>
    <definedName name="France_Telecom_Belgium_mobile_retail_subscribers">#REF!</definedName>
    <definedName name="France_Telecom_Belgium_mobile_revenue">#REF!</definedName>
    <definedName name="France_Telecom_Belgium_mobile_wholesale_revenue">#REF!</definedName>
    <definedName name="France_Telecom_Belgium_mobile_wholesale_subscribers">#REF!</definedName>
    <definedName name="France_Telecom_Denmark_mobile_interconnect_receipts">#REF!</definedName>
    <definedName name="France_Telecom_Denmark_mobile_interconnect_receipts_from_fixed_operators">#REF!</definedName>
    <definedName name="France_Telecom_Denmark_mobile_interconnect_receipts_from_mobile_operators">#REF!</definedName>
    <definedName name="France_Telecom_Denmark_mobile_other_revenue">#REF!</definedName>
    <definedName name="France_Telecom_Denmark_mobile_retail_and_wholesale_services_revenue">#REF!</definedName>
    <definedName name="France_Telecom_Denmark_mobile_retail_revenue">#REF!</definedName>
    <definedName name="France_Telecom_Denmark_mobile_retail_subscribers">#REF!</definedName>
    <definedName name="France_Telecom_Denmark_mobile_revenue">#REF!</definedName>
    <definedName name="France_Telecom_Denmark_mobile_wholesale_revenue">#REF!</definedName>
    <definedName name="France_Telecom_Denmark_mobile_wholesale_subscribers">#REF!</definedName>
    <definedName name="France_Telecom_Egypt_mobile_interconnect_receipts">#REF!</definedName>
    <definedName name="France_Telecom_Egypt_mobile_interconnect_receipts_from_fixed_operators">#REF!</definedName>
    <definedName name="France_Telecom_Egypt_mobile_interconnect_receipts_from_mobile_operators">#REF!</definedName>
    <definedName name="France_Telecom_Egypt_mobile_other_revenue">#REF!</definedName>
    <definedName name="France_Telecom_Egypt_mobile_retail_and_wholesale_services_revenue">#REF!</definedName>
    <definedName name="France_Telecom_Egypt_mobile_retail_revenue">#REF!</definedName>
    <definedName name="France_Telecom_Egypt_mobile_retail_subscribers">#REF!</definedName>
    <definedName name="France_Telecom_Egypt_mobile_revenue">#REF!</definedName>
    <definedName name="France_Telecom_Egypt_mobile_wholesale_revenue">#REF!</definedName>
    <definedName name="France_Telecom_Egypt_mobile_wholesale_subscribers">#REF!</definedName>
    <definedName name="France_Telecom_France_fixed_broadband_revenue__business">#REF!</definedName>
    <definedName name="France_Telecom_France_fixed_broadband_revenue__residential">#REF!</definedName>
    <definedName name="France_Telecom_France_fixed_broadband_revenue__residential___business">#REF!</definedName>
    <definedName name="France_Telecom_France_fixed_interconnect_receipts">#REF!</definedName>
    <definedName name="France_Telecom_France_fixed_interconnect_receipts_from_fixed_operators">#REF!</definedName>
    <definedName name="France_Telecom_France_fixed_interconnect_receipts_from_mobile_operators">#REF!</definedName>
    <definedName name="France_Telecom_France_fixed_other_revenue">#REF!</definedName>
    <definedName name="France_Telecom_France_fixed_retail_and_wholesale_services_revenue">#REF!</definedName>
    <definedName name="France_Telecom_France_fixed_retail_broadband_business_sites">#REF!</definedName>
    <definedName name="France_Telecom_France_fixed_retail_broadband_homes">#REF!</definedName>
    <definedName name="France_Telecom_France_fixed_retail_broadband_sites__homes_and_businesses">#REF!</definedName>
    <definedName name="France_Telecom_France_fixed_retail_business_sites">#REF!</definedName>
    <definedName name="France_Telecom_France_fixed_retail_homes">#REF!</definedName>
    <definedName name="France_Telecom_France_fixed_retail_lines__business">#REF!</definedName>
    <definedName name="France_Telecom_France_fixed_retail_lines__ISDN">#REF!</definedName>
    <definedName name="France_Telecom_France_fixed_retail_lines__PSTN">#REF!</definedName>
    <definedName name="France_Telecom_France_fixed_retail_lines__PSTN___ISDN">#REF!</definedName>
    <definedName name="France_Telecom_France_fixed_retail_lines__residential">#REF!</definedName>
    <definedName name="France_Telecom_France_fixed_retail_lines__residential___business">#REF!</definedName>
    <definedName name="France_Telecom_France_fixed_retail_revenue__business">#REF!</definedName>
    <definedName name="France_Telecom_France_fixed_retail_revenue__residential">#REF!</definedName>
    <definedName name="France_Telecom_France_fixed_retail_revenue__residential___business">#REF!</definedName>
    <definedName name="France_Telecom_France_fixed_revenue">#REF!</definedName>
    <definedName name="France_Telecom_France_fixed_wholesale_and_interconnect_services_revenue">#REF!</definedName>
    <definedName name="France_Telecom_France_fixed_wholesale_broadband_business_sites">#REF!</definedName>
    <definedName name="France_Telecom_France_fixed_wholesale_broadband_homes">#REF!</definedName>
    <definedName name="France_Telecom_France_fixed_wholesale_broadband_sites__homes_and_businesses">#REF!</definedName>
    <definedName name="France_Telecom_France_fixed_wholesale_business_sites">#REF!</definedName>
    <definedName name="France_Telecom_France_fixed_wholesale_homes">#REF!</definedName>
    <definedName name="France_Telecom_France_fixed_wholesale_lines__business">#REF!</definedName>
    <definedName name="France_Telecom_France_fixed_wholesale_lines__ISDN">#REF!</definedName>
    <definedName name="France_Telecom_France_fixed_wholesale_lines__PSTN">#REF!</definedName>
    <definedName name="France_Telecom_France_fixed_wholesale_lines__PSTN___ISDN">#REF!</definedName>
    <definedName name="France_Telecom_France_fixed_wholesale_lines__residential">#REF!</definedName>
    <definedName name="France_Telecom_France_fixed_wholesale_lines__residential___business">#REF!</definedName>
    <definedName name="France_Telecom_France_fixed_wholesale_revenue">#REF!</definedName>
    <definedName name="France_Telecom_France_mobile_interconnect_receipts">#REF!</definedName>
    <definedName name="France_Telecom_France_mobile_interconnect_receipts_from_fixed_operators">#REF!</definedName>
    <definedName name="France_Telecom_France_mobile_interconnect_receipts_from_mobile_operators">#REF!</definedName>
    <definedName name="France_Telecom_France_mobile_other_revenue">#REF!</definedName>
    <definedName name="France_Telecom_France_mobile_retail_and_wholesale_services_revenue">#REF!</definedName>
    <definedName name="France_Telecom_France_mobile_retail_revenue">#REF!</definedName>
    <definedName name="France_Telecom_France_mobile_retail_subscribers">#REF!</definedName>
    <definedName name="France_Telecom_France_mobile_revenue">#REF!</definedName>
    <definedName name="France_Telecom_France_mobile_wholesale_revenue">#REF!</definedName>
    <definedName name="France_Telecom_France_mobile_wholesale_subscribers">#REF!</definedName>
    <definedName name="France_Telecom_Netherlands_mobile_interconnect_receipts">#REF!</definedName>
    <definedName name="France_Telecom_Netherlands_mobile_interconnect_receipts_from_fixed_operators">#REF!</definedName>
    <definedName name="France_Telecom_Netherlands_mobile_interconnect_receipts_from_mobile_operators">#REF!</definedName>
    <definedName name="France_Telecom_Netherlands_mobile_other_revenue">#REF!</definedName>
    <definedName name="France_Telecom_Netherlands_mobile_retail_and_wholesale_services_revenue">#REF!</definedName>
    <definedName name="France_Telecom_Netherlands_mobile_retail_revenue">#REF!</definedName>
    <definedName name="France_Telecom_Netherlands_mobile_retail_subscribers">#REF!</definedName>
    <definedName name="France_Telecom_Netherlands_mobile_revenue">#REF!</definedName>
    <definedName name="France_Telecom_Netherlands_mobile_wholesale_revenue">#REF!</definedName>
    <definedName name="France_Telecom_Netherlands_mobile_wholesale_subscribers">#REF!</definedName>
    <definedName name="France_Telecom_Poland_fixed_broadband_revenue__business">#REF!</definedName>
    <definedName name="France_Telecom_Poland_fixed_broadband_revenue__residential">#REF!</definedName>
    <definedName name="France_Telecom_Poland_fixed_broadband_revenue__residential___business">#REF!</definedName>
    <definedName name="France_Telecom_Poland_fixed_interconnect_receipts">#REF!</definedName>
    <definedName name="France_Telecom_Poland_fixed_interconnect_receipts_from_fixed_operators">#REF!</definedName>
    <definedName name="France_Telecom_Poland_fixed_interconnect_receipts_from_mobile_operators">#REF!</definedName>
    <definedName name="France_Telecom_Poland_fixed_other_revenue">#REF!</definedName>
    <definedName name="France_Telecom_Poland_fixed_retail_and_wholesale_services_revenue">#REF!</definedName>
    <definedName name="France_Telecom_Poland_fixed_retail_broadband_business_sites">#REF!</definedName>
    <definedName name="France_Telecom_Poland_fixed_retail_broadband_homes">#REF!</definedName>
    <definedName name="France_Telecom_Poland_fixed_retail_broadband_sites__homes_and_businesses">#REF!</definedName>
    <definedName name="France_Telecom_Poland_fixed_retail_business_sites">#REF!</definedName>
    <definedName name="France_Telecom_Poland_fixed_retail_homes">#REF!</definedName>
    <definedName name="France_Telecom_Poland_fixed_retail_lines__business">#REF!</definedName>
    <definedName name="France_Telecom_Poland_fixed_retail_lines__ISDN">#REF!</definedName>
    <definedName name="France_Telecom_Poland_fixed_retail_lines__PSTN">#REF!</definedName>
    <definedName name="France_Telecom_Poland_fixed_retail_lines__PSTN___ISDN">#REF!</definedName>
    <definedName name="France_Telecom_Poland_fixed_retail_lines__residential">#REF!</definedName>
    <definedName name="France_Telecom_Poland_fixed_retail_lines__residential___business">#REF!</definedName>
    <definedName name="France_Telecom_Poland_fixed_retail_revenue__business">#REF!</definedName>
    <definedName name="France_Telecom_Poland_fixed_retail_revenue__residential">#REF!</definedName>
    <definedName name="France_Telecom_Poland_fixed_retail_revenue__residential___business">#REF!</definedName>
    <definedName name="France_Telecom_Poland_fixed_revenue">#REF!</definedName>
    <definedName name="France_Telecom_Poland_fixed_wholesale_and_interconnect_services_revenue">#REF!</definedName>
    <definedName name="France_Telecom_Poland_fixed_wholesale_broadband_business_sites">#REF!</definedName>
    <definedName name="France_Telecom_Poland_fixed_wholesale_broadband_homes">#REF!</definedName>
    <definedName name="France_Telecom_Poland_fixed_wholesale_broadband_sites__homes_and_businesses">#REF!</definedName>
    <definedName name="France_Telecom_Poland_fixed_wholesale_business_sites">#REF!</definedName>
    <definedName name="France_Telecom_Poland_fixed_wholesale_homes">#REF!</definedName>
    <definedName name="France_Telecom_Poland_fixed_wholesale_lines__business">#REF!</definedName>
    <definedName name="France_Telecom_Poland_fixed_wholesale_lines__ISDN">#REF!</definedName>
    <definedName name="France_Telecom_Poland_fixed_wholesale_lines__PSTN">#REF!</definedName>
    <definedName name="France_Telecom_Poland_fixed_wholesale_lines__PSTN___ISDN">#REF!</definedName>
    <definedName name="France_Telecom_Poland_fixed_wholesale_lines__residential">#REF!</definedName>
    <definedName name="France_Telecom_Poland_fixed_wholesale_lines__residential___business">#REF!</definedName>
    <definedName name="France_Telecom_Poland_fixed_wholesale_revenue">#REF!</definedName>
    <definedName name="France_Telecom_Poland_mobile_interconnect_receipts">#REF!</definedName>
    <definedName name="France_Telecom_Poland_mobile_interconnect_receipts_from_fixed_operators">#REF!</definedName>
    <definedName name="France_Telecom_Poland_mobile_interconnect_receipts_from_mobile_operators">#REF!</definedName>
    <definedName name="France_Telecom_Poland_mobile_other_revenue">#REF!</definedName>
    <definedName name="France_Telecom_Poland_mobile_retail_and_wholesale_services_revenue">#REF!</definedName>
    <definedName name="France_Telecom_Poland_mobile_retail_revenue">#REF!</definedName>
    <definedName name="France_Telecom_Poland_mobile_retail_subscribers">#REF!</definedName>
    <definedName name="France_Telecom_Poland_mobile_revenue">#REF!</definedName>
    <definedName name="France_Telecom_Poland_mobile_wholesale_revenue">#REF!</definedName>
    <definedName name="France_Telecom_Poland_mobile_wholesale_subscribers">#REF!</definedName>
    <definedName name="France_Telecom_Romania_mobile_interconnect_receipts">#REF!</definedName>
    <definedName name="France_Telecom_Romania_mobile_interconnect_receipts_from_fixed_operators">#REF!</definedName>
    <definedName name="France_Telecom_Romania_mobile_interconnect_receipts_from_mobile_operators">#REF!</definedName>
    <definedName name="France_Telecom_Romania_mobile_other_revenue">#REF!</definedName>
    <definedName name="France_Telecom_Romania_mobile_retail_and_wholesale_services_revenue">#REF!</definedName>
    <definedName name="France_Telecom_Romania_mobile_retail_revenue">#REF!</definedName>
    <definedName name="France_Telecom_Romania_mobile_retail_subscribers">#REF!</definedName>
    <definedName name="France_Telecom_Romania_mobile_revenue">#REF!</definedName>
    <definedName name="France_Telecom_Romania_mobile_wholesale_revenue">#REF!</definedName>
    <definedName name="France_Telecom_Romania_mobile_wholesale_subscribers">#REF!</definedName>
    <definedName name="France_Telecom_Slovakia_mobile_interconnect_receipts">#REF!</definedName>
    <definedName name="France_Telecom_Slovakia_mobile_interconnect_receipts_from_fixed_operators">#REF!</definedName>
    <definedName name="France_Telecom_Slovakia_mobile_interconnect_receipts_from_mobile_operators">#REF!</definedName>
    <definedName name="France_Telecom_Slovakia_mobile_other_revenue">#REF!</definedName>
    <definedName name="France_Telecom_Slovakia_mobile_retail_and_wholesale_services_revenue">#REF!</definedName>
    <definedName name="France_Telecom_Slovakia_mobile_retail_revenue">#REF!</definedName>
    <definedName name="France_Telecom_Slovakia_mobile_retail_subscribers">#REF!</definedName>
    <definedName name="France_Telecom_Slovakia_mobile_revenue">#REF!</definedName>
    <definedName name="France_Telecom_Slovakia_mobile_wholesale_revenue">#REF!</definedName>
    <definedName name="France_Telecom_Slovakia_mobile_wholesale_subscribers">#REF!</definedName>
    <definedName name="France_Telecom_Switzerland_mobile_interconnect_receipts">#REF!</definedName>
    <definedName name="France_Telecom_Switzerland_mobile_interconnect_receipts_from_fixed_operators">#REF!</definedName>
    <definedName name="France_Telecom_Switzerland_mobile_interconnect_receipts_from_mobile_operators">#REF!</definedName>
    <definedName name="France_Telecom_Switzerland_mobile_other_revenue">#REF!</definedName>
    <definedName name="France_Telecom_Switzerland_mobile_retail_and_wholesale_services_revenue">#REF!</definedName>
    <definedName name="France_Telecom_Switzerland_mobile_retail_revenue">#REF!</definedName>
    <definedName name="France_Telecom_Switzerland_mobile_retail_subscribers">#REF!</definedName>
    <definedName name="France_Telecom_Switzerland_mobile_revenue">#REF!</definedName>
    <definedName name="France_Telecom_Switzerland_mobile_wholesale_revenue">#REF!</definedName>
    <definedName name="France_Telecom_Switzerland_mobile_wholesale_subscribers">#REF!</definedName>
    <definedName name="France_TelecomFrancefixedretail_revenue__residential">#REF!</definedName>
    <definedName name="FT">#REF!</definedName>
    <definedName name="gdps">#REF!</definedName>
    <definedName name="I1.1989.09">#REF!</definedName>
    <definedName name="I1.1996.09">#REF!</definedName>
    <definedName name="inccred">#REF!</definedName>
    <definedName name="incpenprov">#REF!</definedName>
    <definedName name="increc">#REF!</definedName>
    <definedName name="incstock">#REF!</definedName>
    <definedName name="Intangible_Fixed_Assets">#REF!</definedName>
    <definedName name="InTC">#REF!</definedName>
    <definedName name="investments">#REF!</definedName>
    <definedName name="issmin">#REF!</definedName>
    <definedName name="issord">#REF!</definedName>
    <definedName name="ITC">#REF!</definedName>
    <definedName name="Leased">#REF!</definedName>
    <definedName name="limcount" hidden="1">1</definedName>
    <definedName name="Linerent">#REF!</definedName>
    <definedName name="Lines_per_100_pop">#REF!</definedName>
    <definedName name="ltd">#REF!</definedName>
    <definedName name="minority">#REF!</definedName>
    <definedName name="Mobile">#REF!</definedName>
    <definedName name="Net_Assets">#REF!</definedName>
    <definedName name="Net_Profit_SGW_Adjusted_">#REF!</definedName>
    <definedName name="netint">#REF!</definedName>
    <definedName name="netprofit">#REF!</definedName>
    <definedName name="ni_divs">#REF!</definedName>
    <definedName name="nidivs">#REF!</definedName>
    <definedName name="oldcueps">#REF!</definedName>
    <definedName name="oppro">#REF!</definedName>
    <definedName name="opprofit">#REF!</definedName>
    <definedName name="Oss">#REF!</definedName>
    <definedName name="Other_Long_Term_Liabilities">#REF!</definedName>
    <definedName name="Otherinc">#REF!</definedName>
    <definedName name="Otherop">#REF!</definedName>
    <definedName name="Otheropcf">#REF!</definedName>
    <definedName name="ownwork">#REF!</definedName>
    <definedName name="pbt">#REF!</definedName>
    <definedName name="Peru">#REF!</definedName>
    <definedName name="ProjectName">{"Client Name or Project Name"}</definedName>
    <definedName name="PT_Portugal_fixed_export">#REF!</definedName>
    <definedName name="PT_Portugal_mobile_export">#REF!</definedName>
    <definedName name="Purchase_of_tangible_fixed_assets">#REF!</definedName>
    <definedName name="purfai">#REF!</definedName>
    <definedName name="pursub">#REF!</definedName>
    <definedName name="purtfa">#REF!</definedName>
    <definedName name="Q1.1996.06">#REF!</definedName>
    <definedName name="Q2.1996.09">#REF!</definedName>
    <definedName name="Q3.1996.12">#REF!</definedName>
    <definedName name="Redundancy">#REF!</definedName>
    <definedName name="Revenue">#REF!</definedName>
    <definedName name="RevFixed_05">#REF!</definedName>
    <definedName name="salefa">#REF!</definedName>
    <definedName name="SecretArchiveNumber" hidden="1">1</definedName>
    <definedName name="sencount" hidden="1">1</definedName>
    <definedName name="sharecap">#REF!</definedName>
    <definedName name="Staff">#REF!</definedName>
    <definedName name="staffcosts">#REF!</definedName>
    <definedName name="std">#REF!</definedName>
    <definedName name="stocks">#REF!</definedName>
    <definedName name="Tangible_Fixed_Assets">#REF!</definedName>
    <definedName name="tax">#REF!</definedName>
    <definedName name="taxpaid">#REF!</definedName>
    <definedName name="telcopay">#REF!</definedName>
    <definedName name="Telesp">#REF!</definedName>
    <definedName name="Template.WIRE">"DBACCESS"</definedName>
    <definedName name="tfa">#REF!</definedName>
    <definedName name="Total_lines">#REF!</definedName>
    <definedName name="Trace">FALSE</definedName>
    <definedName name="UK_population__ms">#REF!</definedName>
    <definedName name="unadjusted">#REF!</definedName>
    <definedName name="UpgradeVersion">"v2.35"</definedName>
    <definedName name="Version.WIRE">1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  <definedName name="wrn.Vodafone._.printout." hidden="1">{"Groupannual",#N/A,FALSE,"Groupannual";"VodMann",#N/A,FALSE,"VodMann";"Data",#N/A,FALSE,"Data";"Group International",#N/A,FALSE,"Group International";"BellAir",#N/A,FALSE,"BellAir";"DCF sum of parts",#N/A,FALSE,"DCF sum of parts";"licences",#N/A,FALSE,"licences"}</definedName>
    <definedName name="Year_ending_March">#REF!</definedName>
    <definedName name="years">#REF!</definedName>
    <definedName name="Yello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9" i="13" l="1"/>
  <c r="E689" i="13"/>
  <c r="F688" i="13"/>
  <c r="E688" i="13"/>
  <c r="F687" i="13"/>
  <c r="E687" i="13"/>
  <c r="AJ122" i="14"/>
  <c r="AI122" i="14"/>
  <c r="AH122" i="14"/>
  <c r="AJ147" i="14"/>
  <c r="AI147" i="14"/>
  <c r="AH147" i="14"/>
  <c r="AG147" i="14"/>
  <c r="AF147" i="14"/>
  <c r="AE147" i="14"/>
  <c r="AD147" i="14"/>
  <c r="AC147" i="14"/>
  <c r="AB147" i="14"/>
  <c r="AA147" i="14"/>
  <c r="AJ146" i="14"/>
  <c r="AI146" i="14"/>
  <c r="AH146" i="14"/>
  <c r="AG146" i="14"/>
  <c r="AF146" i="14"/>
  <c r="AE146" i="14"/>
  <c r="AD146" i="14"/>
  <c r="AC146" i="14"/>
  <c r="AB146" i="14"/>
  <c r="AA146" i="14"/>
  <c r="AJ145" i="14"/>
  <c r="AI145" i="14"/>
  <c r="AH145" i="14"/>
  <c r="AG145" i="14"/>
  <c r="AF145" i="14"/>
  <c r="AE145" i="14"/>
  <c r="AD145" i="14"/>
  <c r="AC145" i="14"/>
  <c r="AB145" i="14"/>
  <c r="AA145" i="14"/>
  <c r="Z147" i="14"/>
  <c r="Z146" i="14"/>
  <c r="Z145" i="14"/>
  <c r="AJ138" i="14"/>
  <c r="AI138" i="14"/>
  <c r="AH138" i="14"/>
  <c r="AG138" i="14"/>
  <c r="AF138" i="14"/>
  <c r="AE138" i="14"/>
  <c r="AD138" i="14"/>
  <c r="AC138" i="14"/>
  <c r="AB138" i="14"/>
  <c r="AJ137" i="14"/>
  <c r="AI137" i="14"/>
  <c r="AH137" i="14"/>
  <c r="AG137" i="14"/>
  <c r="AF137" i="14"/>
  <c r="AE137" i="14"/>
  <c r="AD137" i="14"/>
  <c r="AC137" i="14"/>
  <c r="AB137" i="14"/>
  <c r="AJ136" i="14"/>
  <c r="AI136" i="14"/>
  <c r="AH136" i="14"/>
  <c r="AG136" i="14"/>
  <c r="AF136" i="14"/>
  <c r="AE136" i="14"/>
  <c r="AD136" i="14"/>
  <c r="AC136" i="14"/>
  <c r="AB136" i="14"/>
  <c r="AJ135" i="14"/>
  <c r="AI135" i="14"/>
  <c r="AH135" i="14"/>
  <c r="AG135" i="14"/>
  <c r="AF135" i="14"/>
  <c r="AE135" i="14"/>
  <c r="AD135" i="14"/>
  <c r="AC135" i="14"/>
  <c r="AB135" i="14"/>
  <c r="AJ134" i="14"/>
  <c r="AI134" i="14"/>
  <c r="AH134" i="14"/>
  <c r="AG134" i="14"/>
  <c r="AF134" i="14"/>
  <c r="AE134" i="14"/>
  <c r="AD134" i="14"/>
  <c r="AC134" i="14"/>
  <c r="AB134" i="14"/>
  <c r="AJ133" i="14"/>
  <c r="AI133" i="14"/>
  <c r="AH133" i="14"/>
  <c r="AG133" i="14"/>
  <c r="AF133" i="14"/>
  <c r="AE133" i="14"/>
  <c r="AD133" i="14"/>
  <c r="AC133" i="14"/>
  <c r="AB133" i="14"/>
  <c r="AJ132" i="14"/>
  <c r="AI132" i="14"/>
  <c r="AH132" i="14"/>
  <c r="AG132" i="14"/>
  <c r="AF132" i="14"/>
  <c r="AE132" i="14"/>
  <c r="AD132" i="14"/>
  <c r="AC132" i="14"/>
  <c r="AB132" i="14"/>
  <c r="AA138" i="14"/>
  <c r="AA137" i="14"/>
  <c r="AA136" i="14"/>
  <c r="AA135" i="14"/>
  <c r="AA134" i="14"/>
  <c r="AA133" i="14"/>
  <c r="C138" i="14"/>
  <c r="C137" i="14"/>
  <c r="C136" i="14"/>
  <c r="C135" i="14"/>
  <c r="C134" i="14"/>
  <c r="C133" i="14"/>
  <c r="AJ121" i="14"/>
  <c r="AI121" i="14"/>
  <c r="AH121" i="14"/>
  <c r="AG121" i="14"/>
  <c r="AF121" i="14"/>
  <c r="AE121" i="14"/>
  <c r="AD121" i="14"/>
  <c r="AC121" i="14"/>
  <c r="AB121" i="14"/>
  <c r="AA121" i="14"/>
  <c r="Z121" i="14"/>
  <c r="AJ15" i="14"/>
  <c r="AI15" i="14"/>
  <c r="AH15" i="14"/>
  <c r="AG15" i="14"/>
  <c r="AF15" i="14"/>
  <c r="AE15" i="14"/>
  <c r="AD15" i="14"/>
  <c r="AC15" i="14"/>
  <c r="AB15" i="14"/>
  <c r="AA15" i="14"/>
  <c r="Z15" i="14"/>
  <c r="AJ17" i="14"/>
  <c r="AI17" i="14"/>
  <c r="AH17" i="14"/>
  <c r="AG17" i="14"/>
  <c r="AF17" i="14"/>
  <c r="AE17" i="14"/>
  <c r="AD17" i="14"/>
  <c r="AC17" i="14"/>
  <c r="AB17" i="14"/>
  <c r="AA17" i="14"/>
  <c r="Z17" i="14"/>
  <c r="AJ33" i="14"/>
  <c r="AI33" i="14"/>
  <c r="AH33" i="14"/>
  <c r="AG33" i="14"/>
  <c r="AF33" i="14"/>
  <c r="AE33" i="14"/>
  <c r="AD33" i="14"/>
  <c r="AC33" i="14"/>
  <c r="AB33" i="14"/>
  <c r="AA33" i="14"/>
  <c r="Z33" i="14"/>
  <c r="D192" i="14"/>
  <c r="D191" i="14"/>
  <c r="D189" i="14"/>
  <c r="D188" i="14"/>
  <c r="D187" i="14"/>
  <c r="D186" i="14"/>
  <c r="D185" i="14"/>
  <c r="D182" i="14"/>
  <c r="D181" i="14"/>
  <c r="D179" i="14"/>
  <c r="D178" i="14"/>
  <c r="D177" i="14"/>
  <c r="D176" i="14"/>
  <c r="D175" i="14"/>
  <c r="D174" i="14"/>
  <c r="C175" i="14"/>
  <c r="C176" i="14"/>
  <c r="C177" i="14"/>
  <c r="C178" i="14"/>
  <c r="C179" i="14"/>
  <c r="C181" i="14"/>
  <c r="C182" i="14"/>
  <c r="C185" i="14"/>
  <c r="C186" i="14"/>
  <c r="C187" i="14"/>
  <c r="C188" i="14"/>
  <c r="C189" i="14"/>
  <c r="C191" i="14"/>
  <c r="C192" i="14"/>
  <c r="C174" i="14"/>
  <c r="AA132" i="14"/>
  <c r="C132" i="14"/>
  <c r="AJ30" i="14"/>
  <c r="AI30" i="14"/>
  <c r="AH30" i="14"/>
  <c r="AG30" i="14"/>
  <c r="AF30" i="14"/>
  <c r="AE30" i="14"/>
  <c r="AD30" i="14"/>
  <c r="AC30" i="14"/>
  <c r="AB30" i="14"/>
  <c r="AA30" i="14"/>
  <c r="Z30" i="14"/>
  <c r="AJ26" i="14"/>
  <c r="AI26" i="14"/>
  <c r="AH26" i="14"/>
  <c r="AG26" i="14"/>
  <c r="AF26" i="14"/>
  <c r="AE26" i="14"/>
  <c r="AD26" i="14"/>
  <c r="AC26" i="14"/>
  <c r="AB26" i="14"/>
  <c r="AA26" i="14"/>
  <c r="Z26" i="14"/>
  <c r="R662" i="13" l="1"/>
  <c r="S662" i="13"/>
  <c r="R663" i="13"/>
  <c r="S663" i="13"/>
  <c r="R664" i="13"/>
  <c r="S664" i="13"/>
  <c r="R665" i="13"/>
  <c r="S665" i="13"/>
  <c r="R666" i="13"/>
  <c r="S666" i="13"/>
  <c r="R667" i="13"/>
  <c r="S667" i="13"/>
  <c r="R668" i="13"/>
  <c r="S668" i="13"/>
  <c r="R669" i="13"/>
  <c r="S669" i="13"/>
  <c r="R670" i="13"/>
  <c r="S670" i="13"/>
  <c r="R671" i="13"/>
  <c r="S671" i="13"/>
  <c r="R672" i="13"/>
  <c r="S672" i="13"/>
  <c r="R673" i="13"/>
  <c r="S673" i="13"/>
  <c r="R674" i="13"/>
  <c r="S674" i="13"/>
  <c r="R675" i="13"/>
  <c r="S675" i="13"/>
  <c r="R676" i="13"/>
  <c r="S676" i="13"/>
  <c r="R677" i="13"/>
  <c r="S677" i="13"/>
  <c r="R678" i="13"/>
  <c r="S678" i="13"/>
  <c r="R679" i="13"/>
  <c r="S679" i="13"/>
  <c r="R680" i="13"/>
  <c r="S680" i="13"/>
  <c r="R681" i="13"/>
  <c r="S681" i="13"/>
  <c r="R682" i="13"/>
  <c r="S682" i="13"/>
  <c r="R683" i="13"/>
  <c r="S683" i="13"/>
  <c r="R684" i="13"/>
  <c r="S684" i="13"/>
  <c r="R685" i="13"/>
  <c r="S685" i="13"/>
  <c r="R686" i="13"/>
  <c r="S686" i="13"/>
  <c r="E685" i="13"/>
  <c r="F685" i="13"/>
  <c r="E686" i="13"/>
  <c r="F686" i="13"/>
  <c r="E661" i="13"/>
  <c r="F661" i="13"/>
  <c r="E662" i="13"/>
  <c r="F662" i="13"/>
  <c r="E663" i="13"/>
  <c r="F663" i="13"/>
  <c r="E664" i="13"/>
  <c r="F664" i="13"/>
  <c r="E665" i="13"/>
  <c r="F665" i="13"/>
  <c r="E666" i="13"/>
  <c r="F666" i="13"/>
  <c r="E667" i="13"/>
  <c r="F667" i="13"/>
  <c r="E668" i="13"/>
  <c r="F668" i="13"/>
  <c r="E669" i="13"/>
  <c r="F669" i="13"/>
  <c r="E670" i="13"/>
  <c r="F670" i="13"/>
  <c r="E671" i="13"/>
  <c r="F671" i="13"/>
  <c r="E672" i="13"/>
  <c r="F672" i="13"/>
  <c r="E673" i="13"/>
  <c r="F673" i="13"/>
  <c r="E674" i="13"/>
  <c r="F674" i="13"/>
  <c r="E675" i="13"/>
  <c r="F675" i="13"/>
  <c r="E676" i="13"/>
  <c r="F676" i="13"/>
  <c r="E677" i="13"/>
  <c r="F677" i="13"/>
  <c r="E678" i="13"/>
  <c r="F678" i="13"/>
  <c r="E679" i="13"/>
  <c r="F679" i="13"/>
  <c r="E680" i="13"/>
  <c r="F680" i="13"/>
  <c r="E681" i="13"/>
  <c r="F681" i="13"/>
  <c r="E682" i="13"/>
  <c r="F682" i="13"/>
  <c r="E683" i="13"/>
  <c r="F683" i="13"/>
  <c r="E684" i="13"/>
  <c r="F684" i="13"/>
  <c r="AD122" i="14"/>
  <c r="AE122" i="14"/>
  <c r="AF122" i="14"/>
  <c r="AG122" i="14"/>
  <c r="D61" i="10"/>
  <c r="E61" i="10"/>
  <c r="D62" i="10"/>
  <c r="E62" i="10"/>
  <c r="C62" i="10"/>
  <c r="C61" i="10"/>
  <c r="H61" i="10"/>
  <c r="G61" i="10"/>
  <c r="F61" i="10"/>
  <c r="AA111" i="14"/>
  <c r="AB111" i="14"/>
  <c r="AC111" i="14"/>
  <c r="AD111" i="14"/>
  <c r="AE111" i="14"/>
  <c r="AF111" i="14"/>
  <c r="AG111" i="14"/>
  <c r="AH111" i="14"/>
  <c r="AI111" i="14"/>
  <c r="AJ111" i="14"/>
  <c r="AA112" i="14"/>
  <c r="AB112" i="14"/>
  <c r="AC112" i="14"/>
  <c r="AA113" i="14"/>
  <c r="AB113" i="14"/>
  <c r="AC113" i="14"/>
  <c r="AA114" i="14"/>
  <c r="AB114" i="14"/>
  <c r="AC114" i="14"/>
  <c r="AD114" i="14"/>
  <c r="AE114" i="14"/>
  <c r="AF114" i="14"/>
  <c r="AG114" i="14"/>
  <c r="AH114" i="14"/>
  <c r="AI114" i="14"/>
  <c r="AJ114" i="14"/>
  <c r="AA115" i="14"/>
  <c r="AB115" i="14"/>
  <c r="AC115" i="14"/>
  <c r="AD115" i="14"/>
  <c r="AE115" i="14"/>
  <c r="AF115" i="14"/>
  <c r="AG115" i="14"/>
  <c r="AH115" i="14"/>
  <c r="AI115" i="14"/>
  <c r="AJ115" i="14"/>
  <c r="AD116" i="14"/>
  <c r="AE116" i="14"/>
  <c r="AF116" i="14"/>
  <c r="AG116" i="14"/>
  <c r="AH116" i="14"/>
  <c r="AI116" i="14"/>
  <c r="AJ116" i="14"/>
  <c r="AA117" i="14"/>
  <c r="AB117" i="14"/>
  <c r="AC117" i="14"/>
  <c r="AD117" i="14"/>
  <c r="AE117" i="14"/>
  <c r="AF117" i="14"/>
  <c r="AG117" i="14"/>
  <c r="AH117" i="14"/>
  <c r="AI117" i="14"/>
  <c r="AJ117" i="14"/>
  <c r="AA118" i="14"/>
  <c r="AB118" i="14"/>
  <c r="AC118" i="14"/>
  <c r="AA27" i="14"/>
  <c r="AB27" i="14"/>
  <c r="AC27" i="14"/>
  <c r="Z27" i="14"/>
  <c r="AA9" i="14"/>
  <c r="AB9" i="14"/>
  <c r="AC9" i="14"/>
  <c r="Z9" i="14"/>
  <c r="Z120" i="14"/>
  <c r="Z115" i="14"/>
  <c r="Z116" i="14"/>
  <c r="Z117" i="14"/>
  <c r="Z118" i="14"/>
  <c r="Z114" i="14"/>
  <c r="Z113" i="14"/>
  <c r="Z112" i="14"/>
  <c r="Z111" i="14"/>
  <c r="AA20" i="14"/>
  <c r="AB20" i="14"/>
  <c r="AC20" i="14"/>
  <c r="AD20" i="14"/>
  <c r="AE20" i="14"/>
  <c r="AF20" i="14"/>
  <c r="AG20" i="14"/>
  <c r="AH20" i="14"/>
  <c r="AI20" i="14"/>
  <c r="AJ20" i="14"/>
  <c r="AA21" i="14"/>
  <c r="AB21" i="14"/>
  <c r="AC21" i="14"/>
  <c r="AC25" i="14" s="1"/>
  <c r="AD21" i="14"/>
  <c r="AD25" i="14" s="1"/>
  <c r="AE21" i="14"/>
  <c r="AF21" i="14"/>
  <c r="AG21" i="14"/>
  <c r="AH21" i="14"/>
  <c r="AI21" i="14"/>
  <c r="AJ21" i="14"/>
  <c r="AA22" i="14"/>
  <c r="AB22" i="14"/>
  <c r="AC22" i="14"/>
  <c r="AD22" i="14"/>
  <c r="AE22" i="14"/>
  <c r="AF22" i="14"/>
  <c r="AG22" i="14"/>
  <c r="AH22" i="14"/>
  <c r="AI22" i="14"/>
  <c r="AJ22" i="14"/>
  <c r="AA24" i="14"/>
  <c r="AB24" i="14"/>
  <c r="AC24" i="14"/>
  <c r="AD24" i="14"/>
  <c r="AE24" i="14"/>
  <c r="AF24" i="14"/>
  <c r="AG24" i="14"/>
  <c r="AG25" i="14" s="1"/>
  <c r="AH24" i="14"/>
  <c r="AH25" i="14" s="1"/>
  <c r="AI24" i="14"/>
  <c r="AJ24" i="14"/>
  <c r="AA25" i="14"/>
  <c r="AB25" i="14"/>
  <c r="AE25" i="14"/>
  <c r="AF25" i="14"/>
  <c r="AI25" i="14"/>
  <c r="AJ25" i="14"/>
  <c r="AA31" i="14"/>
  <c r="AB31" i="14"/>
  <c r="AC31" i="14"/>
  <c r="AA32" i="14"/>
  <c r="AB32" i="14"/>
  <c r="AC32" i="14"/>
  <c r="Z32" i="14"/>
  <c r="Z31" i="14"/>
  <c r="Z25" i="14"/>
  <c r="Z24" i="14"/>
  <c r="Z22" i="14"/>
  <c r="Z21" i="14"/>
  <c r="Z20" i="14"/>
  <c r="Z6" i="14"/>
  <c r="AA6" i="14"/>
  <c r="AB6" i="14"/>
  <c r="AC6" i="14"/>
  <c r="AD6" i="14"/>
  <c r="AE6" i="14"/>
  <c r="AF6" i="14"/>
  <c r="AG6" i="14"/>
  <c r="AH6" i="14"/>
  <c r="AI6" i="14"/>
  <c r="AJ6" i="14"/>
  <c r="AI5" i="14"/>
  <c r="AH5" i="14" s="1"/>
  <c r="AG5" i="14" s="1"/>
  <c r="AF5" i="14" s="1"/>
  <c r="AE5" i="14" s="1"/>
  <c r="AD5" i="14" s="1"/>
  <c r="AC5" i="14" s="1"/>
  <c r="AB5" i="14" s="1"/>
  <c r="AA5" i="14" s="1"/>
  <c r="Z5" i="14" s="1"/>
  <c r="AJ5" i="14"/>
  <c r="F4" i="14" l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E4" i="14"/>
  <c r="G86" i="10"/>
  <c r="H86" i="10" s="1"/>
  <c r="I86" i="10" s="1"/>
  <c r="J86" i="10" s="1"/>
  <c r="K86" i="10" s="1"/>
  <c r="F85" i="10"/>
  <c r="G85" i="10" s="1"/>
  <c r="H85" i="10" s="1"/>
  <c r="I85" i="10" s="1"/>
  <c r="J85" i="10" s="1"/>
  <c r="C78" i="10"/>
  <c r="D78" i="10"/>
  <c r="E78" i="10"/>
  <c r="F78" i="10"/>
  <c r="F83" i="10" s="1"/>
  <c r="G78" i="10"/>
  <c r="G83" i="10" s="1"/>
  <c r="H78" i="10"/>
  <c r="H83" i="10" s="1"/>
  <c r="I78" i="10"/>
  <c r="I83" i="10" s="1"/>
  <c r="J78" i="10"/>
  <c r="J83" i="10" s="1"/>
  <c r="K78" i="10"/>
  <c r="K83" i="10" s="1"/>
  <c r="L78" i="10"/>
  <c r="L83" i="10" s="1"/>
  <c r="M78" i="10"/>
  <c r="N78" i="10"/>
  <c r="O78" i="10"/>
  <c r="C79" i="10"/>
  <c r="B79" i="10"/>
  <c r="B78" i="10"/>
  <c r="B143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B144" i="4"/>
  <c r="B142" i="4"/>
  <c r="E35" i="2"/>
  <c r="E36" i="2"/>
  <c r="E37" i="2"/>
  <c r="C39" i="2"/>
  <c r="A36" i="2"/>
  <c r="A37" i="2"/>
  <c r="A38" i="2"/>
  <c r="A39" i="2"/>
  <c r="C28" i="2" l="1"/>
  <c r="D28" i="2"/>
  <c r="E28" i="2"/>
  <c r="F28" i="2"/>
  <c r="G28" i="2"/>
  <c r="H28" i="2"/>
  <c r="I28" i="2"/>
  <c r="J28" i="2"/>
  <c r="K28" i="2"/>
  <c r="L28" i="2"/>
  <c r="M28" i="2"/>
  <c r="N28" i="2"/>
  <c r="O28" i="2"/>
  <c r="B28" i="2"/>
  <c r="J34" i="11" l="1"/>
  <c r="F36" i="11"/>
  <c r="G34" i="11" s="1"/>
  <c r="B24" i="11" s="1"/>
  <c r="B37" i="11"/>
  <c r="C34" i="11" s="1"/>
  <c r="B23" i="11" s="1"/>
  <c r="J38" i="11" l="1"/>
  <c r="K34" i="11" s="1"/>
  <c r="B25" i="11" s="1"/>
  <c r="S3" i="13"/>
  <c r="S661" i="13"/>
  <c r="S660" i="13"/>
  <c r="S659" i="13"/>
  <c r="S658" i="13"/>
  <c r="S657" i="13"/>
  <c r="S656" i="13"/>
  <c r="S655" i="13"/>
  <c r="S654" i="13"/>
  <c r="S653" i="13"/>
  <c r="S652" i="13"/>
  <c r="S651" i="13"/>
  <c r="S650" i="13"/>
  <c r="S649" i="13"/>
  <c r="S648" i="13"/>
  <c r="S647" i="13"/>
  <c r="S646" i="13"/>
  <c r="S645" i="13"/>
  <c r="S644" i="13"/>
  <c r="S643" i="13"/>
  <c r="S642" i="13"/>
  <c r="S641" i="13"/>
  <c r="S640" i="13"/>
  <c r="S639" i="13"/>
  <c r="S638" i="13"/>
  <c r="S637" i="13"/>
  <c r="S636" i="13"/>
  <c r="S635" i="13"/>
  <c r="S634" i="13"/>
  <c r="S633" i="13"/>
  <c r="S632" i="13"/>
  <c r="S631" i="13"/>
  <c r="S630" i="13"/>
  <c r="S629" i="13"/>
  <c r="S628" i="13"/>
  <c r="S627" i="13"/>
  <c r="S626" i="13"/>
  <c r="S625" i="13"/>
  <c r="S624" i="13"/>
  <c r="S623" i="13"/>
  <c r="S622" i="13"/>
  <c r="S621" i="13"/>
  <c r="S620" i="13"/>
  <c r="S619" i="13"/>
  <c r="S618" i="13"/>
  <c r="S617" i="13"/>
  <c r="S616" i="13"/>
  <c r="S615" i="13"/>
  <c r="S614" i="13"/>
  <c r="S613" i="13"/>
  <c r="S612" i="13"/>
  <c r="S611" i="13"/>
  <c r="S610" i="13"/>
  <c r="S609" i="13"/>
  <c r="S608" i="13"/>
  <c r="S607" i="13"/>
  <c r="S606" i="13"/>
  <c r="S605" i="13"/>
  <c r="S604" i="13"/>
  <c r="S603" i="13"/>
  <c r="S602" i="13"/>
  <c r="S601" i="13"/>
  <c r="S600" i="13"/>
  <c r="S599" i="13"/>
  <c r="S598" i="13"/>
  <c r="S597" i="13"/>
  <c r="S596" i="13"/>
  <c r="S595" i="13"/>
  <c r="S594" i="13"/>
  <c r="S593" i="13"/>
  <c r="S592" i="13"/>
  <c r="S591" i="13"/>
  <c r="S590" i="13"/>
  <c r="S589" i="13"/>
  <c r="S588" i="13"/>
  <c r="S587" i="13"/>
  <c r="S586" i="13"/>
  <c r="S585" i="13"/>
  <c r="S584" i="13"/>
  <c r="S583" i="13"/>
  <c r="S582" i="13"/>
  <c r="S581" i="13"/>
  <c r="S580" i="13"/>
  <c r="S579" i="13"/>
  <c r="S578" i="13"/>
  <c r="S577" i="13"/>
  <c r="S576" i="13"/>
  <c r="S575" i="13"/>
  <c r="S574" i="13"/>
  <c r="S573" i="13"/>
  <c r="S572" i="13"/>
  <c r="S571" i="13"/>
  <c r="S570" i="13"/>
  <c r="S569" i="13"/>
  <c r="S568" i="13"/>
  <c r="S567" i="13"/>
  <c r="S566" i="13"/>
  <c r="S565" i="13"/>
  <c r="S564" i="13"/>
  <c r="S563" i="13"/>
  <c r="S562" i="13"/>
  <c r="S561" i="13"/>
  <c r="S560" i="13"/>
  <c r="S559" i="13"/>
  <c r="S558" i="13"/>
  <c r="S557" i="13"/>
  <c r="S556" i="13"/>
  <c r="S555" i="13"/>
  <c r="S554" i="13"/>
  <c r="S553" i="13"/>
  <c r="S552" i="13"/>
  <c r="S551" i="13"/>
  <c r="S550" i="13"/>
  <c r="S549" i="13"/>
  <c r="S548" i="13"/>
  <c r="S547" i="13"/>
  <c r="S546" i="13"/>
  <c r="S545" i="13"/>
  <c r="S544" i="13"/>
  <c r="S543" i="13"/>
  <c r="S542" i="13"/>
  <c r="S541" i="13"/>
  <c r="S540" i="13"/>
  <c r="S539" i="13"/>
  <c r="S538" i="13"/>
  <c r="S537" i="13"/>
  <c r="S536" i="13"/>
  <c r="S535" i="13"/>
  <c r="S534" i="13"/>
  <c r="S533" i="13"/>
  <c r="S532" i="13"/>
  <c r="S531" i="13"/>
  <c r="S530" i="13"/>
  <c r="S529" i="13"/>
  <c r="S528" i="13"/>
  <c r="S527" i="13"/>
  <c r="S526" i="13"/>
  <c r="S525" i="13"/>
  <c r="S524" i="13"/>
  <c r="S523" i="13"/>
  <c r="S522" i="13"/>
  <c r="S521" i="13"/>
  <c r="S520" i="13"/>
  <c r="S519" i="13"/>
  <c r="S518" i="13"/>
  <c r="S517" i="13"/>
  <c r="S516" i="13"/>
  <c r="S515" i="13"/>
  <c r="S514" i="13"/>
  <c r="S513" i="13"/>
  <c r="S512" i="13"/>
  <c r="S511" i="13"/>
  <c r="S510" i="13"/>
  <c r="S509" i="13"/>
  <c r="S508" i="13"/>
  <c r="S507" i="13"/>
  <c r="S506" i="13"/>
  <c r="S505" i="13"/>
  <c r="S504" i="13"/>
  <c r="S503" i="13"/>
  <c r="S502" i="13"/>
  <c r="S501" i="13"/>
  <c r="S500" i="13"/>
  <c r="S499" i="13"/>
  <c r="S498" i="13"/>
  <c r="S497" i="13"/>
  <c r="S496" i="13"/>
  <c r="S495" i="13"/>
  <c r="S494" i="13"/>
  <c r="S493" i="13"/>
  <c r="S492" i="13"/>
  <c r="S491" i="13"/>
  <c r="S490" i="13"/>
  <c r="S489" i="13"/>
  <c r="S488" i="13"/>
  <c r="S487" i="13"/>
  <c r="S486" i="13"/>
  <c r="S485" i="13"/>
  <c r="S484" i="13"/>
  <c r="S483" i="13"/>
  <c r="S482" i="13"/>
  <c r="S481" i="13"/>
  <c r="S480" i="13"/>
  <c r="S479" i="13"/>
  <c r="S478" i="13"/>
  <c r="S477" i="13"/>
  <c r="S476" i="13"/>
  <c r="S475" i="13"/>
  <c r="S474" i="13"/>
  <c r="S473" i="13"/>
  <c r="S472" i="13"/>
  <c r="S471" i="13"/>
  <c r="S470" i="13"/>
  <c r="S469" i="13"/>
  <c r="S468" i="13"/>
  <c r="S467" i="13"/>
  <c r="S466" i="13"/>
  <c r="S465" i="13"/>
  <c r="S464" i="13"/>
  <c r="S463" i="13"/>
  <c r="S462" i="13"/>
  <c r="S461" i="13"/>
  <c r="S460" i="13"/>
  <c r="S459" i="13"/>
  <c r="S458" i="13"/>
  <c r="S457" i="13"/>
  <c r="S456" i="13"/>
  <c r="S455" i="13"/>
  <c r="S454" i="13"/>
  <c r="S453" i="13"/>
  <c r="S452" i="13"/>
  <c r="S451" i="13"/>
  <c r="S450" i="13"/>
  <c r="S449" i="13"/>
  <c r="S448" i="13"/>
  <c r="S447" i="13"/>
  <c r="S446" i="13"/>
  <c r="S445" i="13"/>
  <c r="S444" i="13"/>
  <c r="S443" i="13"/>
  <c r="S442" i="13"/>
  <c r="S441" i="13"/>
  <c r="S440" i="13"/>
  <c r="S439" i="13"/>
  <c r="S438" i="13"/>
  <c r="S437" i="13"/>
  <c r="S436" i="13"/>
  <c r="S435" i="13"/>
  <c r="S434" i="13"/>
  <c r="S433" i="13"/>
  <c r="S432" i="13"/>
  <c r="S431" i="13"/>
  <c r="S430" i="13"/>
  <c r="S429" i="13"/>
  <c r="S428" i="13"/>
  <c r="S427" i="13"/>
  <c r="S426" i="13"/>
  <c r="S425" i="13"/>
  <c r="S424" i="13"/>
  <c r="S423" i="13"/>
  <c r="S422" i="13"/>
  <c r="S421" i="13"/>
  <c r="S420" i="13"/>
  <c r="S419" i="13"/>
  <c r="S418" i="13"/>
  <c r="S417" i="13"/>
  <c r="S416" i="13"/>
  <c r="S415" i="13"/>
  <c r="S414" i="13"/>
  <c r="S413" i="13"/>
  <c r="S412" i="13"/>
  <c r="S411" i="13"/>
  <c r="S410" i="13"/>
  <c r="S409" i="13"/>
  <c r="S408" i="13"/>
  <c r="S407" i="13"/>
  <c r="S406" i="13"/>
  <c r="S405" i="13"/>
  <c r="S404" i="13"/>
  <c r="S403" i="13"/>
  <c r="S402" i="13"/>
  <c r="S401" i="13"/>
  <c r="S400" i="13"/>
  <c r="S399" i="13"/>
  <c r="S398" i="13"/>
  <c r="S397" i="13"/>
  <c r="S396" i="13"/>
  <c r="S395" i="13"/>
  <c r="S394" i="13"/>
  <c r="S393" i="13"/>
  <c r="S392" i="13"/>
  <c r="S391" i="13"/>
  <c r="S390" i="13"/>
  <c r="S389" i="13"/>
  <c r="S388" i="13"/>
  <c r="S387" i="13"/>
  <c r="S386" i="13"/>
  <c r="S385" i="13"/>
  <c r="S384" i="13"/>
  <c r="S383" i="13"/>
  <c r="S382" i="13"/>
  <c r="S381" i="13"/>
  <c r="S380" i="13"/>
  <c r="S379" i="13"/>
  <c r="S378" i="13"/>
  <c r="S377" i="13"/>
  <c r="S376" i="13"/>
  <c r="S375" i="13"/>
  <c r="S374" i="13"/>
  <c r="S373" i="13"/>
  <c r="S372" i="13"/>
  <c r="S371" i="13"/>
  <c r="S370" i="13"/>
  <c r="S369" i="13"/>
  <c r="S368" i="13"/>
  <c r="S367" i="13"/>
  <c r="S366" i="13"/>
  <c r="S365" i="13"/>
  <c r="S364" i="13"/>
  <c r="S363" i="13"/>
  <c r="S362" i="13"/>
  <c r="S361" i="13"/>
  <c r="S360" i="13"/>
  <c r="S359" i="13"/>
  <c r="S358" i="13"/>
  <c r="S357" i="13"/>
  <c r="S356" i="13"/>
  <c r="S355" i="13"/>
  <c r="S354" i="13"/>
  <c r="S353" i="13"/>
  <c r="S352" i="13"/>
  <c r="S351" i="13"/>
  <c r="S350" i="13"/>
  <c r="S349" i="13"/>
  <c r="S348" i="13"/>
  <c r="S347" i="13"/>
  <c r="S346" i="13"/>
  <c r="S345" i="13"/>
  <c r="S344" i="13"/>
  <c r="S343" i="13"/>
  <c r="S342" i="13"/>
  <c r="S341" i="13"/>
  <c r="S340" i="13"/>
  <c r="S339" i="13"/>
  <c r="S338" i="13"/>
  <c r="S337" i="13"/>
  <c r="S336" i="13"/>
  <c r="S335" i="13"/>
  <c r="S334" i="13"/>
  <c r="S333" i="13"/>
  <c r="S332" i="13"/>
  <c r="S331" i="13"/>
  <c r="S330" i="13"/>
  <c r="S329" i="13"/>
  <c r="S328" i="13"/>
  <c r="S327" i="13"/>
  <c r="S326" i="13"/>
  <c r="S325" i="13"/>
  <c r="S324" i="13"/>
  <c r="S323" i="13"/>
  <c r="S322" i="13"/>
  <c r="S321" i="13"/>
  <c r="S320" i="13"/>
  <c r="S319" i="13"/>
  <c r="S318" i="13"/>
  <c r="S317" i="13"/>
  <c r="S316" i="13"/>
  <c r="S315" i="13"/>
  <c r="S314" i="13"/>
  <c r="S313" i="13"/>
  <c r="S312" i="13"/>
  <c r="S311" i="13"/>
  <c r="S310" i="13"/>
  <c r="S309" i="13"/>
  <c r="S308" i="13"/>
  <c r="S307" i="13"/>
  <c r="S306" i="13"/>
  <c r="S305" i="13"/>
  <c r="S304" i="13"/>
  <c r="S303" i="13"/>
  <c r="S302" i="13"/>
  <c r="S301" i="13"/>
  <c r="S300" i="13"/>
  <c r="S299" i="13"/>
  <c r="S298" i="13"/>
  <c r="S297" i="13"/>
  <c r="S296" i="13"/>
  <c r="S295" i="13"/>
  <c r="S294" i="13"/>
  <c r="S293" i="13"/>
  <c r="S292" i="13"/>
  <c r="S291" i="13"/>
  <c r="S290" i="13"/>
  <c r="S289" i="13"/>
  <c r="S288" i="13"/>
  <c r="S287" i="13"/>
  <c r="S286" i="13"/>
  <c r="S285" i="13"/>
  <c r="S284" i="13"/>
  <c r="S283" i="13"/>
  <c r="S282" i="13"/>
  <c r="S281" i="13"/>
  <c r="S280" i="13"/>
  <c r="S279" i="13"/>
  <c r="S278" i="13"/>
  <c r="S277" i="13"/>
  <c r="S276" i="13"/>
  <c r="S275" i="13"/>
  <c r="S274" i="13"/>
  <c r="S273" i="13"/>
  <c r="S272" i="13"/>
  <c r="S271" i="13"/>
  <c r="S270" i="13"/>
  <c r="S269" i="13"/>
  <c r="S268" i="13"/>
  <c r="S267" i="13"/>
  <c r="S266" i="13"/>
  <c r="S265" i="13"/>
  <c r="S264" i="13"/>
  <c r="S263" i="13"/>
  <c r="S262" i="13"/>
  <c r="S261" i="13"/>
  <c r="S260" i="13"/>
  <c r="S259" i="13"/>
  <c r="S258" i="13"/>
  <c r="S257" i="13"/>
  <c r="S256" i="13"/>
  <c r="S255" i="13"/>
  <c r="S254" i="13"/>
  <c r="S253" i="13"/>
  <c r="S252" i="13"/>
  <c r="S251" i="13"/>
  <c r="S250" i="13"/>
  <c r="S249" i="13"/>
  <c r="S248" i="13"/>
  <c r="S247" i="13"/>
  <c r="S246" i="13"/>
  <c r="S245" i="13"/>
  <c r="S244" i="13"/>
  <c r="S243" i="13"/>
  <c r="S242" i="13"/>
  <c r="S241" i="13"/>
  <c r="S240" i="13"/>
  <c r="S239" i="13"/>
  <c r="S238" i="13"/>
  <c r="S237" i="13"/>
  <c r="S236" i="13"/>
  <c r="S235" i="13"/>
  <c r="S234" i="13"/>
  <c r="S233" i="13"/>
  <c r="S232" i="13"/>
  <c r="S231" i="13"/>
  <c r="S230" i="13"/>
  <c r="S229" i="13"/>
  <c r="S228" i="13"/>
  <c r="S227" i="13"/>
  <c r="S226" i="13"/>
  <c r="S225" i="13"/>
  <c r="S224" i="13"/>
  <c r="S223" i="13"/>
  <c r="S222" i="13"/>
  <c r="S221" i="13"/>
  <c r="S220" i="13"/>
  <c r="S219" i="13"/>
  <c r="S218" i="13"/>
  <c r="S217" i="13"/>
  <c r="S216" i="13"/>
  <c r="S215" i="13"/>
  <c r="S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F660" i="13"/>
  <c r="F659" i="13"/>
  <c r="F658" i="13"/>
  <c r="F657" i="13"/>
  <c r="F656" i="13"/>
  <c r="F655" i="13"/>
  <c r="F654" i="13"/>
  <c r="F653" i="13"/>
  <c r="F652" i="13"/>
  <c r="F651" i="13"/>
  <c r="F650" i="13"/>
  <c r="F649" i="13"/>
  <c r="F648" i="13"/>
  <c r="F647" i="13"/>
  <c r="F646" i="13"/>
  <c r="F645" i="13"/>
  <c r="F644" i="13"/>
  <c r="F643" i="13"/>
  <c r="F642" i="13"/>
  <c r="F641" i="13"/>
  <c r="F640" i="13"/>
  <c r="F639" i="13"/>
  <c r="F638" i="13"/>
  <c r="F637" i="13"/>
  <c r="F636" i="13"/>
  <c r="F635" i="13"/>
  <c r="F634" i="13"/>
  <c r="F633" i="13"/>
  <c r="F632" i="13"/>
  <c r="F631" i="13"/>
  <c r="F630" i="13"/>
  <c r="F629" i="13"/>
  <c r="F628" i="13"/>
  <c r="F627" i="13"/>
  <c r="F626" i="13"/>
  <c r="F625" i="13"/>
  <c r="F624" i="13"/>
  <c r="F623" i="13"/>
  <c r="F622" i="13"/>
  <c r="F621" i="13"/>
  <c r="F620" i="13"/>
  <c r="F619" i="13"/>
  <c r="F618" i="13"/>
  <c r="F617" i="13"/>
  <c r="F616" i="13"/>
  <c r="F615" i="13"/>
  <c r="F614" i="13"/>
  <c r="F613" i="13"/>
  <c r="F612" i="13"/>
  <c r="F611" i="13"/>
  <c r="F610" i="13"/>
  <c r="F609" i="13"/>
  <c r="F608" i="13"/>
  <c r="F607" i="13"/>
  <c r="F606" i="13"/>
  <c r="F605" i="13"/>
  <c r="F604" i="13"/>
  <c r="F603" i="13"/>
  <c r="F602" i="13"/>
  <c r="F601" i="13"/>
  <c r="F600" i="13"/>
  <c r="F599" i="13"/>
  <c r="F598" i="13"/>
  <c r="F597" i="13"/>
  <c r="F596" i="13"/>
  <c r="F595" i="13"/>
  <c r="F594" i="13"/>
  <c r="F593" i="13"/>
  <c r="F592" i="13"/>
  <c r="F591" i="13"/>
  <c r="F590" i="13"/>
  <c r="F589" i="13"/>
  <c r="F588" i="13"/>
  <c r="F587" i="13"/>
  <c r="F586" i="13"/>
  <c r="F585" i="13"/>
  <c r="F584" i="13"/>
  <c r="F583" i="13"/>
  <c r="F582" i="13"/>
  <c r="F581" i="13"/>
  <c r="F580" i="13"/>
  <c r="F579" i="13"/>
  <c r="F578" i="13"/>
  <c r="F577" i="13"/>
  <c r="F576" i="13"/>
  <c r="F575" i="13"/>
  <c r="F574" i="13"/>
  <c r="F573" i="13"/>
  <c r="F572" i="13"/>
  <c r="F571" i="13"/>
  <c r="F570" i="13"/>
  <c r="F569" i="13"/>
  <c r="F568" i="13"/>
  <c r="F567" i="13"/>
  <c r="F566" i="13"/>
  <c r="F565" i="13"/>
  <c r="F564" i="13"/>
  <c r="F563" i="13"/>
  <c r="F562" i="13"/>
  <c r="F561" i="13"/>
  <c r="F560" i="13"/>
  <c r="F559" i="13"/>
  <c r="F558" i="13"/>
  <c r="F557" i="13"/>
  <c r="F556" i="13"/>
  <c r="F555" i="13"/>
  <c r="F554" i="13"/>
  <c r="F553" i="13"/>
  <c r="F552" i="13"/>
  <c r="F551" i="13"/>
  <c r="F550" i="13"/>
  <c r="F549" i="13"/>
  <c r="F548" i="13"/>
  <c r="F547" i="13"/>
  <c r="F546" i="13"/>
  <c r="F545" i="13"/>
  <c r="F544" i="13"/>
  <c r="F543" i="13"/>
  <c r="F542" i="13"/>
  <c r="F541" i="13"/>
  <c r="F540" i="13"/>
  <c r="F539" i="13"/>
  <c r="F538" i="13"/>
  <c r="F537" i="13"/>
  <c r="F536" i="13"/>
  <c r="F535" i="13"/>
  <c r="F534" i="13"/>
  <c r="F533" i="13"/>
  <c r="F532" i="13"/>
  <c r="F531" i="13"/>
  <c r="F530" i="13"/>
  <c r="F529" i="13"/>
  <c r="F528" i="13"/>
  <c r="F527" i="13"/>
  <c r="F526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3" i="13"/>
  <c r="E4" i="13"/>
  <c r="R4" i="13"/>
  <c r="E5" i="13"/>
  <c r="R5" i="13"/>
  <c r="E6" i="13"/>
  <c r="R6" i="13"/>
  <c r="E7" i="13"/>
  <c r="R7" i="13"/>
  <c r="E8" i="13"/>
  <c r="R8" i="13"/>
  <c r="E9" i="13"/>
  <c r="R9" i="13"/>
  <c r="E10" i="13"/>
  <c r="R10" i="13"/>
  <c r="E11" i="13"/>
  <c r="R11" i="13"/>
  <c r="E12" i="13"/>
  <c r="R12" i="13"/>
  <c r="E13" i="13"/>
  <c r="R13" i="13"/>
  <c r="E14" i="13"/>
  <c r="R14" i="13"/>
  <c r="E15" i="13"/>
  <c r="R15" i="13"/>
  <c r="E16" i="13"/>
  <c r="R16" i="13"/>
  <c r="E17" i="13"/>
  <c r="R17" i="13"/>
  <c r="E18" i="13"/>
  <c r="R18" i="13"/>
  <c r="E19" i="13"/>
  <c r="R19" i="13"/>
  <c r="E20" i="13"/>
  <c r="R20" i="13"/>
  <c r="E21" i="13"/>
  <c r="R21" i="13"/>
  <c r="E22" i="13"/>
  <c r="R22" i="13"/>
  <c r="E23" i="13"/>
  <c r="R23" i="13"/>
  <c r="E24" i="13"/>
  <c r="R24" i="13"/>
  <c r="E25" i="13"/>
  <c r="R25" i="13"/>
  <c r="E26" i="13"/>
  <c r="R26" i="13"/>
  <c r="E27" i="13"/>
  <c r="R27" i="13"/>
  <c r="E28" i="13"/>
  <c r="R28" i="13"/>
  <c r="E29" i="13"/>
  <c r="R29" i="13"/>
  <c r="E30" i="13"/>
  <c r="R30" i="13"/>
  <c r="E31" i="13"/>
  <c r="R31" i="13"/>
  <c r="E32" i="13"/>
  <c r="R32" i="13"/>
  <c r="E33" i="13"/>
  <c r="R33" i="13"/>
  <c r="E34" i="13"/>
  <c r="R34" i="13"/>
  <c r="E35" i="13"/>
  <c r="R35" i="13"/>
  <c r="E36" i="13"/>
  <c r="R36" i="13"/>
  <c r="E37" i="13"/>
  <c r="R37" i="13"/>
  <c r="E38" i="13"/>
  <c r="R38" i="13"/>
  <c r="E39" i="13"/>
  <c r="R39" i="13"/>
  <c r="E40" i="13"/>
  <c r="R40" i="13"/>
  <c r="E41" i="13"/>
  <c r="R41" i="13"/>
  <c r="E42" i="13"/>
  <c r="R42" i="13"/>
  <c r="E43" i="13"/>
  <c r="R43" i="13"/>
  <c r="E44" i="13"/>
  <c r="R44" i="13"/>
  <c r="E45" i="13"/>
  <c r="R45" i="13"/>
  <c r="E46" i="13"/>
  <c r="R46" i="13"/>
  <c r="E47" i="13"/>
  <c r="R47" i="13"/>
  <c r="E48" i="13"/>
  <c r="R48" i="13"/>
  <c r="E49" i="13"/>
  <c r="R49" i="13"/>
  <c r="E50" i="13"/>
  <c r="R50" i="13"/>
  <c r="E51" i="13"/>
  <c r="R51" i="13"/>
  <c r="E52" i="13"/>
  <c r="R52" i="13"/>
  <c r="E53" i="13"/>
  <c r="R53" i="13"/>
  <c r="E54" i="13"/>
  <c r="R54" i="13"/>
  <c r="E55" i="13"/>
  <c r="R55" i="13"/>
  <c r="E56" i="13"/>
  <c r="R56" i="13"/>
  <c r="E57" i="13"/>
  <c r="R57" i="13"/>
  <c r="E58" i="13"/>
  <c r="R58" i="13"/>
  <c r="E59" i="13"/>
  <c r="R59" i="13"/>
  <c r="E60" i="13"/>
  <c r="R60" i="13"/>
  <c r="E61" i="13"/>
  <c r="R61" i="13"/>
  <c r="E62" i="13"/>
  <c r="R62" i="13"/>
  <c r="E63" i="13"/>
  <c r="R63" i="13"/>
  <c r="E64" i="13"/>
  <c r="R64" i="13"/>
  <c r="E65" i="13"/>
  <c r="R65" i="13"/>
  <c r="E66" i="13"/>
  <c r="R66" i="13"/>
  <c r="E67" i="13"/>
  <c r="R67" i="13"/>
  <c r="E68" i="13"/>
  <c r="R68" i="13"/>
  <c r="E69" i="13"/>
  <c r="R69" i="13"/>
  <c r="E70" i="13"/>
  <c r="R70" i="13"/>
  <c r="E71" i="13"/>
  <c r="R71" i="13"/>
  <c r="E72" i="13"/>
  <c r="R72" i="13"/>
  <c r="E73" i="13"/>
  <c r="R73" i="13"/>
  <c r="E74" i="13"/>
  <c r="R74" i="13"/>
  <c r="E75" i="13"/>
  <c r="R75" i="13"/>
  <c r="E76" i="13"/>
  <c r="R76" i="13"/>
  <c r="E77" i="13"/>
  <c r="R77" i="13"/>
  <c r="E78" i="13"/>
  <c r="R78" i="13"/>
  <c r="E79" i="13"/>
  <c r="R79" i="13"/>
  <c r="E80" i="13"/>
  <c r="R80" i="13"/>
  <c r="E81" i="13"/>
  <c r="R81" i="13"/>
  <c r="E82" i="13"/>
  <c r="R82" i="13"/>
  <c r="E83" i="13"/>
  <c r="R83" i="13"/>
  <c r="E84" i="13"/>
  <c r="R84" i="13"/>
  <c r="E85" i="13"/>
  <c r="R85" i="13"/>
  <c r="E86" i="13"/>
  <c r="R86" i="13"/>
  <c r="E87" i="13"/>
  <c r="R87" i="13"/>
  <c r="E88" i="13"/>
  <c r="R88" i="13"/>
  <c r="E89" i="13"/>
  <c r="R89" i="13"/>
  <c r="E90" i="13"/>
  <c r="R90" i="13"/>
  <c r="E91" i="13"/>
  <c r="R91" i="13"/>
  <c r="E92" i="13"/>
  <c r="R92" i="13"/>
  <c r="E93" i="13"/>
  <c r="R93" i="13"/>
  <c r="E94" i="13"/>
  <c r="R94" i="13"/>
  <c r="E95" i="13"/>
  <c r="R95" i="13"/>
  <c r="E96" i="13"/>
  <c r="R96" i="13"/>
  <c r="E97" i="13"/>
  <c r="R97" i="13"/>
  <c r="E98" i="13"/>
  <c r="R98" i="13"/>
  <c r="E99" i="13"/>
  <c r="R99" i="13"/>
  <c r="E100" i="13"/>
  <c r="R100" i="13"/>
  <c r="E101" i="13"/>
  <c r="R101" i="13"/>
  <c r="E102" i="13"/>
  <c r="R102" i="13"/>
  <c r="E103" i="13"/>
  <c r="R103" i="13"/>
  <c r="E104" i="13"/>
  <c r="R104" i="13"/>
  <c r="E105" i="13"/>
  <c r="R105" i="13"/>
  <c r="E106" i="13"/>
  <c r="R106" i="13"/>
  <c r="E107" i="13"/>
  <c r="R107" i="13"/>
  <c r="E108" i="13"/>
  <c r="R108" i="13"/>
  <c r="E109" i="13"/>
  <c r="R109" i="13"/>
  <c r="E110" i="13"/>
  <c r="R110" i="13"/>
  <c r="E111" i="13"/>
  <c r="R111" i="13"/>
  <c r="E112" i="13"/>
  <c r="R112" i="13"/>
  <c r="E113" i="13"/>
  <c r="R113" i="13"/>
  <c r="E114" i="13"/>
  <c r="R114" i="13"/>
  <c r="E115" i="13"/>
  <c r="R115" i="13"/>
  <c r="E116" i="13"/>
  <c r="R116" i="13"/>
  <c r="E117" i="13"/>
  <c r="R117" i="13"/>
  <c r="E118" i="13"/>
  <c r="R118" i="13"/>
  <c r="E119" i="13"/>
  <c r="R119" i="13"/>
  <c r="E120" i="13"/>
  <c r="R120" i="13"/>
  <c r="E121" i="13"/>
  <c r="R121" i="13"/>
  <c r="E122" i="13"/>
  <c r="R122" i="13"/>
  <c r="E123" i="13"/>
  <c r="R123" i="13"/>
  <c r="E124" i="13"/>
  <c r="R124" i="13"/>
  <c r="E125" i="13"/>
  <c r="R125" i="13"/>
  <c r="E126" i="13"/>
  <c r="R126" i="13"/>
  <c r="E127" i="13"/>
  <c r="R127" i="13"/>
  <c r="E128" i="13"/>
  <c r="R128" i="13"/>
  <c r="E129" i="13"/>
  <c r="R129" i="13"/>
  <c r="E130" i="13"/>
  <c r="R130" i="13"/>
  <c r="E131" i="13"/>
  <c r="R131" i="13"/>
  <c r="E132" i="13"/>
  <c r="R132" i="13"/>
  <c r="E133" i="13"/>
  <c r="R133" i="13"/>
  <c r="E134" i="13"/>
  <c r="R134" i="13"/>
  <c r="E135" i="13"/>
  <c r="R135" i="13"/>
  <c r="E136" i="13"/>
  <c r="R136" i="13"/>
  <c r="E137" i="13"/>
  <c r="R137" i="13"/>
  <c r="E138" i="13"/>
  <c r="R138" i="13"/>
  <c r="E139" i="13"/>
  <c r="R139" i="13"/>
  <c r="E140" i="13"/>
  <c r="R140" i="13"/>
  <c r="E141" i="13"/>
  <c r="R141" i="13"/>
  <c r="E142" i="13"/>
  <c r="R142" i="13"/>
  <c r="E143" i="13"/>
  <c r="R143" i="13"/>
  <c r="E144" i="13"/>
  <c r="R144" i="13"/>
  <c r="E145" i="13"/>
  <c r="R145" i="13"/>
  <c r="E146" i="13"/>
  <c r="R146" i="13"/>
  <c r="E147" i="13"/>
  <c r="R147" i="13"/>
  <c r="E148" i="13"/>
  <c r="R148" i="13"/>
  <c r="E149" i="13"/>
  <c r="R149" i="13"/>
  <c r="E150" i="13"/>
  <c r="R150" i="13"/>
  <c r="E151" i="13"/>
  <c r="R151" i="13"/>
  <c r="E152" i="13"/>
  <c r="R152" i="13"/>
  <c r="E153" i="13"/>
  <c r="R153" i="13"/>
  <c r="E154" i="13"/>
  <c r="R154" i="13"/>
  <c r="E155" i="13"/>
  <c r="R155" i="13"/>
  <c r="E156" i="13"/>
  <c r="R156" i="13"/>
  <c r="E157" i="13"/>
  <c r="R157" i="13"/>
  <c r="E158" i="13"/>
  <c r="R158" i="13"/>
  <c r="E159" i="13"/>
  <c r="R159" i="13"/>
  <c r="E160" i="13"/>
  <c r="R160" i="13"/>
  <c r="E161" i="13"/>
  <c r="R161" i="13"/>
  <c r="E162" i="13"/>
  <c r="R162" i="13"/>
  <c r="E163" i="13"/>
  <c r="R163" i="13"/>
  <c r="E164" i="13"/>
  <c r="R164" i="13"/>
  <c r="E165" i="13"/>
  <c r="R165" i="13"/>
  <c r="E166" i="13"/>
  <c r="R166" i="13"/>
  <c r="E167" i="13"/>
  <c r="R167" i="13"/>
  <c r="E168" i="13"/>
  <c r="R168" i="13"/>
  <c r="E169" i="13"/>
  <c r="R169" i="13"/>
  <c r="E170" i="13"/>
  <c r="R170" i="13"/>
  <c r="E171" i="13"/>
  <c r="R171" i="13"/>
  <c r="E172" i="13"/>
  <c r="R172" i="13"/>
  <c r="E173" i="13"/>
  <c r="R173" i="13"/>
  <c r="E174" i="13"/>
  <c r="R174" i="13"/>
  <c r="E175" i="13"/>
  <c r="R175" i="13"/>
  <c r="E176" i="13"/>
  <c r="R176" i="13"/>
  <c r="E177" i="13"/>
  <c r="R177" i="13"/>
  <c r="E178" i="13"/>
  <c r="R178" i="13"/>
  <c r="E179" i="13"/>
  <c r="R179" i="13"/>
  <c r="E180" i="13"/>
  <c r="R180" i="13"/>
  <c r="E181" i="13"/>
  <c r="R181" i="13"/>
  <c r="E182" i="13"/>
  <c r="R182" i="13"/>
  <c r="E183" i="13"/>
  <c r="R183" i="13"/>
  <c r="E184" i="13"/>
  <c r="R184" i="13"/>
  <c r="E185" i="13"/>
  <c r="R185" i="13"/>
  <c r="E186" i="13"/>
  <c r="R186" i="13"/>
  <c r="E187" i="13"/>
  <c r="R187" i="13"/>
  <c r="E188" i="13"/>
  <c r="R188" i="13"/>
  <c r="E189" i="13"/>
  <c r="R189" i="13"/>
  <c r="E190" i="13"/>
  <c r="R190" i="13"/>
  <c r="E191" i="13"/>
  <c r="R191" i="13"/>
  <c r="E192" i="13"/>
  <c r="R192" i="13"/>
  <c r="E193" i="13"/>
  <c r="R193" i="13"/>
  <c r="E194" i="13"/>
  <c r="R194" i="13"/>
  <c r="E195" i="13"/>
  <c r="R195" i="13"/>
  <c r="E196" i="13"/>
  <c r="R196" i="13"/>
  <c r="E197" i="13"/>
  <c r="R197" i="13"/>
  <c r="E198" i="13"/>
  <c r="R198" i="13"/>
  <c r="E199" i="13"/>
  <c r="R199" i="13"/>
  <c r="E200" i="13"/>
  <c r="R200" i="13"/>
  <c r="E201" i="13"/>
  <c r="R201" i="13"/>
  <c r="E202" i="13"/>
  <c r="R202" i="13"/>
  <c r="E203" i="13"/>
  <c r="R203" i="13"/>
  <c r="E204" i="13"/>
  <c r="R204" i="13"/>
  <c r="E205" i="13"/>
  <c r="R205" i="13"/>
  <c r="E206" i="13"/>
  <c r="R206" i="13"/>
  <c r="E207" i="13"/>
  <c r="R207" i="13"/>
  <c r="E208" i="13"/>
  <c r="R208" i="13"/>
  <c r="E209" i="13"/>
  <c r="R209" i="13"/>
  <c r="E210" i="13"/>
  <c r="R210" i="13"/>
  <c r="E211" i="13"/>
  <c r="R211" i="13"/>
  <c r="E212" i="13"/>
  <c r="R212" i="13"/>
  <c r="E213" i="13"/>
  <c r="R213" i="13"/>
  <c r="E214" i="13"/>
  <c r="R214" i="13"/>
  <c r="E215" i="13"/>
  <c r="R215" i="13"/>
  <c r="E216" i="13"/>
  <c r="R216" i="13"/>
  <c r="E217" i="13"/>
  <c r="R217" i="13"/>
  <c r="E218" i="13"/>
  <c r="R218" i="13"/>
  <c r="E219" i="13"/>
  <c r="R219" i="13"/>
  <c r="E220" i="13"/>
  <c r="R220" i="13"/>
  <c r="E221" i="13"/>
  <c r="R221" i="13"/>
  <c r="E222" i="13"/>
  <c r="R222" i="13"/>
  <c r="E223" i="13"/>
  <c r="R223" i="13"/>
  <c r="E224" i="13"/>
  <c r="R224" i="13"/>
  <c r="E225" i="13"/>
  <c r="R225" i="13"/>
  <c r="E226" i="13"/>
  <c r="R226" i="13"/>
  <c r="E227" i="13"/>
  <c r="R227" i="13"/>
  <c r="E228" i="13"/>
  <c r="R228" i="13"/>
  <c r="E229" i="13"/>
  <c r="R229" i="13"/>
  <c r="E230" i="13"/>
  <c r="R230" i="13"/>
  <c r="E231" i="13"/>
  <c r="R231" i="13"/>
  <c r="E232" i="13"/>
  <c r="R232" i="13"/>
  <c r="E233" i="13"/>
  <c r="R233" i="13"/>
  <c r="E234" i="13"/>
  <c r="R234" i="13"/>
  <c r="E235" i="13"/>
  <c r="R235" i="13"/>
  <c r="E236" i="13"/>
  <c r="R236" i="13"/>
  <c r="E237" i="13"/>
  <c r="R237" i="13"/>
  <c r="E238" i="13"/>
  <c r="R238" i="13"/>
  <c r="E239" i="13"/>
  <c r="R239" i="13"/>
  <c r="E240" i="13"/>
  <c r="R240" i="13"/>
  <c r="E241" i="13"/>
  <c r="R241" i="13"/>
  <c r="E242" i="13"/>
  <c r="R242" i="13"/>
  <c r="E243" i="13"/>
  <c r="R243" i="13"/>
  <c r="E244" i="13"/>
  <c r="R244" i="13"/>
  <c r="E245" i="13"/>
  <c r="R245" i="13"/>
  <c r="E246" i="13"/>
  <c r="R246" i="13"/>
  <c r="E247" i="13"/>
  <c r="R247" i="13"/>
  <c r="E248" i="13"/>
  <c r="R248" i="13"/>
  <c r="E249" i="13"/>
  <c r="R249" i="13"/>
  <c r="E250" i="13"/>
  <c r="R250" i="13"/>
  <c r="E251" i="13"/>
  <c r="R251" i="13"/>
  <c r="E252" i="13"/>
  <c r="R252" i="13"/>
  <c r="E253" i="13"/>
  <c r="R253" i="13"/>
  <c r="E254" i="13"/>
  <c r="R254" i="13"/>
  <c r="E255" i="13"/>
  <c r="R255" i="13"/>
  <c r="E256" i="13"/>
  <c r="R256" i="13"/>
  <c r="E257" i="13"/>
  <c r="R257" i="13"/>
  <c r="E258" i="13"/>
  <c r="R258" i="13"/>
  <c r="E259" i="13"/>
  <c r="R259" i="13"/>
  <c r="E260" i="13"/>
  <c r="R260" i="13"/>
  <c r="E261" i="13"/>
  <c r="R261" i="13"/>
  <c r="E262" i="13"/>
  <c r="R262" i="13"/>
  <c r="E263" i="13"/>
  <c r="R263" i="13"/>
  <c r="E264" i="13"/>
  <c r="R264" i="13"/>
  <c r="E265" i="13"/>
  <c r="R265" i="13"/>
  <c r="E266" i="13"/>
  <c r="R266" i="13"/>
  <c r="E267" i="13"/>
  <c r="R267" i="13"/>
  <c r="E268" i="13"/>
  <c r="R268" i="13"/>
  <c r="E269" i="13"/>
  <c r="R269" i="13"/>
  <c r="E270" i="13"/>
  <c r="R270" i="13"/>
  <c r="E271" i="13"/>
  <c r="R271" i="13"/>
  <c r="E272" i="13"/>
  <c r="R272" i="13"/>
  <c r="E273" i="13"/>
  <c r="R273" i="13"/>
  <c r="E274" i="13"/>
  <c r="R274" i="13"/>
  <c r="E275" i="13"/>
  <c r="R275" i="13"/>
  <c r="E276" i="13"/>
  <c r="R276" i="13"/>
  <c r="E277" i="13"/>
  <c r="R277" i="13"/>
  <c r="E278" i="13"/>
  <c r="R278" i="13"/>
  <c r="E279" i="13"/>
  <c r="R279" i="13"/>
  <c r="E280" i="13"/>
  <c r="R280" i="13"/>
  <c r="E281" i="13"/>
  <c r="R281" i="13"/>
  <c r="E282" i="13"/>
  <c r="R282" i="13"/>
  <c r="E283" i="13"/>
  <c r="R283" i="13"/>
  <c r="E284" i="13"/>
  <c r="R284" i="13"/>
  <c r="E285" i="13"/>
  <c r="R285" i="13"/>
  <c r="E286" i="13"/>
  <c r="R286" i="13"/>
  <c r="E287" i="13"/>
  <c r="R287" i="13"/>
  <c r="E288" i="13"/>
  <c r="R288" i="13"/>
  <c r="E289" i="13"/>
  <c r="R289" i="13"/>
  <c r="E290" i="13"/>
  <c r="R290" i="13"/>
  <c r="E291" i="13"/>
  <c r="R291" i="13"/>
  <c r="E292" i="13"/>
  <c r="R292" i="13"/>
  <c r="E293" i="13"/>
  <c r="R293" i="13"/>
  <c r="E294" i="13"/>
  <c r="R294" i="13"/>
  <c r="E295" i="13"/>
  <c r="R295" i="13"/>
  <c r="E296" i="13"/>
  <c r="R296" i="13"/>
  <c r="E297" i="13"/>
  <c r="R297" i="13"/>
  <c r="E298" i="13"/>
  <c r="R298" i="13"/>
  <c r="E299" i="13"/>
  <c r="R299" i="13"/>
  <c r="E300" i="13"/>
  <c r="R300" i="13"/>
  <c r="E301" i="13"/>
  <c r="R301" i="13"/>
  <c r="E302" i="13"/>
  <c r="R302" i="13"/>
  <c r="E303" i="13"/>
  <c r="R303" i="13"/>
  <c r="E304" i="13"/>
  <c r="R304" i="13"/>
  <c r="E305" i="13"/>
  <c r="R305" i="13"/>
  <c r="E306" i="13"/>
  <c r="R306" i="13"/>
  <c r="E307" i="13"/>
  <c r="R307" i="13"/>
  <c r="E308" i="13"/>
  <c r="R308" i="13"/>
  <c r="E309" i="13"/>
  <c r="R309" i="13"/>
  <c r="E310" i="13"/>
  <c r="R310" i="13"/>
  <c r="E311" i="13"/>
  <c r="R311" i="13"/>
  <c r="E312" i="13"/>
  <c r="R312" i="13"/>
  <c r="E313" i="13"/>
  <c r="R313" i="13"/>
  <c r="E314" i="13"/>
  <c r="R314" i="13"/>
  <c r="E315" i="13"/>
  <c r="R315" i="13"/>
  <c r="E316" i="13"/>
  <c r="R316" i="13"/>
  <c r="E317" i="13"/>
  <c r="R317" i="13"/>
  <c r="E318" i="13"/>
  <c r="R318" i="13"/>
  <c r="E319" i="13"/>
  <c r="R319" i="13"/>
  <c r="E320" i="13"/>
  <c r="R320" i="13"/>
  <c r="E321" i="13"/>
  <c r="R321" i="13"/>
  <c r="E322" i="13"/>
  <c r="R322" i="13"/>
  <c r="E323" i="13"/>
  <c r="R323" i="13"/>
  <c r="E324" i="13"/>
  <c r="R324" i="13"/>
  <c r="E325" i="13"/>
  <c r="R325" i="13"/>
  <c r="E326" i="13"/>
  <c r="R326" i="13"/>
  <c r="E327" i="13"/>
  <c r="R327" i="13"/>
  <c r="E328" i="13"/>
  <c r="R328" i="13"/>
  <c r="E329" i="13"/>
  <c r="R329" i="13"/>
  <c r="E330" i="13"/>
  <c r="R330" i="13"/>
  <c r="E331" i="13"/>
  <c r="R331" i="13"/>
  <c r="E332" i="13"/>
  <c r="R332" i="13"/>
  <c r="E333" i="13"/>
  <c r="R333" i="13"/>
  <c r="E334" i="13"/>
  <c r="R334" i="13"/>
  <c r="E335" i="13"/>
  <c r="R335" i="13"/>
  <c r="E336" i="13"/>
  <c r="R336" i="13"/>
  <c r="E337" i="13"/>
  <c r="R337" i="13"/>
  <c r="E338" i="13"/>
  <c r="R338" i="13"/>
  <c r="E339" i="13"/>
  <c r="R339" i="13"/>
  <c r="E340" i="13"/>
  <c r="R340" i="13"/>
  <c r="E341" i="13"/>
  <c r="R341" i="13"/>
  <c r="E342" i="13"/>
  <c r="R342" i="13"/>
  <c r="E343" i="13"/>
  <c r="R343" i="13"/>
  <c r="E344" i="13"/>
  <c r="R344" i="13"/>
  <c r="E345" i="13"/>
  <c r="R345" i="13"/>
  <c r="E346" i="13"/>
  <c r="R346" i="13"/>
  <c r="E347" i="13"/>
  <c r="R347" i="13"/>
  <c r="E348" i="13"/>
  <c r="R348" i="13"/>
  <c r="E349" i="13"/>
  <c r="R349" i="13"/>
  <c r="E350" i="13"/>
  <c r="R350" i="13"/>
  <c r="E351" i="13"/>
  <c r="R351" i="13"/>
  <c r="E352" i="13"/>
  <c r="R352" i="13"/>
  <c r="E353" i="13"/>
  <c r="R353" i="13"/>
  <c r="E354" i="13"/>
  <c r="R354" i="13"/>
  <c r="E355" i="13"/>
  <c r="R355" i="13"/>
  <c r="E356" i="13"/>
  <c r="R356" i="13"/>
  <c r="E357" i="13"/>
  <c r="R357" i="13"/>
  <c r="E358" i="13"/>
  <c r="R358" i="13"/>
  <c r="E359" i="13"/>
  <c r="R359" i="13"/>
  <c r="E360" i="13"/>
  <c r="R360" i="13"/>
  <c r="E361" i="13"/>
  <c r="R361" i="13"/>
  <c r="E362" i="13"/>
  <c r="R362" i="13"/>
  <c r="E363" i="13"/>
  <c r="R363" i="13"/>
  <c r="E364" i="13"/>
  <c r="R364" i="13"/>
  <c r="E365" i="13"/>
  <c r="R365" i="13"/>
  <c r="E366" i="13"/>
  <c r="R366" i="13"/>
  <c r="E367" i="13"/>
  <c r="R367" i="13"/>
  <c r="E368" i="13"/>
  <c r="R368" i="13"/>
  <c r="E369" i="13"/>
  <c r="R369" i="13"/>
  <c r="E370" i="13"/>
  <c r="R370" i="13"/>
  <c r="E371" i="13"/>
  <c r="R371" i="13"/>
  <c r="E372" i="13"/>
  <c r="R372" i="13"/>
  <c r="E373" i="13"/>
  <c r="R373" i="13"/>
  <c r="E374" i="13"/>
  <c r="R374" i="13"/>
  <c r="E375" i="13"/>
  <c r="R375" i="13"/>
  <c r="E376" i="13"/>
  <c r="R376" i="13"/>
  <c r="E377" i="13"/>
  <c r="R377" i="13"/>
  <c r="E378" i="13"/>
  <c r="R378" i="13"/>
  <c r="E379" i="13"/>
  <c r="R379" i="13"/>
  <c r="E380" i="13"/>
  <c r="R380" i="13"/>
  <c r="E381" i="13"/>
  <c r="R381" i="13"/>
  <c r="E382" i="13"/>
  <c r="R382" i="13"/>
  <c r="E383" i="13"/>
  <c r="R383" i="13"/>
  <c r="E384" i="13"/>
  <c r="R384" i="13"/>
  <c r="E385" i="13"/>
  <c r="R385" i="13"/>
  <c r="E386" i="13"/>
  <c r="R386" i="13"/>
  <c r="E387" i="13"/>
  <c r="R387" i="13"/>
  <c r="E388" i="13"/>
  <c r="R388" i="13"/>
  <c r="E389" i="13"/>
  <c r="R389" i="13"/>
  <c r="E390" i="13"/>
  <c r="R390" i="13"/>
  <c r="E391" i="13"/>
  <c r="R391" i="13"/>
  <c r="E392" i="13"/>
  <c r="R392" i="13"/>
  <c r="E393" i="13"/>
  <c r="R393" i="13"/>
  <c r="E394" i="13"/>
  <c r="R394" i="13"/>
  <c r="E395" i="13"/>
  <c r="R395" i="13"/>
  <c r="E396" i="13"/>
  <c r="R396" i="13"/>
  <c r="E397" i="13"/>
  <c r="R397" i="13"/>
  <c r="E398" i="13"/>
  <c r="R398" i="13"/>
  <c r="E399" i="13"/>
  <c r="R399" i="13"/>
  <c r="E400" i="13"/>
  <c r="R400" i="13"/>
  <c r="E401" i="13"/>
  <c r="R401" i="13"/>
  <c r="E402" i="13"/>
  <c r="R402" i="13"/>
  <c r="E403" i="13"/>
  <c r="R403" i="13"/>
  <c r="E404" i="13"/>
  <c r="R404" i="13"/>
  <c r="E405" i="13"/>
  <c r="R405" i="13"/>
  <c r="E406" i="13"/>
  <c r="R406" i="13"/>
  <c r="E407" i="13"/>
  <c r="R407" i="13"/>
  <c r="E408" i="13"/>
  <c r="R408" i="13"/>
  <c r="E409" i="13"/>
  <c r="R409" i="13"/>
  <c r="E410" i="13"/>
  <c r="R410" i="13"/>
  <c r="E411" i="13"/>
  <c r="R411" i="13"/>
  <c r="E412" i="13"/>
  <c r="R412" i="13"/>
  <c r="E413" i="13"/>
  <c r="R413" i="13"/>
  <c r="E414" i="13"/>
  <c r="R414" i="13"/>
  <c r="E415" i="13"/>
  <c r="R415" i="13"/>
  <c r="E416" i="13"/>
  <c r="R416" i="13"/>
  <c r="E417" i="13"/>
  <c r="R417" i="13"/>
  <c r="E418" i="13"/>
  <c r="R418" i="13"/>
  <c r="E419" i="13"/>
  <c r="R419" i="13"/>
  <c r="E420" i="13"/>
  <c r="R420" i="13"/>
  <c r="E421" i="13"/>
  <c r="R421" i="13"/>
  <c r="E422" i="13"/>
  <c r="R422" i="13"/>
  <c r="E423" i="13"/>
  <c r="R423" i="13"/>
  <c r="E424" i="13"/>
  <c r="R424" i="13"/>
  <c r="E425" i="13"/>
  <c r="R425" i="13"/>
  <c r="E426" i="13"/>
  <c r="R426" i="13"/>
  <c r="E427" i="13"/>
  <c r="R427" i="13"/>
  <c r="E428" i="13"/>
  <c r="R428" i="13"/>
  <c r="E429" i="13"/>
  <c r="R429" i="13"/>
  <c r="E430" i="13"/>
  <c r="R430" i="13"/>
  <c r="E431" i="13"/>
  <c r="R431" i="13"/>
  <c r="E432" i="13"/>
  <c r="R432" i="13"/>
  <c r="E433" i="13"/>
  <c r="R433" i="13"/>
  <c r="E434" i="13"/>
  <c r="R434" i="13"/>
  <c r="E435" i="13"/>
  <c r="R435" i="13"/>
  <c r="E436" i="13"/>
  <c r="R436" i="13"/>
  <c r="E437" i="13"/>
  <c r="R437" i="13"/>
  <c r="E438" i="13"/>
  <c r="R438" i="13"/>
  <c r="E439" i="13"/>
  <c r="R439" i="13"/>
  <c r="E440" i="13"/>
  <c r="R440" i="13"/>
  <c r="E441" i="13"/>
  <c r="R441" i="13"/>
  <c r="E442" i="13"/>
  <c r="R442" i="13"/>
  <c r="E443" i="13"/>
  <c r="R443" i="13"/>
  <c r="E444" i="13"/>
  <c r="R444" i="13"/>
  <c r="E445" i="13"/>
  <c r="R445" i="13"/>
  <c r="E446" i="13"/>
  <c r="R446" i="13"/>
  <c r="E447" i="13"/>
  <c r="R447" i="13"/>
  <c r="E448" i="13"/>
  <c r="R448" i="13"/>
  <c r="E449" i="13"/>
  <c r="R449" i="13"/>
  <c r="E450" i="13"/>
  <c r="R450" i="13"/>
  <c r="E451" i="13"/>
  <c r="R451" i="13"/>
  <c r="E452" i="13"/>
  <c r="R452" i="13"/>
  <c r="E453" i="13"/>
  <c r="R453" i="13"/>
  <c r="E454" i="13"/>
  <c r="R454" i="13"/>
  <c r="E455" i="13"/>
  <c r="R455" i="13"/>
  <c r="E456" i="13"/>
  <c r="R456" i="13"/>
  <c r="E457" i="13"/>
  <c r="R457" i="13"/>
  <c r="E458" i="13"/>
  <c r="R458" i="13"/>
  <c r="E459" i="13"/>
  <c r="R459" i="13"/>
  <c r="E460" i="13"/>
  <c r="R460" i="13"/>
  <c r="E461" i="13"/>
  <c r="R461" i="13"/>
  <c r="E462" i="13"/>
  <c r="R462" i="13"/>
  <c r="E463" i="13"/>
  <c r="R463" i="13"/>
  <c r="E464" i="13"/>
  <c r="R464" i="13"/>
  <c r="E465" i="13"/>
  <c r="R465" i="13"/>
  <c r="E466" i="13"/>
  <c r="R466" i="13"/>
  <c r="E467" i="13"/>
  <c r="R467" i="13"/>
  <c r="E468" i="13"/>
  <c r="R468" i="13"/>
  <c r="E469" i="13"/>
  <c r="R469" i="13"/>
  <c r="E470" i="13"/>
  <c r="R470" i="13"/>
  <c r="E471" i="13"/>
  <c r="R471" i="13"/>
  <c r="E472" i="13"/>
  <c r="R472" i="13"/>
  <c r="E473" i="13"/>
  <c r="R473" i="13"/>
  <c r="E474" i="13"/>
  <c r="R474" i="13"/>
  <c r="E475" i="13"/>
  <c r="R475" i="13"/>
  <c r="E476" i="13"/>
  <c r="R476" i="13"/>
  <c r="E477" i="13"/>
  <c r="R477" i="13"/>
  <c r="E478" i="13"/>
  <c r="R478" i="13"/>
  <c r="E479" i="13"/>
  <c r="R479" i="13"/>
  <c r="E480" i="13"/>
  <c r="R480" i="13"/>
  <c r="E481" i="13"/>
  <c r="R481" i="13"/>
  <c r="E482" i="13"/>
  <c r="R482" i="13"/>
  <c r="E483" i="13"/>
  <c r="R483" i="13"/>
  <c r="E484" i="13"/>
  <c r="R484" i="13"/>
  <c r="E485" i="13"/>
  <c r="R485" i="13"/>
  <c r="E486" i="13"/>
  <c r="R486" i="13"/>
  <c r="E487" i="13"/>
  <c r="R487" i="13"/>
  <c r="E488" i="13"/>
  <c r="R488" i="13"/>
  <c r="E489" i="13"/>
  <c r="R489" i="13"/>
  <c r="E490" i="13"/>
  <c r="R490" i="13"/>
  <c r="E491" i="13"/>
  <c r="R491" i="13"/>
  <c r="E492" i="13"/>
  <c r="R492" i="13"/>
  <c r="E493" i="13"/>
  <c r="R493" i="13"/>
  <c r="E494" i="13"/>
  <c r="R494" i="13"/>
  <c r="E495" i="13"/>
  <c r="R495" i="13"/>
  <c r="E496" i="13"/>
  <c r="R496" i="13"/>
  <c r="E497" i="13"/>
  <c r="R497" i="13"/>
  <c r="E498" i="13"/>
  <c r="R498" i="13"/>
  <c r="E499" i="13"/>
  <c r="R499" i="13"/>
  <c r="E500" i="13"/>
  <c r="R500" i="13"/>
  <c r="E501" i="13"/>
  <c r="R501" i="13"/>
  <c r="E502" i="13"/>
  <c r="R502" i="13"/>
  <c r="E503" i="13"/>
  <c r="R503" i="13"/>
  <c r="E504" i="13"/>
  <c r="R504" i="13"/>
  <c r="E505" i="13"/>
  <c r="R505" i="13"/>
  <c r="E506" i="13"/>
  <c r="R506" i="13"/>
  <c r="E507" i="13"/>
  <c r="R507" i="13"/>
  <c r="E508" i="13"/>
  <c r="R508" i="13"/>
  <c r="E509" i="13"/>
  <c r="R509" i="13"/>
  <c r="E510" i="13"/>
  <c r="R510" i="13"/>
  <c r="E511" i="13"/>
  <c r="R511" i="13"/>
  <c r="E512" i="13"/>
  <c r="R512" i="13"/>
  <c r="E513" i="13"/>
  <c r="R513" i="13"/>
  <c r="E514" i="13"/>
  <c r="R514" i="13"/>
  <c r="E515" i="13"/>
  <c r="R515" i="13"/>
  <c r="E516" i="13"/>
  <c r="R516" i="13"/>
  <c r="E517" i="13"/>
  <c r="R517" i="13"/>
  <c r="E518" i="13"/>
  <c r="R518" i="13"/>
  <c r="E519" i="13"/>
  <c r="R519" i="13"/>
  <c r="E520" i="13"/>
  <c r="R520" i="13"/>
  <c r="E521" i="13"/>
  <c r="R521" i="13"/>
  <c r="E522" i="13"/>
  <c r="R522" i="13"/>
  <c r="E523" i="13"/>
  <c r="R523" i="13"/>
  <c r="E524" i="13"/>
  <c r="R524" i="13"/>
  <c r="E525" i="13"/>
  <c r="R525" i="13"/>
  <c r="E526" i="13"/>
  <c r="R526" i="13"/>
  <c r="E527" i="13"/>
  <c r="R527" i="13"/>
  <c r="E528" i="13"/>
  <c r="R528" i="13"/>
  <c r="E529" i="13"/>
  <c r="R529" i="13"/>
  <c r="E530" i="13"/>
  <c r="R530" i="13"/>
  <c r="E531" i="13"/>
  <c r="R531" i="13"/>
  <c r="E532" i="13"/>
  <c r="R532" i="13"/>
  <c r="E533" i="13"/>
  <c r="R533" i="13"/>
  <c r="E534" i="13"/>
  <c r="R534" i="13"/>
  <c r="E535" i="13"/>
  <c r="R535" i="13"/>
  <c r="E536" i="13"/>
  <c r="R536" i="13"/>
  <c r="E537" i="13"/>
  <c r="R537" i="13"/>
  <c r="E538" i="13"/>
  <c r="R538" i="13"/>
  <c r="E539" i="13"/>
  <c r="R539" i="13"/>
  <c r="E540" i="13"/>
  <c r="R540" i="13"/>
  <c r="E541" i="13"/>
  <c r="R541" i="13"/>
  <c r="E542" i="13"/>
  <c r="R542" i="13"/>
  <c r="E543" i="13"/>
  <c r="R543" i="13"/>
  <c r="E544" i="13"/>
  <c r="R544" i="13"/>
  <c r="E545" i="13"/>
  <c r="R545" i="13"/>
  <c r="E546" i="13"/>
  <c r="R546" i="13"/>
  <c r="E547" i="13"/>
  <c r="R547" i="13"/>
  <c r="E548" i="13"/>
  <c r="R548" i="13"/>
  <c r="E549" i="13"/>
  <c r="R549" i="13"/>
  <c r="E550" i="13"/>
  <c r="R550" i="13"/>
  <c r="E551" i="13"/>
  <c r="R551" i="13"/>
  <c r="E552" i="13"/>
  <c r="R552" i="13"/>
  <c r="E553" i="13"/>
  <c r="R553" i="13"/>
  <c r="E554" i="13"/>
  <c r="R554" i="13"/>
  <c r="E555" i="13"/>
  <c r="R555" i="13"/>
  <c r="E556" i="13"/>
  <c r="R556" i="13"/>
  <c r="E557" i="13"/>
  <c r="R557" i="13"/>
  <c r="E558" i="13"/>
  <c r="R558" i="13"/>
  <c r="E559" i="13"/>
  <c r="R559" i="13"/>
  <c r="E560" i="13"/>
  <c r="R560" i="13"/>
  <c r="E561" i="13"/>
  <c r="R561" i="13"/>
  <c r="E562" i="13"/>
  <c r="R562" i="13"/>
  <c r="E563" i="13"/>
  <c r="R563" i="13"/>
  <c r="E564" i="13"/>
  <c r="R564" i="13"/>
  <c r="E565" i="13"/>
  <c r="R565" i="13"/>
  <c r="E566" i="13"/>
  <c r="R566" i="13"/>
  <c r="E567" i="13"/>
  <c r="R567" i="13"/>
  <c r="E568" i="13"/>
  <c r="R568" i="13"/>
  <c r="E569" i="13"/>
  <c r="R569" i="13"/>
  <c r="E570" i="13"/>
  <c r="R570" i="13"/>
  <c r="E571" i="13"/>
  <c r="R571" i="13"/>
  <c r="E572" i="13"/>
  <c r="R572" i="13"/>
  <c r="E573" i="13"/>
  <c r="R573" i="13"/>
  <c r="E574" i="13"/>
  <c r="R574" i="13"/>
  <c r="E575" i="13"/>
  <c r="R575" i="13"/>
  <c r="E576" i="13"/>
  <c r="R576" i="13"/>
  <c r="E577" i="13"/>
  <c r="R577" i="13"/>
  <c r="E578" i="13"/>
  <c r="R578" i="13"/>
  <c r="E579" i="13"/>
  <c r="R579" i="13"/>
  <c r="E580" i="13"/>
  <c r="R580" i="13"/>
  <c r="E581" i="13"/>
  <c r="R581" i="13"/>
  <c r="E582" i="13"/>
  <c r="R582" i="13"/>
  <c r="E583" i="13"/>
  <c r="R583" i="13"/>
  <c r="E584" i="13"/>
  <c r="R584" i="13"/>
  <c r="E585" i="13"/>
  <c r="R585" i="13"/>
  <c r="E586" i="13"/>
  <c r="R586" i="13"/>
  <c r="E587" i="13"/>
  <c r="R587" i="13"/>
  <c r="E588" i="13"/>
  <c r="R588" i="13"/>
  <c r="E589" i="13"/>
  <c r="R589" i="13"/>
  <c r="E590" i="13"/>
  <c r="R590" i="13"/>
  <c r="E591" i="13"/>
  <c r="R591" i="13"/>
  <c r="E592" i="13"/>
  <c r="R592" i="13"/>
  <c r="E593" i="13"/>
  <c r="R593" i="13"/>
  <c r="E594" i="13"/>
  <c r="R594" i="13"/>
  <c r="E595" i="13"/>
  <c r="R595" i="13"/>
  <c r="E596" i="13"/>
  <c r="R596" i="13"/>
  <c r="E597" i="13"/>
  <c r="R597" i="13"/>
  <c r="E598" i="13"/>
  <c r="R598" i="13"/>
  <c r="E599" i="13"/>
  <c r="R599" i="13"/>
  <c r="E600" i="13"/>
  <c r="R600" i="13"/>
  <c r="E601" i="13"/>
  <c r="R601" i="13"/>
  <c r="E602" i="13"/>
  <c r="R602" i="13"/>
  <c r="E603" i="13"/>
  <c r="R603" i="13"/>
  <c r="E604" i="13"/>
  <c r="R604" i="13"/>
  <c r="E605" i="13"/>
  <c r="R605" i="13"/>
  <c r="E606" i="13"/>
  <c r="R606" i="13"/>
  <c r="E607" i="13"/>
  <c r="R607" i="13"/>
  <c r="E608" i="13"/>
  <c r="R608" i="13"/>
  <c r="E609" i="13"/>
  <c r="R609" i="13"/>
  <c r="E610" i="13"/>
  <c r="R610" i="13"/>
  <c r="E611" i="13"/>
  <c r="R611" i="13"/>
  <c r="E612" i="13"/>
  <c r="R612" i="13"/>
  <c r="E613" i="13"/>
  <c r="R613" i="13"/>
  <c r="E614" i="13"/>
  <c r="R614" i="13"/>
  <c r="E615" i="13"/>
  <c r="R615" i="13"/>
  <c r="E616" i="13"/>
  <c r="R616" i="13"/>
  <c r="E617" i="13"/>
  <c r="R617" i="13"/>
  <c r="E618" i="13"/>
  <c r="R618" i="13"/>
  <c r="E619" i="13"/>
  <c r="R619" i="13"/>
  <c r="E620" i="13"/>
  <c r="R620" i="13"/>
  <c r="E621" i="13"/>
  <c r="R621" i="13"/>
  <c r="E622" i="13"/>
  <c r="R622" i="13"/>
  <c r="E623" i="13"/>
  <c r="R623" i="13"/>
  <c r="E624" i="13"/>
  <c r="R624" i="13"/>
  <c r="E625" i="13"/>
  <c r="R625" i="13"/>
  <c r="E626" i="13"/>
  <c r="R626" i="13"/>
  <c r="E627" i="13"/>
  <c r="R627" i="13"/>
  <c r="E628" i="13"/>
  <c r="R628" i="13"/>
  <c r="E629" i="13"/>
  <c r="R629" i="13"/>
  <c r="E630" i="13"/>
  <c r="R630" i="13"/>
  <c r="E631" i="13"/>
  <c r="R631" i="13"/>
  <c r="E632" i="13"/>
  <c r="R632" i="13"/>
  <c r="E633" i="13"/>
  <c r="R633" i="13"/>
  <c r="E634" i="13"/>
  <c r="R634" i="13"/>
  <c r="E635" i="13"/>
  <c r="R635" i="13"/>
  <c r="E636" i="13"/>
  <c r="R636" i="13"/>
  <c r="E637" i="13"/>
  <c r="R637" i="13"/>
  <c r="E638" i="13"/>
  <c r="R638" i="13"/>
  <c r="E639" i="13"/>
  <c r="R639" i="13"/>
  <c r="E640" i="13"/>
  <c r="R640" i="13"/>
  <c r="E641" i="13"/>
  <c r="R641" i="13"/>
  <c r="E642" i="13"/>
  <c r="R642" i="13"/>
  <c r="E643" i="13"/>
  <c r="R643" i="13"/>
  <c r="E644" i="13"/>
  <c r="R644" i="13"/>
  <c r="E645" i="13"/>
  <c r="R645" i="13"/>
  <c r="E646" i="13"/>
  <c r="R646" i="13"/>
  <c r="E647" i="13"/>
  <c r="R647" i="13"/>
  <c r="E648" i="13"/>
  <c r="R648" i="13"/>
  <c r="E649" i="13"/>
  <c r="R649" i="13"/>
  <c r="E650" i="13"/>
  <c r="R650" i="13"/>
  <c r="E651" i="13"/>
  <c r="R651" i="13"/>
  <c r="E652" i="13"/>
  <c r="R652" i="13"/>
  <c r="E653" i="13"/>
  <c r="R653" i="13"/>
  <c r="E654" i="13"/>
  <c r="R654" i="13"/>
  <c r="E655" i="13"/>
  <c r="R655" i="13"/>
  <c r="E656" i="13"/>
  <c r="R656" i="13"/>
  <c r="E657" i="13"/>
  <c r="R657" i="13"/>
  <c r="E658" i="13"/>
  <c r="R658" i="13"/>
  <c r="E659" i="13"/>
  <c r="R659" i="13"/>
  <c r="E660" i="13"/>
  <c r="R660" i="13"/>
  <c r="R661" i="13"/>
  <c r="G7" i="8" l="1"/>
  <c r="H7" i="8" s="1"/>
  <c r="I7" i="8" s="1"/>
  <c r="J7" i="8" s="1"/>
  <c r="K7" i="8" s="1"/>
  <c r="L7" i="8" s="1"/>
  <c r="M7" i="8" s="1"/>
  <c r="N7" i="8" s="1"/>
  <c r="O7" i="8" s="1"/>
  <c r="F15" i="12"/>
  <c r="F14" i="12"/>
  <c r="J14" i="12"/>
  <c r="J15" i="12" s="1"/>
  <c r="F11" i="12"/>
  <c r="F10" i="12"/>
  <c r="J10" i="12"/>
  <c r="J11" i="12" s="1"/>
  <c r="J17" i="12"/>
  <c r="J16" i="12"/>
  <c r="J9" i="12"/>
  <c r="J8" i="12"/>
  <c r="J5" i="12"/>
  <c r="J4" i="12"/>
  <c r="G37" i="4"/>
  <c r="G23" i="2"/>
  <c r="H23" i="2" s="1"/>
  <c r="I23" i="2" s="1"/>
  <c r="J23" i="2" s="1"/>
  <c r="K23" i="2" s="1"/>
  <c r="L23" i="2" s="1"/>
  <c r="M23" i="2" s="1"/>
  <c r="N23" i="2" s="1"/>
  <c r="O23" i="2" s="1"/>
  <c r="H37" i="4" l="1"/>
  <c r="I37" i="4" l="1"/>
  <c r="J37" i="4" s="1"/>
  <c r="K37" i="4" l="1"/>
  <c r="L37" i="4" l="1"/>
  <c r="M37" i="4" l="1"/>
  <c r="N37" i="4" l="1"/>
  <c r="O37" i="4" l="1"/>
  <c r="E61" i="5" l="1"/>
  <c r="D61" i="5"/>
  <c r="C61" i="5"/>
  <c r="E60" i="5"/>
  <c r="D60" i="5"/>
  <c r="C60" i="5"/>
  <c r="E59" i="5"/>
  <c r="D59" i="5"/>
  <c r="C59" i="5"/>
  <c r="B61" i="5"/>
  <c r="B60" i="5"/>
  <c r="B59" i="5"/>
  <c r="A5" i="11"/>
  <c r="A24" i="11" s="1"/>
  <c r="A50" i="11" s="1"/>
  <c r="A6" i="11"/>
  <c r="A25" i="11" s="1"/>
  <c r="A51" i="11" s="1"/>
  <c r="A7" i="11"/>
  <c r="A26" i="11" s="1"/>
  <c r="A52" i="11" s="1"/>
  <c r="A8" i="11"/>
  <c r="A27" i="11" s="1"/>
  <c r="A9" i="11"/>
  <c r="A28" i="11" s="1"/>
  <c r="A4" i="11"/>
  <c r="A23" i="11" s="1"/>
  <c r="A49" i="11" s="1"/>
  <c r="E52" i="5"/>
  <c r="D52" i="5"/>
  <c r="C52" i="5"/>
  <c r="B52" i="5"/>
  <c r="E51" i="5"/>
  <c r="D51" i="5"/>
  <c r="C51" i="5"/>
  <c r="B51" i="5"/>
  <c r="E36" i="5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D36" i="5"/>
  <c r="C36" i="5"/>
  <c r="C38" i="5" s="1"/>
  <c r="B36" i="5"/>
  <c r="B38" i="5" s="1"/>
  <c r="E42" i="5"/>
  <c r="D42" i="5"/>
  <c r="C42" i="5"/>
  <c r="B42" i="5"/>
  <c r="E41" i="5"/>
  <c r="D41" i="5"/>
  <c r="C41" i="5"/>
  <c r="B41" i="5"/>
  <c r="E28" i="5"/>
  <c r="D28" i="5"/>
  <c r="C28" i="5"/>
  <c r="B28" i="5"/>
  <c r="D38" i="5"/>
  <c r="E33" i="5"/>
  <c r="D33" i="5"/>
  <c r="C33" i="5"/>
  <c r="B33" i="5"/>
  <c r="E32" i="5"/>
  <c r="D32" i="5"/>
  <c r="C32" i="5"/>
  <c r="B32" i="5"/>
  <c r="E104" i="4"/>
  <c r="D104" i="4"/>
  <c r="E105" i="4" s="1"/>
  <c r="C104" i="4"/>
  <c r="D105" i="4" s="1"/>
  <c r="B104" i="4"/>
  <c r="F14" i="10"/>
  <c r="G14" i="10" s="1"/>
  <c r="F99" i="4"/>
  <c r="G99" i="4" s="1"/>
  <c r="H99" i="4" s="1"/>
  <c r="I99" i="4" s="1"/>
  <c r="J99" i="4" s="1"/>
  <c r="K99" i="4" s="1"/>
  <c r="L99" i="4" s="1"/>
  <c r="M99" i="4" s="1"/>
  <c r="N99" i="4" s="1"/>
  <c r="O99" i="4" s="1"/>
  <c r="E42" i="4"/>
  <c r="D42" i="4"/>
  <c r="C42" i="4"/>
  <c r="B42" i="4"/>
  <c r="A73" i="10"/>
  <c r="A72" i="10"/>
  <c r="B45" i="10"/>
  <c r="B41" i="10"/>
  <c r="D53" i="10"/>
  <c r="E68" i="10"/>
  <c r="D68" i="10"/>
  <c r="C68" i="10"/>
  <c r="E65" i="10"/>
  <c r="D65" i="10"/>
  <c r="C65" i="10"/>
  <c r="B68" i="10"/>
  <c r="B65" i="10"/>
  <c r="A68" i="10"/>
  <c r="A65" i="10"/>
  <c r="A64" i="10"/>
  <c r="C57" i="10"/>
  <c r="C102" i="4" s="1"/>
  <c r="B57" i="10"/>
  <c r="B102" i="4" s="1"/>
  <c r="C41" i="10"/>
  <c r="C45" i="10"/>
  <c r="B32" i="10"/>
  <c r="B27" i="10"/>
  <c r="C32" i="10"/>
  <c r="C27" i="10"/>
  <c r="D27" i="10"/>
  <c r="D32" i="10"/>
  <c r="E32" i="10"/>
  <c r="E27" i="10"/>
  <c r="E19" i="10"/>
  <c r="D19" i="10"/>
  <c r="C19" i="10"/>
  <c r="B19" i="10"/>
  <c r="C23" i="10"/>
  <c r="D23" i="10"/>
  <c r="E23" i="10"/>
  <c r="B23" i="10"/>
  <c r="B15" i="10"/>
  <c r="B9" i="10"/>
  <c r="D9" i="10"/>
  <c r="C9" i="10"/>
  <c r="C15" i="10"/>
  <c r="D15" i="10"/>
  <c r="E15" i="10"/>
  <c r="E9" i="10"/>
  <c r="B9" i="5"/>
  <c r="B46" i="5" s="1"/>
  <c r="B48" i="5" s="1"/>
  <c r="B7" i="5"/>
  <c r="C9" i="5"/>
  <c r="C46" i="5" s="1"/>
  <c r="D9" i="5"/>
  <c r="D46" i="5" s="1"/>
  <c r="C7" i="5"/>
  <c r="D7" i="5"/>
  <c r="F112" i="4"/>
  <c r="G112" i="4" s="1"/>
  <c r="H112" i="4" s="1"/>
  <c r="I112" i="4" s="1"/>
  <c r="J112" i="4" s="1"/>
  <c r="K112" i="4" s="1"/>
  <c r="L112" i="4" s="1"/>
  <c r="M112" i="4" s="1"/>
  <c r="N112" i="4" s="1"/>
  <c r="O112" i="4" s="1"/>
  <c r="D115" i="4"/>
  <c r="B117" i="4"/>
  <c r="C117" i="4"/>
  <c r="D117" i="4"/>
  <c r="B119" i="4"/>
  <c r="B120" i="4" s="1"/>
  <c r="C119" i="4"/>
  <c r="D119" i="4"/>
  <c r="E119" i="4"/>
  <c r="F111" i="4" s="1"/>
  <c r="E117" i="4"/>
  <c r="E115" i="4"/>
  <c r="F109" i="4" s="1"/>
  <c r="E108" i="4"/>
  <c r="E113" i="4" s="1"/>
  <c r="F113" i="4" s="1"/>
  <c r="G113" i="4" s="1"/>
  <c r="H113" i="4" s="1"/>
  <c r="I113" i="4" s="1"/>
  <c r="J113" i="4" s="1"/>
  <c r="K113" i="4" s="1"/>
  <c r="L113" i="4" s="1"/>
  <c r="M113" i="4" s="1"/>
  <c r="N113" i="4" s="1"/>
  <c r="O113" i="4" s="1"/>
  <c r="D108" i="4"/>
  <c r="D113" i="4" s="1"/>
  <c r="C108" i="4"/>
  <c r="C113" i="4" s="1"/>
  <c r="B108" i="4"/>
  <c r="B113" i="4" s="1"/>
  <c r="F56" i="10"/>
  <c r="G56" i="10" s="1"/>
  <c r="H56" i="10" s="1"/>
  <c r="I56" i="10" s="1"/>
  <c r="J56" i="10" s="1"/>
  <c r="K56" i="10" s="1"/>
  <c r="L56" i="10" s="1"/>
  <c r="M56" i="10" s="1"/>
  <c r="N56" i="10" s="1"/>
  <c r="O56" i="10" s="1"/>
  <c r="F51" i="10"/>
  <c r="G51" i="10" s="1"/>
  <c r="H51" i="10" s="1"/>
  <c r="I51" i="10" s="1"/>
  <c r="J51" i="10" s="1"/>
  <c r="K51" i="10" s="1"/>
  <c r="L51" i="10" s="1"/>
  <c r="M51" i="10" s="1"/>
  <c r="N51" i="10" s="1"/>
  <c r="O51" i="10" s="1"/>
  <c r="F50" i="10"/>
  <c r="G50" i="10" s="1"/>
  <c r="H50" i="10" s="1"/>
  <c r="I50" i="10" s="1"/>
  <c r="J50" i="10" s="1"/>
  <c r="K50" i="10" s="1"/>
  <c r="L50" i="10" s="1"/>
  <c r="M50" i="10" s="1"/>
  <c r="N50" i="10" s="1"/>
  <c r="O50" i="10" s="1"/>
  <c r="F49" i="10"/>
  <c r="G49" i="10" s="1"/>
  <c r="H49" i="10" s="1"/>
  <c r="I49" i="10" s="1"/>
  <c r="J49" i="10" s="1"/>
  <c r="K49" i="10" s="1"/>
  <c r="L49" i="10" s="1"/>
  <c r="M49" i="10" s="1"/>
  <c r="N49" i="10" s="1"/>
  <c r="O49" i="10" s="1"/>
  <c r="F47" i="10"/>
  <c r="G47" i="10" s="1"/>
  <c r="H47" i="10" s="1"/>
  <c r="I47" i="10" s="1"/>
  <c r="J47" i="10" s="1"/>
  <c r="K47" i="10" s="1"/>
  <c r="L47" i="10" s="1"/>
  <c r="M47" i="10" s="1"/>
  <c r="F43" i="10"/>
  <c r="G43" i="10" s="1"/>
  <c r="H43" i="10" s="1"/>
  <c r="I43" i="10" s="1"/>
  <c r="J43" i="10" s="1"/>
  <c r="K43" i="10" s="1"/>
  <c r="L43" i="10" s="1"/>
  <c r="M43" i="10" s="1"/>
  <c r="N43" i="10" s="1"/>
  <c r="O43" i="10" s="1"/>
  <c r="E96" i="4"/>
  <c r="D96" i="4"/>
  <c r="C96" i="4"/>
  <c r="B96" i="4"/>
  <c r="C103" i="4" l="1"/>
  <c r="B63" i="5"/>
  <c r="E29" i="5"/>
  <c r="C63" i="5"/>
  <c r="E63" i="5"/>
  <c r="D53" i="5"/>
  <c r="D63" i="5"/>
  <c r="D29" i="5"/>
  <c r="C29" i="5"/>
  <c r="C43" i="5"/>
  <c r="E53" i="5"/>
  <c r="B53" i="5"/>
  <c r="C53" i="5"/>
  <c r="B34" i="5"/>
  <c r="D47" i="5"/>
  <c r="D48" i="5"/>
  <c r="C47" i="5"/>
  <c r="F28" i="5"/>
  <c r="C34" i="5"/>
  <c r="D43" i="5"/>
  <c r="C48" i="5"/>
  <c r="B43" i="5"/>
  <c r="E43" i="5"/>
  <c r="F43" i="5" s="1"/>
  <c r="G43" i="5" s="1"/>
  <c r="H43" i="5" s="1"/>
  <c r="D34" i="5"/>
  <c r="E34" i="5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H14" i="10"/>
  <c r="G104" i="4"/>
  <c r="F104" i="4"/>
  <c r="C105" i="4"/>
  <c r="D100" i="4"/>
  <c r="E100" i="4"/>
  <c r="F100" i="4" s="1"/>
  <c r="G100" i="4" s="1"/>
  <c r="H100" i="4" s="1"/>
  <c r="I100" i="4" s="1"/>
  <c r="J100" i="4" s="1"/>
  <c r="K100" i="4" s="1"/>
  <c r="L100" i="4" s="1"/>
  <c r="M100" i="4" s="1"/>
  <c r="N100" i="4" s="1"/>
  <c r="O100" i="4" s="1"/>
  <c r="B100" i="4"/>
  <c r="C100" i="4"/>
  <c r="C53" i="10"/>
  <c r="B53" i="10"/>
  <c r="B60" i="10" s="1"/>
  <c r="B64" i="10" s="1"/>
  <c r="B66" i="10" s="1"/>
  <c r="B52" i="10"/>
  <c r="B59" i="10" s="1"/>
  <c r="B72" i="10" s="1"/>
  <c r="B115" i="4"/>
  <c r="E16" i="10"/>
  <c r="C52" i="10"/>
  <c r="C59" i="10" s="1"/>
  <c r="D33" i="10"/>
  <c r="D34" i="10" s="1"/>
  <c r="E33" i="10"/>
  <c r="E34" i="10" s="1"/>
  <c r="C60" i="10"/>
  <c r="C64" i="10" s="1"/>
  <c r="B16" i="10"/>
  <c r="C115" i="4"/>
  <c r="B33" i="10"/>
  <c r="B34" i="10" s="1"/>
  <c r="C33" i="10"/>
  <c r="C34" i="10" s="1"/>
  <c r="C16" i="10"/>
  <c r="D16" i="10"/>
  <c r="D120" i="4"/>
  <c r="E116" i="4"/>
  <c r="D118" i="4"/>
  <c r="E118" i="4"/>
  <c r="F119" i="4"/>
  <c r="G111" i="4" s="1"/>
  <c r="N47" i="10"/>
  <c r="M119" i="4"/>
  <c r="N111" i="4" s="1"/>
  <c r="J119" i="4"/>
  <c r="K111" i="4" s="1"/>
  <c r="E120" i="4"/>
  <c r="C120" i="4"/>
  <c r="G119" i="4"/>
  <c r="H111" i="4" s="1"/>
  <c r="I119" i="4"/>
  <c r="J111" i="4" s="1"/>
  <c r="H119" i="4"/>
  <c r="I111" i="4" s="1"/>
  <c r="F110" i="4"/>
  <c r="F108" i="4" s="1"/>
  <c r="F23" i="4" s="1"/>
  <c r="L119" i="4"/>
  <c r="M111" i="4" s="1"/>
  <c r="K119" i="4"/>
  <c r="L111" i="4" s="1"/>
  <c r="E47" i="4"/>
  <c r="C22" i="5"/>
  <c r="D22" i="5"/>
  <c r="E22" i="5"/>
  <c r="B22" i="5"/>
  <c r="E9" i="5"/>
  <c r="E46" i="5" s="1"/>
  <c r="E48" i="5" s="1"/>
  <c r="E7" i="5"/>
  <c r="B10" i="8"/>
  <c r="C10" i="8"/>
  <c r="D10" i="8"/>
  <c r="E10" i="8"/>
  <c r="D8" i="8"/>
  <c r="C8" i="8"/>
  <c r="E8" i="8"/>
  <c r="E13" i="8"/>
  <c r="E7" i="8" s="1"/>
  <c r="D13" i="8"/>
  <c r="D7" i="8" s="1"/>
  <c r="C13" i="8"/>
  <c r="C7" i="8" s="1"/>
  <c r="B13" i="8"/>
  <c r="B7" i="8" s="1"/>
  <c r="K109" i="10"/>
  <c r="P107" i="10"/>
  <c r="O107" i="10"/>
  <c r="K106" i="10"/>
  <c r="K105" i="10"/>
  <c r="E98" i="10"/>
  <c r="D98" i="10"/>
  <c r="E57" i="10"/>
  <c r="E102" i="4" s="1"/>
  <c r="F97" i="4" s="1"/>
  <c r="D57" i="10"/>
  <c r="D102" i="4" s="1"/>
  <c r="E53" i="10"/>
  <c r="E52" i="10"/>
  <c r="D52" i="10"/>
  <c r="F46" i="10"/>
  <c r="G46" i="10" s="1"/>
  <c r="H46" i="10" s="1"/>
  <c r="I46" i="10" s="1"/>
  <c r="J46" i="10" s="1"/>
  <c r="K46" i="10" s="1"/>
  <c r="L46" i="10" s="1"/>
  <c r="M46" i="10" s="1"/>
  <c r="N46" i="10" s="1"/>
  <c r="O46" i="10" s="1"/>
  <c r="F45" i="10"/>
  <c r="F42" i="10"/>
  <c r="F41" i="10"/>
  <c r="E103" i="4" l="1"/>
  <c r="G98" i="4"/>
  <c r="F36" i="5"/>
  <c r="F37" i="5" s="1"/>
  <c r="G28" i="5"/>
  <c r="F6" i="5"/>
  <c r="E47" i="5"/>
  <c r="I43" i="5"/>
  <c r="J43" i="5" s="1"/>
  <c r="K43" i="5" s="1"/>
  <c r="I14" i="10"/>
  <c r="H104" i="4"/>
  <c r="F98" i="4"/>
  <c r="F32" i="5" s="1"/>
  <c r="F33" i="5" s="1"/>
  <c r="D103" i="4"/>
  <c r="C116" i="4"/>
  <c r="C15" i="5"/>
  <c r="C72" i="10"/>
  <c r="C66" i="10"/>
  <c r="O47" i="10"/>
  <c r="G45" i="10"/>
  <c r="D116" i="4"/>
  <c r="N119" i="4"/>
  <c r="O111" i="4" s="1"/>
  <c r="G42" i="10"/>
  <c r="F117" i="4"/>
  <c r="G110" i="4" s="1"/>
  <c r="D60" i="10"/>
  <c r="D59" i="10"/>
  <c r="D72" i="10" s="1"/>
  <c r="E59" i="10"/>
  <c r="G41" i="10"/>
  <c r="F53" i="10"/>
  <c r="F52" i="10"/>
  <c r="F115" i="4"/>
  <c r="G109" i="4" s="1"/>
  <c r="E60" i="10"/>
  <c r="G36" i="5" l="1"/>
  <c r="G37" i="5" s="1"/>
  <c r="F7" i="5"/>
  <c r="AD112" i="14" s="1"/>
  <c r="H28" i="5"/>
  <c r="G6" i="5"/>
  <c r="L43" i="5"/>
  <c r="M43" i="5" s="1"/>
  <c r="J14" i="10"/>
  <c r="I104" i="4"/>
  <c r="H98" i="4"/>
  <c r="E100" i="10"/>
  <c r="E72" i="10"/>
  <c r="E101" i="10"/>
  <c r="E64" i="10"/>
  <c r="D101" i="10"/>
  <c r="D64" i="10"/>
  <c r="H45" i="10"/>
  <c r="O119" i="4"/>
  <c r="E15" i="5"/>
  <c r="G108" i="4"/>
  <c r="G23" i="4" s="1"/>
  <c r="H42" i="10"/>
  <c r="G117" i="4"/>
  <c r="H110" i="4" s="1"/>
  <c r="H41" i="10"/>
  <c r="G115" i="4"/>
  <c r="H109" i="4" s="1"/>
  <c r="G52" i="10"/>
  <c r="G53" i="10"/>
  <c r="D100" i="10"/>
  <c r="D15" i="5"/>
  <c r="H36" i="5" l="1"/>
  <c r="H37" i="5" s="1"/>
  <c r="I28" i="5"/>
  <c r="H6" i="5"/>
  <c r="N43" i="5"/>
  <c r="K14" i="10"/>
  <c r="J104" i="4"/>
  <c r="I98" i="4"/>
  <c r="D66" i="10"/>
  <c r="D69" i="10"/>
  <c r="D79" i="10" s="1"/>
  <c r="E66" i="10"/>
  <c r="E69" i="10"/>
  <c r="E79" i="10" s="1"/>
  <c r="I45" i="10"/>
  <c r="H108" i="4"/>
  <c r="H23" i="4" s="1"/>
  <c r="I42" i="10"/>
  <c r="H117" i="4"/>
  <c r="I110" i="4" s="1"/>
  <c r="I41" i="10"/>
  <c r="H115" i="4"/>
  <c r="I109" i="4" s="1"/>
  <c r="H53" i="10"/>
  <c r="H52" i="10"/>
  <c r="I36" i="5" l="1"/>
  <c r="I37" i="5" s="1"/>
  <c r="J28" i="5"/>
  <c r="I6" i="5"/>
  <c r="O43" i="5"/>
  <c r="L14" i="10"/>
  <c r="K104" i="4"/>
  <c r="J98" i="4"/>
  <c r="J45" i="10"/>
  <c r="I108" i="4"/>
  <c r="I23" i="4" s="1"/>
  <c r="J42" i="10"/>
  <c r="I117" i="4"/>
  <c r="J110" i="4" s="1"/>
  <c r="J41" i="10"/>
  <c r="I53" i="10"/>
  <c r="I115" i="4"/>
  <c r="J109" i="4" s="1"/>
  <c r="J36" i="5" s="1"/>
  <c r="I52" i="10"/>
  <c r="K28" i="5" l="1"/>
  <c r="J6" i="5"/>
  <c r="J37" i="5"/>
  <c r="M14" i="10"/>
  <c r="L104" i="4"/>
  <c r="K98" i="4"/>
  <c r="K45" i="10"/>
  <c r="J108" i="4"/>
  <c r="J23" i="4" s="1"/>
  <c r="K42" i="10"/>
  <c r="J117" i="4"/>
  <c r="K110" i="4" s="1"/>
  <c r="K41" i="10"/>
  <c r="J52" i="10"/>
  <c r="J115" i="4"/>
  <c r="K109" i="4" s="1"/>
  <c r="J53" i="10"/>
  <c r="K36" i="5" l="1"/>
  <c r="K37" i="5" s="1"/>
  <c r="L28" i="5"/>
  <c r="K6" i="5"/>
  <c r="N14" i="10"/>
  <c r="M104" i="4"/>
  <c r="L98" i="4"/>
  <c r="L45" i="10"/>
  <c r="K108" i="4"/>
  <c r="K23" i="4" s="1"/>
  <c r="L42" i="10"/>
  <c r="K117" i="4"/>
  <c r="L110" i="4" s="1"/>
  <c r="L41" i="10"/>
  <c r="K52" i="10"/>
  <c r="K53" i="10"/>
  <c r="K115" i="4"/>
  <c r="L109" i="4" s="1"/>
  <c r="L36" i="5" s="1"/>
  <c r="M28" i="5" l="1"/>
  <c r="L6" i="5"/>
  <c r="O14" i="10"/>
  <c r="O104" i="4" s="1"/>
  <c r="N104" i="4"/>
  <c r="L37" i="5"/>
  <c r="M98" i="4"/>
  <c r="M45" i="10"/>
  <c r="L108" i="4"/>
  <c r="L23" i="4" s="1"/>
  <c r="M42" i="10"/>
  <c r="L117" i="4"/>
  <c r="M110" i="4" s="1"/>
  <c r="M41" i="10"/>
  <c r="L53" i="10"/>
  <c r="L115" i="4"/>
  <c r="M109" i="4" s="1"/>
  <c r="L52" i="10"/>
  <c r="O98" i="4" l="1"/>
  <c r="M36" i="5"/>
  <c r="M37" i="5" s="1"/>
  <c r="N28" i="5"/>
  <c r="M6" i="5"/>
  <c r="N98" i="4"/>
  <c r="N45" i="10"/>
  <c r="M108" i="4"/>
  <c r="M23" i="4" s="1"/>
  <c r="N42" i="10"/>
  <c r="M117" i="4"/>
  <c r="N110" i="4" s="1"/>
  <c r="N41" i="10"/>
  <c r="M53" i="10"/>
  <c r="M115" i="4"/>
  <c r="N109" i="4" s="1"/>
  <c r="M52" i="10"/>
  <c r="N36" i="5" l="1"/>
  <c r="N37" i="5" s="1"/>
  <c r="O28" i="5"/>
  <c r="O6" i="5" s="1"/>
  <c r="N6" i="5"/>
  <c r="O45" i="10"/>
  <c r="N108" i="4"/>
  <c r="N23" i="4" s="1"/>
  <c r="O42" i="10"/>
  <c r="O117" i="4" s="1"/>
  <c r="N117" i="4"/>
  <c r="O110" i="4" s="1"/>
  <c r="O41" i="10"/>
  <c r="N53" i="10"/>
  <c r="N52" i="10"/>
  <c r="N115" i="4"/>
  <c r="O109" i="4" s="1"/>
  <c r="O36" i="5" l="1"/>
  <c r="O37" i="5" s="1"/>
  <c r="O108" i="4"/>
  <c r="O23" i="4" s="1"/>
  <c r="O115" i="4"/>
  <c r="O53" i="10"/>
  <c r="O52" i="10"/>
  <c r="E43" i="4" l="1"/>
  <c r="E73" i="10" l="1"/>
  <c r="E74" i="10" s="1"/>
  <c r="E21" i="5"/>
  <c r="E23" i="5" s="1"/>
  <c r="D21" i="5"/>
  <c r="D23" i="5" s="1"/>
  <c r="C21" i="5"/>
  <c r="C23" i="5" s="1"/>
  <c r="B21" i="5"/>
  <c r="B23" i="5" s="1"/>
  <c r="C20" i="5"/>
  <c r="D20" i="5"/>
  <c r="E20" i="5"/>
  <c r="B20" i="5"/>
  <c r="B39" i="1"/>
  <c r="B35" i="1"/>
  <c r="B36" i="1" l="1"/>
  <c r="B41" i="1" s="1"/>
  <c r="C5" i="5"/>
  <c r="C10" i="5" s="1"/>
  <c r="C13" i="5" s="1"/>
  <c r="C24" i="5"/>
  <c r="E5" i="5"/>
  <c r="E10" i="5" s="1"/>
  <c r="E24" i="5"/>
  <c r="E25" i="5"/>
  <c r="D5" i="5"/>
  <c r="D10" i="5" s="1"/>
  <c r="D13" i="5" s="1"/>
  <c r="D25" i="5"/>
  <c r="D24" i="5"/>
  <c r="B5" i="5"/>
  <c r="B10" i="5" s="1"/>
  <c r="B24" i="5"/>
  <c r="C25" i="5"/>
  <c r="D14" i="5" l="1"/>
  <c r="AB120" i="14" s="1"/>
  <c r="AB122" i="14" s="1"/>
  <c r="AB116" i="14"/>
  <c r="C14" i="5"/>
  <c r="AA120" i="14" s="1"/>
  <c r="AA122" i="14" s="1"/>
  <c r="AA116" i="14"/>
  <c r="B6" i="1"/>
  <c r="E13" i="5"/>
  <c r="B14" i="5"/>
  <c r="E14" i="5" l="1"/>
  <c r="AC120" i="14" s="1"/>
  <c r="AC122" i="14" s="1"/>
  <c r="AC116" i="14"/>
  <c r="C31" i="2"/>
  <c r="C30" i="2"/>
  <c r="E92" i="4"/>
  <c r="F92" i="4" s="1"/>
  <c r="G92" i="4" s="1"/>
  <c r="H92" i="4" s="1"/>
  <c r="I92" i="4" s="1"/>
  <c r="J92" i="4" s="1"/>
  <c r="K92" i="4" s="1"/>
  <c r="L92" i="4" s="1"/>
  <c r="M92" i="4" s="1"/>
  <c r="N92" i="4" s="1"/>
  <c r="O92" i="4" s="1"/>
  <c r="O25" i="4" s="1"/>
  <c r="D92" i="4"/>
  <c r="C92" i="4"/>
  <c r="E91" i="4"/>
  <c r="F91" i="4" s="1"/>
  <c r="G91" i="4" s="1"/>
  <c r="H91" i="4" s="1"/>
  <c r="I91" i="4" s="1"/>
  <c r="J91" i="4" s="1"/>
  <c r="K91" i="4" s="1"/>
  <c r="L91" i="4" s="1"/>
  <c r="M91" i="4" s="1"/>
  <c r="N91" i="4" s="1"/>
  <c r="O91" i="4" s="1"/>
  <c r="D91" i="4"/>
  <c r="C91" i="4"/>
  <c r="B92" i="4"/>
  <c r="B91" i="4"/>
  <c r="A92" i="4"/>
  <c r="A91" i="4"/>
  <c r="E124" i="4"/>
  <c r="D124" i="4"/>
  <c r="C124" i="4"/>
  <c r="B124" i="4"/>
  <c r="A124" i="4"/>
  <c r="E130" i="4"/>
  <c r="D130" i="4"/>
  <c r="C130" i="4"/>
  <c r="B130" i="4"/>
  <c r="A130" i="4"/>
  <c r="A129" i="4"/>
  <c r="C77" i="4"/>
  <c r="D77" i="4"/>
  <c r="E77" i="4"/>
  <c r="O20" i="4"/>
  <c r="N20" i="4"/>
  <c r="M20" i="4"/>
  <c r="L20" i="4"/>
  <c r="K20" i="4"/>
  <c r="J20" i="4"/>
  <c r="I20" i="4"/>
  <c r="H20" i="4"/>
  <c r="G20" i="4"/>
  <c r="F20" i="4"/>
  <c r="O19" i="4"/>
  <c r="N19" i="4"/>
  <c r="M19" i="4"/>
  <c r="L19" i="4"/>
  <c r="K19" i="4"/>
  <c r="J19" i="4"/>
  <c r="I19" i="4"/>
  <c r="H19" i="4"/>
  <c r="G19" i="4"/>
  <c r="F19" i="4"/>
  <c r="E90" i="4"/>
  <c r="D90" i="4"/>
  <c r="C90" i="4"/>
  <c r="E89" i="4"/>
  <c r="D89" i="4"/>
  <c r="C89" i="4"/>
  <c r="B90" i="4"/>
  <c r="B89" i="4"/>
  <c r="O16" i="4"/>
  <c r="N16" i="4"/>
  <c r="M16" i="4"/>
  <c r="L16" i="4"/>
  <c r="K16" i="4"/>
  <c r="J16" i="4"/>
  <c r="I16" i="4"/>
  <c r="H16" i="4"/>
  <c r="G16" i="4"/>
  <c r="F16" i="4"/>
  <c r="D87" i="4"/>
  <c r="C87" i="4"/>
  <c r="B87" i="4"/>
  <c r="E87" i="4"/>
  <c r="A82" i="4"/>
  <c r="A81" i="4"/>
  <c r="A80" i="4"/>
  <c r="C43" i="4"/>
  <c r="D43" i="4"/>
  <c r="B43" i="4"/>
  <c r="F76" i="4"/>
  <c r="F75" i="4"/>
  <c r="F42" i="4" s="1"/>
  <c r="F74" i="4"/>
  <c r="D82" i="4"/>
  <c r="C82" i="4"/>
  <c r="D81" i="4"/>
  <c r="C81" i="4"/>
  <c r="D80" i="4"/>
  <c r="C80" i="4"/>
  <c r="E82" i="4"/>
  <c r="E81" i="4"/>
  <c r="E80" i="4"/>
  <c r="B77" i="4"/>
  <c r="E59" i="4"/>
  <c r="D59" i="4"/>
  <c r="C59" i="4"/>
  <c r="B59" i="4"/>
  <c r="E58" i="4"/>
  <c r="D58" i="4"/>
  <c r="C58" i="4"/>
  <c r="B58" i="4"/>
  <c r="E57" i="4"/>
  <c r="D57" i="4"/>
  <c r="C57" i="4"/>
  <c r="B57" i="4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A59" i="4"/>
  <c r="A70" i="4" s="1"/>
  <c r="A58" i="4"/>
  <c r="A69" i="4" s="1"/>
  <c r="A57" i="4"/>
  <c r="A68" i="4" s="1"/>
  <c r="A56" i="4"/>
  <c r="A67" i="4" s="1"/>
  <c r="A55" i="4"/>
  <c r="A66" i="4" s="1"/>
  <c r="A54" i="4"/>
  <c r="A65" i="4" s="1"/>
  <c r="A53" i="4"/>
  <c r="A64" i="4" s="1"/>
  <c r="A52" i="4"/>
  <c r="A63" i="4" s="1"/>
  <c r="A51" i="4"/>
  <c r="A62" i="4" s="1"/>
  <c r="C36" i="4"/>
  <c r="C144" i="4" s="1"/>
  <c r="D36" i="4"/>
  <c r="D144" i="4" s="1"/>
  <c r="E36" i="4"/>
  <c r="E144" i="4" s="1"/>
  <c r="E5" i="4"/>
  <c r="E21" i="4" s="1"/>
  <c r="E27" i="4" s="1"/>
  <c r="E29" i="4" s="1"/>
  <c r="E39" i="4" s="1"/>
  <c r="E40" i="4" s="1"/>
  <c r="D5" i="4"/>
  <c r="D21" i="4" s="1"/>
  <c r="D27" i="4" s="1"/>
  <c r="D29" i="4" s="1"/>
  <c r="D39" i="4" s="1"/>
  <c r="C5" i="4"/>
  <c r="C21" i="4" s="1"/>
  <c r="C27" i="4" s="1"/>
  <c r="C29" i="4" s="1"/>
  <c r="C39" i="4" s="1"/>
  <c r="B5" i="4"/>
  <c r="B37" i="4" s="1"/>
  <c r="F32" i="2"/>
  <c r="F38" i="2" s="1"/>
  <c r="F31" i="2"/>
  <c r="F30" i="2"/>
  <c r="F36" i="2" s="1"/>
  <c r="F29" i="2"/>
  <c r="F35" i="2" s="1"/>
  <c r="E44" i="2"/>
  <c r="E43" i="2"/>
  <c r="E42" i="2"/>
  <c r="C63" i="2"/>
  <c r="C72" i="2" s="1"/>
  <c r="C62" i="2"/>
  <c r="C71" i="2" s="1"/>
  <c r="C61" i="2"/>
  <c r="C70" i="2" s="1"/>
  <c r="D63" i="2"/>
  <c r="D72" i="2" s="1"/>
  <c r="D62" i="2"/>
  <c r="D71" i="2" s="1"/>
  <c r="D61" i="2"/>
  <c r="D70" i="2" s="1"/>
  <c r="E63" i="2"/>
  <c r="E72" i="2" s="1"/>
  <c r="E62" i="2"/>
  <c r="E71" i="2" s="1"/>
  <c r="E61" i="2"/>
  <c r="E70" i="2" s="1"/>
  <c r="D5" i="2"/>
  <c r="D143" i="4" s="1"/>
  <c r="C5" i="2"/>
  <c r="C143" i="4" s="1"/>
  <c r="E5" i="2"/>
  <c r="E143" i="4" s="1"/>
  <c r="C15" i="2"/>
  <c r="C12" i="2"/>
  <c r="C11" i="2"/>
  <c r="C10" i="2"/>
  <c r="D15" i="2"/>
  <c r="E15" i="2"/>
  <c r="F15" i="2" s="1"/>
  <c r="D12" i="2"/>
  <c r="D48" i="2" s="1"/>
  <c r="D11" i="2"/>
  <c r="D14" i="2"/>
  <c r="D10" i="2"/>
  <c r="D33" i="2"/>
  <c r="D39" i="2" s="1"/>
  <c r="E33" i="2"/>
  <c r="E39" i="2" l="1"/>
  <c r="B30" i="2"/>
  <c r="D36" i="2"/>
  <c r="C36" i="2"/>
  <c r="G31" i="2"/>
  <c r="F37" i="2"/>
  <c r="B31" i="2"/>
  <c r="C37" i="2" s="1"/>
  <c r="D37" i="2"/>
  <c r="G32" i="2"/>
  <c r="B42" i="11"/>
  <c r="G76" i="4"/>
  <c r="J25" i="4"/>
  <c r="K25" i="4"/>
  <c r="L25" i="4"/>
  <c r="M25" i="4"/>
  <c r="F25" i="4"/>
  <c r="N25" i="4"/>
  <c r="G25" i="4"/>
  <c r="H25" i="4"/>
  <c r="G74" i="4"/>
  <c r="I25" i="4"/>
  <c r="G15" i="2"/>
  <c r="H15" i="2" s="1"/>
  <c r="I15" i="2" s="1"/>
  <c r="J15" i="2" s="1"/>
  <c r="K15" i="2" s="1"/>
  <c r="L15" i="2" s="1"/>
  <c r="M15" i="2" s="1"/>
  <c r="N15" i="2" s="1"/>
  <c r="O15" i="2" s="1"/>
  <c r="B9" i="11"/>
  <c r="G75" i="4"/>
  <c r="B73" i="10"/>
  <c r="B74" i="10" s="1"/>
  <c r="C73" i="10"/>
  <c r="C74" i="10" s="1"/>
  <c r="D73" i="10"/>
  <c r="D74" i="10" s="1"/>
  <c r="G30" i="2"/>
  <c r="E125" i="4"/>
  <c r="D23" i="2"/>
  <c r="C125" i="4"/>
  <c r="D125" i="4"/>
  <c r="F124" i="4"/>
  <c r="E88" i="4"/>
  <c r="C135" i="4"/>
  <c r="D135" i="4"/>
  <c r="B86" i="4"/>
  <c r="E135" i="4"/>
  <c r="F135" i="4" s="1"/>
  <c r="G135" i="4" s="1"/>
  <c r="H135" i="4" s="1"/>
  <c r="I135" i="4" s="1"/>
  <c r="J135" i="4" s="1"/>
  <c r="K135" i="4" s="1"/>
  <c r="L135" i="4" s="1"/>
  <c r="M135" i="4" s="1"/>
  <c r="N135" i="4" s="1"/>
  <c r="O135" i="4" s="1"/>
  <c r="C86" i="4"/>
  <c r="D86" i="4"/>
  <c r="B88" i="4"/>
  <c r="C88" i="4"/>
  <c r="C129" i="4"/>
  <c r="C131" i="4" s="1"/>
  <c r="D88" i="4"/>
  <c r="D129" i="4"/>
  <c r="D131" i="4" s="1"/>
  <c r="E129" i="4"/>
  <c r="E131" i="4" s="1"/>
  <c r="F77" i="4"/>
  <c r="F18" i="4" s="1"/>
  <c r="F60" i="5" s="1"/>
  <c r="E86" i="4"/>
  <c r="E62" i="4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E64" i="4"/>
  <c r="F64" i="4" s="1"/>
  <c r="G64" i="4" s="1"/>
  <c r="H64" i="4" s="1"/>
  <c r="I64" i="4" s="1"/>
  <c r="J64" i="4" s="1"/>
  <c r="K64" i="4" s="1"/>
  <c r="L64" i="4" s="1"/>
  <c r="M64" i="4" s="1"/>
  <c r="N64" i="4" s="1"/>
  <c r="O64" i="4" s="1"/>
  <c r="E70" i="4"/>
  <c r="F70" i="4" s="1"/>
  <c r="G70" i="4" s="1"/>
  <c r="H70" i="4" s="1"/>
  <c r="I70" i="4" s="1"/>
  <c r="J70" i="4" s="1"/>
  <c r="K70" i="4" s="1"/>
  <c r="L70" i="4" s="1"/>
  <c r="M70" i="4" s="1"/>
  <c r="N70" i="4" s="1"/>
  <c r="O70" i="4" s="1"/>
  <c r="C63" i="4"/>
  <c r="C65" i="4"/>
  <c r="C67" i="4"/>
  <c r="C69" i="4"/>
  <c r="E63" i="4"/>
  <c r="F63" i="4" s="1"/>
  <c r="G63" i="4" s="1"/>
  <c r="H63" i="4" s="1"/>
  <c r="I63" i="4" s="1"/>
  <c r="J63" i="4" s="1"/>
  <c r="K63" i="4" s="1"/>
  <c r="L63" i="4" s="1"/>
  <c r="M63" i="4" s="1"/>
  <c r="N63" i="4" s="1"/>
  <c r="O63" i="4" s="1"/>
  <c r="E65" i="4"/>
  <c r="F65" i="4" s="1"/>
  <c r="G65" i="4" s="1"/>
  <c r="H65" i="4" s="1"/>
  <c r="I65" i="4" s="1"/>
  <c r="J65" i="4" s="1"/>
  <c r="K65" i="4" s="1"/>
  <c r="L65" i="4" s="1"/>
  <c r="M65" i="4" s="1"/>
  <c r="N65" i="4" s="1"/>
  <c r="O65" i="4" s="1"/>
  <c r="E67" i="4"/>
  <c r="F67" i="4" s="1"/>
  <c r="G67" i="4" s="1"/>
  <c r="E69" i="4"/>
  <c r="F69" i="4" s="1"/>
  <c r="G69" i="4" s="1"/>
  <c r="H69" i="4" s="1"/>
  <c r="I69" i="4" s="1"/>
  <c r="J69" i="4" s="1"/>
  <c r="K69" i="4" s="1"/>
  <c r="L69" i="4" s="1"/>
  <c r="M69" i="4" s="1"/>
  <c r="N69" i="4" s="1"/>
  <c r="O69" i="4" s="1"/>
  <c r="D62" i="4"/>
  <c r="D64" i="4"/>
  <c r="D66" i="4"/>
  <c r="D68" i="4"/>
  <c r="D70" i="4"/>
  <c r="E66" i="4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E68" i="4"/>
  <c r="F68" i="4" s="1"/>
  <c r="G68" i="4" s="1"/>
  <c r="H68" i="4" s="1"/>
  <c r="B62" i="4"/>
  <c r="B64" i="4"/>
  <c r="B66" i="4"/>
  <c r="B68" i="4"/>
  <c r="B70" i="4"/>
  <c r="C62" i="4"/>
  <c r="C64" i="4"/>
  <c r="C66" i="4"/>
  <c r="C68" i="4"/>
  <c r="C70" i="4"/>
  <c r="B63" i="4"/>
  <c r="B65" i="4"/>
  <c r="B67" i="4"/>
  <c r="B69" i="4"/>
  <c r="D63" i="4"/>
  <c r="D65" i="4"/>
  <c r="D67" i="4"/>
  <c r="D69" i="4"/>
  <c r="D37" i="4"/>
  <c r="C37" i="4"/>
  <c r="E37" i="4"/>
  <c r="D40" i="4"/>
  <c r="C40" i="4"/>
  <c r="C16" i="2"/>
  <c r="B21" i="4"/>
  <c r="D50" i="2"/>
  <c r="D20" i="2"/>
  <c r="D24" i="2"/>
  <c r="F33" i="2"/>
  <c r="F39" i="2" s="1"/>
  <c r="D19" i="2"/>
  <c r="E24" i="2"/>
  <c r="D21" i="2"/>
  <c r="G29" i="2"/>
  <c r="G35" i="2" s="1"/>
  <c r="C44" i="2"/>
  <c r="D43" i="2"/>
  <c r="C43" i="2"/>
  <c r="D44" i="2"/>
  <c r="D64" i="2"/>
  <c r="D52" i="2"/>
  <c r="C64" i="2"/>
  <c r="E64" i="2"/>
  <c r="D16" i="2"/>
  <c r="E14" i="2"/>
  <c r="E13" i="2"/>
  <c r="E54" i="2" s="1"/>
  <c r="F54" i="2" s="1"/>
  <c r="E12" i="2"/>
  <c r="E11" i="2"/>
  <c r="E10" i="2"/>
  <c r="H32" i="2" l="1"/>
  <c r="G38" i="2"/>
  <c r="H30" i="2"/>
  <c r="G36" i="2"/>
  <c r="H31" i="2"/>
  <c r="G37" i="2"/>
  <c r="F131" i="4"/>
  <c r="G131" i="4" s="1"/>
  <c r="H131" i="4" s="1"/>
  <c r="I131" i="4" s="1"/>
  <c r="J131" i="4" s="1"/>
  <c r="K131" i="4" s="1"/>
  <c r="L131" i="4" s="1"/>
  <c r="M131" i="4" s="1"/>
  <c r="N131" i="4" s="1"/>
  <c r="O131" i="4" s="1"/>
  <c r="H76" i="4"/>
  <c r="H74" i="4"/>
  <c r="H75" i="4"/>
  <c r="G42" i="4"/>
  <c r="G77" i="4"/>
  <c r="G18" i="4" s="1"/>
  <c r="G60" i="5" s="1"/>
  <c r="G124" i="4"/>
  <c r="F26" i="4"/>
  <c r="H67" i="4"/>
  <c r="I68" i="4"/>
  <c r="B27" i="4"/>
  <c r="G54" i="2"/>
  <c r="F13" i="2"/>
  <c r="D25" i="2"/>
  <c r="E23" i="2"/>
  <c r="E48" i="2"/>
  <c r="E49" i="2" s="1"/>
  <c r="E21" i="2"/>
  <c r="E50" i="2"/>
  <c r="F50" i="2" s="1"/>
  <c r="E19" i="2"/>
  <c r="E52" i="2"/>
  <c r="F52" i="2" s="1"/>
  <c r="E20" i="2"/>
  <c r="G33" i="2"/>
  <c r="G39" i="2" s="1"/>
  <c r="H29" i="2"/>
  <c r="H35" i="2" s="1"/>
  <c r="E16" i="2"/>
  <c r="I30" i="2" l="1"/>
  <c r="H36" i="2"/>
  <c r="H37" i="2"/>
  <c r="I31" i="2"/>
  <c r="H38" i="2"/>
  <c r="I32" i="2"/>
  <c r="I38" i="2" s="1"/>
  <c r="I76" i="4"/>
  <c r="I74" i="4"/>
  <c r="J74" i="4" s="1"/>
  <c r="H77" i="4"/>
  <c r="H18" i="4" s="1"/>
  <c r="H60" i="5" s="1"/>
  <c r="F22" i="2"/>
  <c r="B7" i="11"/>
  <c r="I75" i="4"/>
  <c r="H42" i="4"/>
  <c r="H124" i="4"/>
  <c r="G26" i="4"/>
  <c r="B29" i="4"/>
  <c r="B129" i="4"/>
  <c r="B131" i="4" s="1"/>
  <c r="J68" i="4"/>
  <c r="I67" i="4"/>
  <c r="G52" i="2"/>
  <c r="F11" i="2"/>
  <c r="B5" i="11" s="1"/>
  <c r="G50" i="2"/>
  <c r="G10" i="2" s="1"/>
  <c r="F10" i="2"/>
  <c r="B4" i="11" s="1"/>
  <c r="H54" i="2"/>
  <c r="G13" i="2"/>
  <c r="G22" i="2" s="1"/>
  <c r="E51" i="2"/>
  <c r="E53" i="2"/>
  <c r="F48" i="2"/>
  <c r="E25" i="2"/>
  <c r="I29" i="2"/>
  <c r="I35" i="2" s="1"/>
  <c r="H33" i="2"/>
  <c r="H39" i="2" s="1"/>
  <c r="I37" i="2" l="1"/>
  <c r="J31" i="2"/>
  <c r="J32" i="2"/>
  <c r="I36" i="2"/>
  <c r="J30" i="2"/>
  <c r="J76" i="4"/>
  <c r="J75" i="4"/>
  <c r="J77" i="4" s="1"/>
  <c r="J18" i="4" s="1"/>
  <c r="J60" i="5" s="1"/>
  <c r="I42" i="4"/>
  <c r="I77" i="4"/>
  <c r="I18" i="4" s="1"/>
  <c r="I60" i="5" s="1"/>
  <c r="I124" i="4"/>
  <c r="H26" i="4"/>
  <c r="B39" i="4"/>
  <c r="B40" i="4" s="1"/>
  <c r="B135" i="4"/>
  <c r="K74" i="4"/>
  <c r="J67" i="4"/>
  <c r="K68" i="4"/>
  <c r="L68" i="4" s="1"/>
  <c r="M68" i="4" s="1"/>
  <c r="N68" i="4" s="1"/>
  <c r="O68" i="4" s="1"/>
  <c r="H50" i="2"/>
  <c r="G19" i="2"/>
  <c r="I54" i="2"/>
  <c r="H13" i="2"/>
  <c r="H22" i="2" s="1"/>
  <c r="F19" i="2"/>
  <c r="F20" i="2"/>
  <c r="G48" i="2"/>
  <c r="F12" i="2"/>
  <c r="B6" i="11" s="1"/>
  <c r="H52" i="2"/>
  <c r="G11" i="2"/>
  <c r="G20" i="2" s="1"/>
  <c r="J29" i="2"/>
  <c r="J35" i="2" s="1"/>
  <c r="I33" i="2"/>
  <c r="I39" i="2" s="1"/>
  <c r="K32" i="2" l="1"/>
  <c r="J38" i="2"/>
  <c r="J37" i="2"/>
  <c r="K31" i="2"/>
  <c r="J36" i="2"/>
  <c r="K30" i="2"/>
  <c r="K76" i="4"/>
  <c r="K75" i="4"/>
  <c r="J42" i="4"/>
  <c r="J124" i="4"/>
  <c r="I26" i="4"/>
  <c r="L74" i="4"/>
  <c r="K67" i="4"/>
  <c r="L67" i="4" s="1"/>
  <c r="M67" i="4" s="1"/>
  <c r="N67" i="4" s="1"/>
  <c r="O67" i="4" s="1"/>
  <c r="J54" i="2"/>
  <c r="I13" i="2"/>
  <c r="I22" i="2" s="1"/>
  <c r="I52" i="2"/>
  <c r="H11" i="2"/>
  <c r="F21" i="2"/>
  <c r="H48" i="2"/>
  <c r="G12" i="2"/>
  <c r="G21" i="2" s="1"/>
  <c r="I50" i="2"/>
  <c r="H10" i="2"/>
  <c r="J33" i="2"/>
  <c r="J39" i="2" s="1"/>
  <c r="K29" i="2"/>
  <c r="K35" i="2" s="1"/>
  <c r="K37" i="2" l="1"/>
  <c r="L31" i="2"/>
  <c r="K36" i="2"/>
  <c r="L30" i="2"/>
  <c r="L32" i="2"/>
  <c r="K38" i="2"/>
  <c r="L76" i="4"/>
  <c r="K77" i="4"/>
  <c r="K18" i="4" s="1"/>
  <c r="K60" i="5" s="1"/>
  <c r="L75" i="4"/>
  <c r="K42" i="4"/>
  <c r="K124" i="4"/>
  <c r="J26" i="4"/>
  <c r="M74" i="4"/>
  <c r="H19" i="2"/>
  <c r="H20" i="2"/>
  <c r="J52" i="2"/>
  <c r="I11" i="2"/>
  <c r="I20" i="2" s="1"/>
  <c r="I48" i="2"/>
  <c r="H12" i="2"/>
  <c r="H21" i="2" s="1"/>
  <c r="J50" i="2"/>
  <c r="I10" i="2"/>
  <c r="K54" i="2"/>
  <c r="J13" i="2"/>
  <c r="J22" i="2" s="1"/>
  <c r="K33" i="2"/>
  <c r="K39" i="2" s="1"/>
  <c r="L29" i="2"/>
  <c r="L35" i="2" s="1"/>
  <c r="L37" i="2" l="1"/>
  <c r="M31" i="2"/>
  <c r="L36" i="2"/>
  <c r="M30" i="2"/>
  <c r="L38" i="2"/>
  <c r="M32" i="2"/>
  <c r="M76" i="4"/>
  <c r="L77" i="4"/>
  <c r="L18" i="4" s="1"/>
  <c r="L60" i="5" s="1"/>
  <c r="M75" i="4"/>
  <c r="L42" i="4"/>
  <c r="L124" i="4"/>
  <c r="K26" i="4"/>
  <c r="N74" i="4"/>
  <c r="I19" i="2"/>
  <c r="J48" i="2"/>
  <c r="I12" i="2"/>
  <c r="I21" i="2" s="1"/>
  <c r="K52" i="2"/>
  <c r="J11" i="2"/>
  <c r="J20" i="2" s="1"/>
  <c r="K50" i="2"/>
  <c r="J10" i="2"/>
  <c r="L54" i="2"/>
  <c r="K13" i="2"/>
  <c r="K22" i="2" s="1"/>
  <c r="M29" i="2"/>
  <c r="M35" i="2" s="1"/>
  <c r="L33" i="2"/>
  <c r="L39" i="2" s="1"/>
  <c r="M38" i="2" l="1"/>
  <c r="N32" i="2"/>
  <c r="M37" i="2"/>
  <c r="N31" i="2"/>
  <c r="M36" i="2"/>
  <c r="N30" i="2"/>
  <c r="N76" i="4"/>
  <c r="M77" i="4"/>
  <c r="M18" i="4" s="1"/>
  <c r="M60" i="5" s="1"/>
  <c r="N75" i="4"/>
  <c r="M42" i="4"/>
  <c r="M124" i="4"/>
  <c r="L26" i="4"/>
  <c r="O74" i="4"/>
  <c r="J19" i="2"/>
  <c r="M54" i="2"/>
  <c r="L13" i="2"/>
  <c r="L22" i="2" s="1"/>
  <c r="L50" i="2"/>
  <c r="K10" i="2"/>
  <c r="L52" i="2"/>
  <c r="K11" i="2"/>
  <c r="K20" i="2" s="1"/>
  <c r="K48" i="2"/>
  <c r="J12" i="2"/>
  <c r="J21" i="2" s="1"/>
  <c r="M33" i="2"/>
  <c r="M39" i="2" s="1"/>
  <c r="N29" i="2"/>
  <c r="N35" i="2" s="1"/>
  <c r="N37" i="2" l="1"/>
  <c r="O31" i="2"/>
  <c r="O37" i="2" s="1"/>
  <c r="N36" i="2"/>
  <c r="O30" i="2"/>
  <c r="O36" i="2" s="1"/>
  <c r="N38" i="2"/>
  <c r="O32" i="2"/>
  <c r="O38" i="2" s="1"/>
  <c r="O76" i="4"/>
  <c r="O75" i="4"/>
  <c r="N42" i="4"/>
  <c r="N77" i="4"/>
  <c r="N18" i="4" s="1"/>
  <c r="N60" i="5" s="1"/>
  <c r="N124" i="4"/>
  <c r="M26" i="4"/>
  <c r="K19" i="2"/>
  <c r="L48" i="2"/>
  <c r="K12" i="2"/>
  <c r="K21" i="2" s="1"/>
  <c r="M52" i="2"/>
  <c r="L11" i="2"/>
  <c r="L20" i="2" s="1"/>
  <c r="M50" i="2"/>
  <c r="L10" i="2"/>
  <c r="N54" i="2"/>
  <c r="M13" i="2"/>
  <c r="M22" i="2" s="1"/>
  <c r="N33" i="2"/>
  <c r="N39" i="2" s="1"/>
  <c r="O29" i="2"/>
  <c r="F14" i="2"/>
  <c r="B8" i="11" s="1"/>
  <c r="F16" i="2"/>
  <c r="G16" i="2" s="1"/>
  <c r="H16" i="2" s="1"/>
  <c r="I16" i="2" s="1"/>
  <c r="J16" i="2" s="1"/>
  <c r="K16" i="2" s="1"/>
  <c r="L16" i="2" s="1"/>
  <c r="M16" i="2" s="1"/>
  <c r="N16" i="2" s="1"/>
  <c r="O16" i="2" s="1"/>
  <c r="O33" i="2" l="1"/>
  <c r="O39" i="2" s="1"/>
  <c r="O35" i="2"/>
  <c r="O42" i="4"/>
  <c r="B10" i="11"/>
  <c r="C8" i="11" s="1"/>
  <c r="E8" i="11" s="1"/>
  <c r="O77" i="4"/>
  <c r="O18" i="4" s="1"/>
  <c r="O60" i="5" s="1"/>
  <c r="O124" i="4"/>
  <c r="O26" i="4" s="1"/>
  <c r="N26" i="4"/>
  <c r="G14" i="2"/>
  <c r="F4" i="2"/>
  <c r="L19" i="2"/>
  <c r="O54" i="2"/>
  <c r="O13" i="2" s="1"/>
  <c r="N13" i="2"/>
  <c r="N22" i="2" s="1"/>
  <c r="N50" i="2"/>
  <c r="M10" i="2"/>
  <c r="N52" i="2"/>
  <c r="M11" i="2"/>
  <c r="M20" i="2" s="1"/>
  <c r="M48" i="2"/>
  <c r="L12" i="2"/>
  <c r="L21" i="2" s="1"/>
  <c r="C6" i="11" l="1"/>
  <c r="E6" i="11" s="1"/>
  <c r="C7" i="11"/>
  <c r="E7" i="11" s="1"/>
  <c r="C4" i="11"/>
  <c r="E4" i="11" s="1"/>
  <c r="C9" i="11"/>
  <c r="E9" i="11" s="1"/>
  <c r="C5" i="11"/>
  <c r="E5" i="11" s="1"/>
  <c r="F20" i="5"/>
  <c r="F13" i="8"/>
  <c r="F6" i="8" s="1"/>
  <c r="F69" i="5" s="1"/>
  <c r="O22" i="2"/>
  <c r="F5" i="2"/>
  <c r="F143" i="4" s="1"/>
  <c r="F5" i="4"/>
  <c r="M19" i="2"/>
  <c r="H14" i="2"/>
  <c r="G4" i="2"/>
  <c r="O52" i="2"/>
  <c r="O11" i="2" s="1"/>
  <c r="N11" i="2"/>
  <c r="N20" i="2" s="1"/>
  <c r="O50" i="2"/>
  <c r="O10" i="2" s="1"/>
  <c r="N10" i="2"/>
  <c r="N48" i="2"/>
  <c r="M12" i="2"/>
  <c r="M21" i="2" s="1"/>
  <c r="E10" i="11" l="1"/>
  <c r="F47" i="5"/>
  <c r="F46" i="5" s="1"/>
  <c r="F9" i="5" s="1"/>
  <c r="F7" i="2"/>
  <c r="F17" i="4"/>
  <c r="F35" i="4"/>
  <c r="C10" i="11"/>
  <c r="F22" i="5"/>
  <c r="F10" i="8"/>
  <c r="F8" i="8"/>
  <c r="G20" i="5"/>
  <c r="G13" i="8"/>
  <c r="G6" i="8" s="1"/>
  <c r="G69" i="5" s="1"/>
  <c r="F6" i="4"/>
  <c r="F55" i="4"/>
  <c r="F11" i="4" s="1"/>
  <c r="F52" i="4"/>
  <c r="F8" i="4" s="1"/>
  <c r="F53" i="4"/>
  <c r="F9" i="4" s="1"/>
  <c r="F57" i="4"/>
  <c r="F13" i="4" s="1"/>
  <c r="F54" i="4"/>
  <c r="F10" i="4" s="1"/>
  <c r="F58" i="4"/>
  <c r="F14" i="4" s="1"/>
  <c r="F59" i="4"/>
  <c r="F15" i="4" s="1"/>
  <c r="F56" i="4"/>
  <c r="F12" i="4" s="1"/>
  <c r="F51" i="4"/>
  <c r="F7" i="4" s="1"/>
  <c r="G5" i="2"/>
  <c r="G143" i="4" s="1"/>
  <c r="G5" i="4"/>
  <c r="G35" i="4" s="1"/>
  <c r="I14" i="2"/>
  <c r="H4" i="2"/>
  <c r="N19" i="2"/>
  <c r="O20" i="2"/>
  <c r="O48" i="2"/>
  <c r="O12" i="2" s="1"/>
  <c r="N12" i="2"/>
  <c r="N21" i="2" s="1"/>
  <c r="O19" i="2"/>
  <c r="F48" i="5" l="1"/>
  <c r="G47" i="5"/>
  <c r="G46" i="5" s="1"/>
  <c r="G9" i="5" s="1"/>
  <c r="G7" i="2"/>
  <c r="G10" i="8"/>
  <c r="G8" i="8"/>
  <c r="G22" i="5"/>
  <c r="H20" i="5"/>
  <c r="H13" i="8"/>
  <c r="H6" i="8" s="1"/>
  <c r="H69" i="5" s="1"/>
  <c r="H5" i="4"/>
  <c r="G17" i="4"/>
  <c r="G6" i="4"/>
  <c r="G55" i="4"/>
  <c r="G11" i="4" s="1"/>
  <c r="G57" i="4"/>
  <c r="G13" i="4" s="1"/>
  <c r="G56" i="4"/>
  <c r="G12" i="4" s="1"/>
  <c r="G54" i="4"/>
  <c r="G10" i="4" s="1"/>
  <c r="G59" i="4"/>
  <c r="G15" i="4" s="1"/>
  <c r="G52" i="4"/>
  <c r="G8" i="4" s="1"/>
  <c r="G58" i="4"/>
  <c r="G14" i="4" s="1"/>
  <c r="G53" i="4"/>
  <c r="G9" i="4" s="1"/>
  <c r="G51" i="4"/>
  <c r="G7" i="4" s="1"/>
  <c r="F21" i="4"/>
  <c r="H5" i="2"/>
  <c r="H143" i="4" s="1"/>
  <c r="J14" i="2"/>
  <c r="I4" i="2"/>
  <c r="O21" i="2"/>
  <c r="G48" i="5" l="1"/>
  <c r="H47" i="5"/>
  <c r="H46" i="5" s="1"/>
  <c r="H48" i="5" s="1"/>
  <c r="H7" i="2"/>
  <c r="H53" i="4"/>
  <c r="H9" i="4" s="1"/>
  <c r="H35" i="4"/>
  <c r="H9" i="5"/>
  <c r="I20" i="5"/>
  <c r="I13" i="8"/>
  <c r="I6" i="8" s="1"/>
  <c r="I69" i="5" s="1"/>
  <c r="H10" i="8"/>
  <c r="H8" i="8"/>
  <c r="H22" i="5"/>
  <c r="H58" i="4"/>
  <c r="H14" i="4" s="1"/>
  <c r="H52" i="4"/>
  <c r="H8" i="4" s="1"/>
  <c r="H57" i="4"/>
  <c r="H13" i="4" s="1"/>
  <c r="H17" i="4"/>
  <c r="H54" i="4"/>
  <c r="H10" i="4" s="1"/>
  <c r="H55" i="4"/>
  <c r="H11" i="4" s="1"/>
  <c r="H6" i="4"/>
  <c r="H56" i="4"/>
  <c r="H12" i="4" s="1"/>
  <c r="H51" i="4"/>
  <c r="H7" i="4" s="1"/>
  <c r="H59" i="4"/>
  <c r="H15" i="4" s="1"/>
  <c r="G21" i="4"/>
  <c r="I5" i="2"/>
  <c r="I143" i="4" s="1"/>
  <c r="I5" i="4"/>
  <c r="I35" i="4" s="1"/>
  <c r="K14" i="2"/>
  <c r="J4" i="2"/>
  <c r="I47" i="5" l="1"/>
  <c r="I46" i="5" s="1"/>
  <c r="I9" i="5" s="1"/>
  <c r="I7" i="2"/>
  <c r="J20" i="5"/>
  <c r="J13" i="8"/>
  <c r="J6" i="8" s="1"/>
  <c r="J69" i="5" s="1"/>
  <c r="I10" i="8"/>
  <c r="I8" i="8"/>
  <c r="I22" i="5"/>
  <c r="H21" i="4"/>
  <c r="I6" i="4"/>
  <c r="I17" i="4"/>
  <c r="I55" i="4"/>
  <c r="I11" i="4" s="1"/>
  <c r="I57" i="4"/>
  <c r="I13" i="4" s="1"/>
  <c r="I54" i="4"/>
  <c r="I10" i="4" s="1"/>
  <c r="I56" i="4"/>
  <c r="I12" i="4" s="1"/>
  <c r="I59" i="4"/>
  <c r="I15" i="4" s="1"/>
  <c r="I53" i="4"/>
  <c r="I9" i="4" s="1"/>
  <c r="I58" i="4"/>
  <c r="I14" i="4" s="1"/>
  <c r="I51" i="4"/>
  <c r="I7" i="4" s="1"/>
  <c r="I52" i="4"/>
  <c r="I8" i="4" s="1"/>
  <c r="J5" i="2"/>
  <c r="J143" i="4" s="1"/>
  <c r="J5" i="4"/>
  <c r="J35" i="4" s="1"/>
  <c r="L14" i="2"/>
  <c r="K4" i="2"/>
  <c r="I48" i="5" l="1"/>
  <c r="J47" i="5"/>
  <c r="J46" i="5" s="1"/>
  <c r="J9" i="5" s="1"/>
  <c r="J7" i="2"/>
  <c r="K20" i="5"/>
  <c r="K13" i="8"/>
  <c r="K6" i="8" s="1"/>
  <c r="K69" i="5" s="1"/>
  <c r="J10" i="8"/>
  <c r="J8" i="8"/>
  <c r="J22" i="5"/>
  <c r="J6" i="4"/>
  <c r="J17" i="4"/>
  <c r="I21" i="4"/>
  <c r="J55" i="4"/>
  <c r="J11" i="4" s="1"/>
  <c r="J57" i="4"/>
  <c r="J13" i="4" s="1"/>
  <c r="J51" i="4"/>
  <c r="J7" i="4" s="1"/>
  <c r="J52" i="4"/>
  <c r="J8" i="4" s="1"/>
  <c r="J59" i="4"/>
  <c r="J15" i="4" s="1"/>
  <c r="J58" i="4"/>
  <c r="J14" i="4" s="1"/>
  <c r="J56" i="4"/>
  <c r="J12" i="4" s="1"/>
  <c r="J53" i="4"/>
  <c r="J9" i="4" s="1"/>
  <c r="J54" i="4"/>
  <c r="J10" i="4" s="1"/>
  <c r="K5" i="2"/>
  <c r="K143" i="4" s="1"/>
  <c r="K5" i="4"/>
  <c r="K35" i="4" s="1"/>
  <c r="M14" i="2"/>
  <c r="L4" i="2"/>
  <c r="J48" i="5" l="1"/>
  <c r="K47" i="5"/>
  <c r="K46" i="5" s="1"/>
  <c r="K48" i="5" s="1"/>
  <c r="K7" i="2"/>
  <c r="L20" i="5"/>
  <c r="L13" i="8"/>
  <c r="L6" i="8" s="1"/>
  <c r="L69" i="5" s="1"/>
  <c r="K10" i="8"/>
  <c r="K22" i="5"/>
  <c r="K8" i="8"/>
  <c r="K6" i="4"/>
  <c r="K17" i="4"/>
  <c r="J21" i="4"/>
  <c r="K55" i="4"/>
  <c r="K11" i="4" s="1"/>
  <c r="K57" i="4"/>
  <c r="K13" i="4" s="1"/>
  <c r="K59" i="4"/>
  <c r="K15" i="4" s="1"/>
  <c r="K56" i="4"/>
  <c r="K12" i="4" s="1"/>
  <c r="K54" i="4"/>
  <c r="K10" i="4" s="1"/>
  <c r="K52" i="4"/>
  <c r="K8" i="4" s="1"/>
  <c r="K53" i="4"/>
  <c r="K9" i="4" s="1"/>
  <c r="K58" i="4"/>
  <c r="K14" i="4" s="1"/>
  <c r="K51" i="4"/>
  <c r="K7" i="4" s="1"/>
  <c r="L5" i="2"/>
  <c r="L143" i="4" s="1"/>
  <c r="L5" i="4"/>
  <c r="L35" i="4" s="1"/>
  <c r="N14" i="2"/>
  <c r="M4" i="2"/>
  <c r="K9" i="5" l="1"/>
  <c r="L47" i="5"/>
  <c r="L46" i="5" s="1"/>
  <c r="L9" i="5" s="1"/>
  <c r="L7" i="2"/>
  <c r="M20" i="5"/>
  <c r="M13" i="8"/>
  <c r="M6" i="8" s="1"/>
  <c r="M69" i="5" s="1"/>
  <c r="L10" i="8"/>
  <c r="L22" i="5"/>
  <c r="L8" i="8"/>
  <c r="L17" i="4"/>
  <c r="L6" i="4"/>
  <c r="K21" i="4"/>
  <c r="L55" i="4"/>
  <c r="L11" i="4" s="1"/>
  <c r="L57" i="4"/>
  <c r="L13" i="4" s="1"/>
  <c r="L56" i="4"/>
  <c r="L12" i="4" s="1"/>
  <c r="L52" i="4"/>
  <c r="L8" i="4" s="1"/>
  <c r="L53" i="4"/>
  <c r="L9" i="4" s="1"/>
  <c r="L59" i="4"/>
  <c r="L15" i="4" s="1"/>
  <c r="L54" i="4"/>
  <c r="L10" i="4" s="1"/>
  <c r="L51" i="4"/>
  <c r="L7" i="4" s="1"/>
  <c r="L58" i="4"/>
  <c r="L14" i="4" s="1"/>
  <c r="M5" i="2"/>
  <c r="M143" i="4" s="1"/>
  <c r="M5" i="4"/>
  <c r="M35" i="4" s="1"/>
  <c r="O14" i="2"/>
  <c r="N4" i="2"/>
  <c r="L48" i="5" l="1"/>
  <c r="M47" i="5"/>
  <c r="M46" i="5" s="1"/>
  <c r="M9" i="5" s="1"/>
  <c r="M7" i="2"/>
  <c r="N20" i="5"/>
  <c r="N13" i="8"/>
  <c r="N6" i="8" s="1"/>
  <c r="N69" i="5" s="1"/>
  <c r="M10" i="8"/>
  <c r="M22" i="5"/>
  <c r="M8" i="8"/>
  <c r="O4" i="2"/>
  <c r="O13" i="8" s="1"/>
  <c r="O6" i="8" s="1"/>
  <c r="O69" i="5" s="1"/>
  <c r="M17" i="4"/>
  <c r="M6" i="4"/>
  <c r="L21" i="4"/>
  <c r="M55" i="4"/>
  <c r="M11" i="4" s="1"/>
  <c r="M57" i="4"/>
  <c r="M13" i="4" s="1"/>
  <c r="M53" i="4"/>
  <c r="M9" i="4" s="1"/>
  <c r="M59" i="4"/>
  <c r="M15" i="4" s="1"/>
  <c r="M51" i="4"/>
  <c r="M7" i="4" s="1"/>
  <c r="M52" i="4"/>
  <c r="M8" i="4" s="1"/>
  <c r="M54" i="4"/>
  <c r="M10" i="4" s="1"/>
  <c r="M58" i="4"/>
  <c r="M14" i="4" s="1"/>
  <c r="M56" i="4"/>
  <c r="M12" i="4" s="1"/>
  <c r="N5" i="2"/>
  <c r="N143" i="4" s="1"/>
  <c r="N5" i="4"/>
  <c r="N35" i="4" s="1"/>
  <c r="M48" i="5" l="1"/>
  <c r="N47" i="5"/>
  <c r="N46" i="5" s="1"/>
  <c r="N48" i="5" s="1"/>
  <c r="N7" i="2"/>
  <c r="O10" i="8"/>
  <c r="O8" i="8"/>
  <c r="O22" i="5"/>
  <c r="N10" i="8"/>
  <c r="N8" i="8"/>
  <c r="N22" i="5"/>
  <c r="O5" i="2"/>
  <c r="O143" i="4" s="1"/>
  <c r="O20" i="5"/>
  <c r="O5" i="4"/>
  <c r="O35" i="4" s="1"/>
  <c r="N17" i="4"/>
  <c r="N6" i="4"/>
  <c r="M21" i="4"/>
  <c r="N55" i="4"/>
  <c r="N11" i="4" s="1"/>
  <c r="N57" i="4"/>
  <c r="N13" i="4" s="1"/>
  <c r="N56" i="4"/>
  <c r="N12" i="4" s="1"/>
  <c r="N59" i="4"/>
  <c r="N15" i="4" s="1"/>
  <c r="N54" i="4"/>
  <c r="N10" i="4" s="1"/>
  <c r="N52" i="4"/>
  <c r="N8" i="4" s="1"/>
  <c r="N51" i="4"/>
  <c r="N7" i="4" s="1"/>
  <c r="N53" i="4"/>
  <c r="N9" i="4" s="1"/>
  <c r="N58" i="4"/>
  <c r="N14" i="4" s="1"/>
  <c r="N9" i="5" l="1"/>
  <c r="O47" i="5"/>
  <c r="O46" i="5" s="1"/>
  <c r="O48" i="5" s="1"/>
  <c r="O7" i="2"/>
  <c r="O55" i="4"/>
  <c r="O11" i="4" s="1"/>
  <c r="O52" i="4"/>
  <c r="O8" i="4" s="1"/>
  <c r="O56" i="4"/>
  <c r="O12" i="4" s="1"/>
  <c r="O57" i="4"/>
  <c r="O13" i="4" s="1"/>
  <c r="O54" i="4"/>
  <c r="O10" i="4" s="1"/>
  <c r="O17" i="4"/>
  <c r="O58" i="4"/>
  <c r="O14" i="4" s="1"/>
  <c r="O6" i="4"/>
  <c r="O53" i="4"/>
  <c r="O9" i="4" s="1"/>
  <c r="O51" i="4"/>
  <c r="O7" i="4" s="1"/>
  <c r="O59" i="4"/>
  <c r="O15" i="4" s="1"/>
  <c r="N21" i="4"/>
  <c r="F24" i="4"/>
  <c r="O9" i="5" l="1"/>
  <c r="O21" i="4"/>
  <c r="K24" i="4" l="1"/>
  <c r="H24" i="4"/>
  <c r="G24" i="4"/>
  <c r="J24" i="4"/>
  <c r="I24" i="4"/>
  <c r="L24" i="4"/>
  <c r="M24" i="4"/>
  <c r="O24" i="4"/>
  <c r="N24" i="4"/>
  <c r="F96" i="4" l="1"/>
  <c r="F22" i="4" s="1"/>
  <c r="F27" i="4" l="1"/>
  <c r="F129" i="4" s="1"/>
  <c r="F130" i="4" s="1"/>
  <c r="F28" i="4" s="1"/>
  <c r="F61" i="5"/>
  <c r="F29" i="4" l="1"/>
  <c r="F41" i="5"/>
  <c r="F42" i="5" s="1"/>
  <c r="F8" i="5" s="1"/>
  <c r="AD113" i="14" s="1"/>
  <c r="F39" i="4" l="1"/>
  <c r="AD31" i="14"/>
  <c r="AD32" i="14" s="1"/>
  <c r="F30" i="4"/>
  <c r="F31" i="4" s="1"/>
  <c r="F40" i="4"/>
  <c r="F21" i="5"/>
  <c r="F23" i="5" s="1"/>
  <c r="F52" i="5" l="1"/>
  <c r="F51" i="5" s="1"/>
  <c r="F11" i="5" s="1"/>
  <c r="AD118" i="14" s="1"/>
  <c r="F24" i="5"/>
  <c r="F25" i="5"/>
  <c r="F5" i="5"/>
  <c r="F10" i="5" s="1"/>
  <c r="F36" i="4"/>
  <c r="F144" i="4" s="1"/>
  <c r="F65" i="10"/>
  <c r="F43" i="4"/>
  <c r="F59" i="5"/>
  <c r="F63" i="5" s="1"/>
  <c r="F65" i="5" s="1"/>
  <c r="F70" i="5" s="1"/>
  <c r="F14" i="5" l="1"/>
  <c r="F68" i="5"/>
  <c r="F71" i="5" s="1"/>
  <c r="F73" i="10"/>
  <c r="F15" i="5" l="1"/>
  <c r="F59" i="10" s="1"/>
  <c r="F72" i="10" s="1"/>
  <c r="AD120" i="14"/>
  <c r="F57" i="10"/>
  <c r="F55" i="10" s="1"/>
  <c r="F60" i="10"/>
  <c r="B17" i="1"/>
  <c r="F74" i="10"/>
  <c r="F64" i="10" l="1"/>
  <c r="F66" i="10" s="1"/>
  <c r="F69" i="10" s="1"/>
  <c r="F79" i="10" s="1"/>
  <c r="AD9" i="14"/>
  <c r="F62" i="10"/>
  <c r="AD27" i="14"/>
  <c r="F102" i="4"/>
  <c r="G97" i="4" s="1"/>
  <c r="G96" i="4" s="1"/>
  <c r="G22" i="4" s="1"/>
  <c r="G32" i="5" l="1"/>
  <c r="G33" i="5" s="1"/>
  <c r="G7" i="5" s="1"/>
  <c r="AE112" i="14" s="1"/>
  <c r="G27" i="4"/>
  <c r="G61" i="5"/>
  <c r="G129" i="4" l="1"/>
  <c r="G130" i="4" s="1"/>
  <c r="G28" i="4" s="1"/>
  <c r="G41" i="5" s="1"/>
  <c r="G42" i="5" s="1"/>
  <c r="G8" i="5" s="1"/>
  <c r="AE113" i="14" s="1"/>
  <c r="G29" i="4" l="1"/>
  <c r="AE31" i="14" s="1"/>
  <c r="AE32" i="14" s="1"/>
  <c r="G30" i="4" l="1"/>
  <c r="G52" i="5" s="1"/>
  <c r="G51" i="5" s="1"/>
  <c r="G11" i="5" s="1"/>
  <c r="AE118" i="14" s="1"/>
  <c r="G39" i="4"/>
  <c r="G40" i="4" s="1"/>
  <c r="G21" i="5"/>
  <c r="G23" i="5" s="1"/>
  <c r="G65" i="10"/>
  <c r="G43" i="4"/>
  <c r="G36" i="4"/>
  <c r="G144" i="4" s="1"/>
  <c r="G59" i="5"/>
  <c r="G63" i="5" s="1"/>
  <c r="G65" i="5" s="1"/>
  <c r="G70" i="5" s="1"/>
  <c r="G31" i="4" l="1"/>
  <c r="G68" i="5"/>
  <c r="G71" i="5" s="1"/>
  <c r="G73" i="10"/>
  <c r="G25" i="5"/>
  <c r="G24" i="5"/>
  <c r="G5" i="5"/>
  <c r="G10" i="5" s="1"/>
  <c r="G14" i="5" s="1"/>
  <c r="G15" i="5" l="1"/>
  <c r="G59" i="10" s="1"/>
  <c r="AE120" i="14"/>
  <c r="G57" i="10"/>
  <c r="G72" i="10"/>
  <c r="G74" i="10" s="1"/>
  <c r="G60" i="10"/>
  <c r="G64" i="10" l="1"/>
  <c r="G66" i="10" s="1"/>
  <c r="G69" i="10" s="1"/>
  <c r="G79" i="10" s="1"/>
  <c r="G62" i="10"/>
  <c r="AE9" i="14"/>
  <c r="AE27" i="14"/>
  <c r="G102" i="4"/>
  <c r="H97" i="4" s="1"/>
  <c r="G55" i="10"/>
  <c r="H32" i="5" l="1"/>
  <c r="H33" i="5" s="1"/>
  <c r="H7" i="5" s="1"/>
  <c r="AF112" i="14" s="1"/>
  <c r="H96" i="4"/>
  <c r="H22" i="4" s="1"/>
  <c r="H61" i="5" l="1"/>
  <c r="H27" i="4"/>
  <c r="H129" i="4" l="1"/>
  <c r="H130" i="4" s="1"/>
  <c r="H28" i="4" s="1"/>
  <c r="H41" i="5" s="1"/>
  <c r="H42" i="5" s="1"/>
  <c r="H8" i="5" s="1"/>
  <c r="AF113" i="14" s="1"/>
  <c r="H29" i="4" l="1"/>
  <c r="AF31" i="14" s="1"/>
  <c r="AF32" i="14" s="1"/>
  <c r="H39" i="4" l="1"/>
  <c r="H40" i="4" s="1"/>
  <c r="H30" i="4"/>
  <c r="H65" i="10"/>
  <c r="H43" i="4"/>
  <c r="H36" i="4"/>
  <c r="H144" i="4" s="1"/>
  <c r="H59" i="5"/>
  <c r="H63" i="5" s="1"/>
  <c r="H65" i="5" s="1"/>
  <c r="H70" i="5" s="1"/>
  <c r="H21" i="5"/>
  <c r="H23" i="5" s="1"/>
  <c r="H52" i="5" l="1"/>
  <c r="H51" i="5" s="1"/>
  <c r="H11" i="5" s="1"/>
  <c r="AF118" i="14" s="1"/>
  <c r="H31" i="4"/>
  <c r="H25" i="5"/>
  <c r="H5" i="5"/>
  <c r="H10" i="5" s="1"/>
  <c r="H24" i="5"/>
  <c r="H73" i="10"/>
  <c r="H68" i="5"/>
  <c r="H71" i="5" s="1"/>
  <c r="H14" i="5" l="1"/>
  <c r="H15" i="5" l="1"/>
  <c r="H59" i="10" s="1"/>
  <c r="H60" i="10" s="1"/>
  <c r="AF120" i="14"/>
  <c r="H57" i="10"/>
  <c r="H55" i="10" s="1"/>
  <c r="H72" i="10"/>
  <c r="H74" i="10" s="1"/>
  <c r="H64" i="10" l="1"/>
  <c r="H66" i="10" s="1"/>
  <c r="H69" i="10" s="1"/>
  <c r="H79" i="10" s="1"/>
  <c r="H62" i="10"/>
  <c r="AF9" i="14"/>
  <c r="AF27" i="14"/>
  <c r="H102" i="4"/>
  <c r="I97" i="4" s="1"/>
  <c r="I96" i="4" s="1"/>
  <c r="I22" i="4" s="1"/>
  <c r="I32" i="5" l="1"/>
  <c r="I33" i="5" s="1"/>
  <c r="I7" i="5" s="1"/>
  <c r="AG112" i="14" s="1"/>
  <c r="I27" i="4"/>
  <c r="I61" i="5"/>
  <c r="I129" i="4" l="1"/>
  <c r="I130" i="4" s="1"/>
  <c r="I28" i="4" s="1"/>
  <c r="I41" i="5" s="1"/>
  <c r="I42" i="5" s="1"/>
  <c r="I8" i="5" s="1"/>
  <c r="AG113" i="14" s="1"/>
  <c r="I29" i="4" l="1"/>
  <c r="I39" i="4" l="1"/>
  <c r="AG31" i="14"/>
  <c r="AG32" i="14" s="1"/>
  <c r="I30" i="4"/>
  <c r="I52" i="5" s="1"/>
  <c r="I51" i="5" s="1"/>
  <c r="I11" i="5" s="1"/>
  <c r="AG118" i="14" s="1"/>
  <c r="I40" i="4"/>
  <c r="I31" i="4" l="1"/>
  <c r="I43" i="4"/>
  <c r="I21" i="5"/>
  <c r="I23" i="5" s="1"/>
  <c r="I59" i="5"/>
  <c r="I63" i="5" s="1"/>
  <c r="I65" i="5" s="1"/>
  <c r="I70" i="5" s="1"/>
  <c r="I65" i="10"/>
  <c r="I36" i="4"/>
  <c r="I144" i="4" s="1"/>
  <c r="I25" i="5" l="1"/>
  <c r="I24" i="5"/>
  <c r="I5" i="5"/>
  <c r="I10" i="5" s="1"/>
  <c r="I14" i="5" s="1"/>
  <c r="I68" i="5"/>
  <c r="I71" i="5" s="1"/>
  <c r="I73" i="10"/>
  <c r="I15" i="5" l="1"/>
  <c r="I59" i="10" s="1"/>
  <c r="AG120" i="14"/>
  <c r="I60" i="10"/>
  <c r="I72" i="10"/>
  <c r="I74" i="10" s="1"/>
  <c r="I57" i="10"/>
  <c r="I64" i="10" l="1"/>
  <c r="I66" i="10" s="1"/>
  <c r="I69" i="10" s="1"/>
  <c r="I79" i="10" s="1"/>
  <c r="AG27" i="14"/>
  <c r="AG9" i="14"/>
  <c r="I55" i="10"/>
  <c r="I102" i="4"/>
  <c r="J97" i="4" s="1"/>
  <c r="J32" i="5" l="1"/>
  <c r="J33" i="5" s="1"/>
  <c r="J7" i="5" s="1"/>
  <c r="AH112" i="14" s="1"/>
  <c r="J96" i="4"/>
  <c r="J22" i="4" s="1"/>
  <c r="J27" i="4" l="1"/>
  <c r="J61" i="5"/>
  <c r="J129" i="4" l="1"/>
  <c r="J130" i="4" s="1"/>
  <c r="J28" i="4" s="1"/>
  <c r="J41" i="5" s="1"/>
  <c r="J42" i="5" s="1"/>
  <c r="J8" i="5" s="1"/>
  <c r="AH113" i="14" s="1"/>
  <c r="J29" i="4" l="1"/>
  <c r="AH31" i="14" s="1"/>
  <c r="AH32" i="14" s="1"/>
  <c r="J39" i="4" l="1"/>
  <c r="J40" i="4" s="1"/>
  <c r="J30" i="4"/>
  <c r="J52" i="5" s="1"/>
  <c r="J51" i="5" s="1"/>
  <c r="J11" i="5" s="1"/>
  <c r="AH118" i="14" s="1"/>
  <c r="J21" i="5"/>
  <c r="J23" i="5" s="1"/>
  <c r="J59" i="5"/>
  <c r="J63" i="5" s="1"/>
  <c r="J65" i="5" s="1"/>
  <c r="J70" i="5" s="1"/>
  <c r="J36" i="4"/>
  <c r="J144" i="4" s="1"/>
  <c r="J65" i="10"/>
  <c r="J43" i="4"/>
  <c r="J31" i="4" l="1"/>
  <c r="J73" i="10"/>
  <c r="J68" i="5"/>
  <c r="J71" i="5" s="1"/>
  <c r="J25" i="5"/>
  <c r="J5" i="5"/>
  <c r="J10" i="5" s="1"/>
  <c r="J14" i="5" s="1"/>
  <c r="J24" i="5"/>
  <c r="J15" i="5" l="1"/>
  <c r="J59" i="10" s="1"/>
  <c r="AH120" i="14"/>
  <c r="J60" i="10"/>
  <c r="J72" i="10"/>
  <c r="J74" i="10" s="1"/>
  <c r="J57" i="10"/>
  <c r="J64" i="10" l="1"/>
  <c r="J66" i="10" s="1"/>
  <c r="J69" i="10" s="1"/>
  <c r="J79" i="10" s="1"/>
  <c r="AH27" i="14"/>
  <c r="AH9" i="14"/>
  <c r="J55" i="10"/>
  <c r="J102" i="4"/>
  <c r="K97" i="4" s="1"/>
  <c r="K32" i="5" l="1"/>
  <c r="K33" i="5" s="1"/>
  <c r="K7" i="5" s="1"/>
  <c r="AI112" i="14" s="1"/>
  <c r="K96" i="4"/>
  <c r="K22" i="4" s="1"/>
  <c r="K61" i="5" l="1"/>
  <c r="K27" i="4"/>
  <c r="K129" i="4" l="1"/>
  <c r="K130" i="4" s="1"/>
  <c r="K28" i="4" s="1"/>
  <c r="K41" i="5" s="1"/>
  <c r="K42" i="5" s="1"/>
  <c r="K8" i="5" s="1"/>
  <c r="AI113" i="14" s="1"/>
  <c r="K29" i="4" l="1"/>
  <c r="AI31" i="14" s="1"/>
  <c r="AI32" i="14" s="1"/>
  <c r="K30" i="4" l="1"/>
  <c r="K52" i="5" s="1"/>
  <c r="K51" i="5" s="1"/>
  <c r="K11" i="5" s="1"/>
  <c r="AI118" i="14" s="1"/>
  <c r="K39" i="4"/>
  <c r="K21" i="5"/>
  <c r="K23" i="5" s="1"/>
  <c r="K59" i="5"/>
  <c r="K63" i="5" s="1"/>
  <c r="K65" i="5" s="1"/>
  <c r="K70" i="5" s="1"/>
  <c r="K65" i="10"/>
  <c r="K36" i="4"/>
  <c r="K144" i="4" s="1"/>
  <c r="K31" i="4" l="1"/>
  <c r="K43" i="4"/>
  <c r="K40" i="4"/>
  <c r="K5" i="5"/>
  <c r="K10" i="5" s="1"/>
  <c r="K14" i="5" s="1"/>
  <c r="K25" i="5"/>
  <c r="K24" i="5"/>
  <c r="K73" i="10"/>
  <c r="K68" i="5"/>
  <c r="K71" i="5" s="1"/>
  <c r="K15" i="5" l="1"/>
  <c r="K59" i="10" s="1"/>
  <c r="AI120" i="14"/>
  <c r="K60" i="10"/>
  <c r="K57" i="10"/>
  <c r="K72" i="10"/>
  <c r="K74" i="10" s="1"/>
  <c r="K64" i="10" l="1"/>
  <c r="K66" i="10" s="1"/>
  <c r="K69" i="10" s="1"/>
  <c r="K79" i="10" s="1"/>
  <c r="AI27" i="14"/>
  <c r="AI9" i="14"/>
  <c r="K55" i="10"/>
  <c r="K102" i="4"/>
  <c r="L97" i="4" s="1"/>
  <c r="L32" i="5" l="1"/>
  <c r="L33" i="5" s="1"/>
  <c r="L7" i="5" s="1"/>
  <c r="AJ112" i="14" s="1"/>
  <c r="L96" i="4"/>
  <c r="L22" i="4" s="1"/>
  <c r="L27" i="4" l="1"/>
  <c r="L61" i="5"/>
  <c r="L129" i="4" l="1"/>
  <c r="L130" i="4" s="1"/>
  <c r="L28" i="4" s="1"/>
  <c r="L41" i="5" s="1"/>
  <c r="L42" i="5" s="1"/>
  <c r="L8" i="5" s="1"/>
  <c r="AJ113" i="14" s="1"/>
  <c r="L29" i="4" l="1"/>
  <c r="L39" i="4" l="1"/>
  <c r="AJ31" i="14"/>
  <c r="AJ32" i="14" s="1"/>
  <c r="L40" i="4"/>
  <c r="L30" i="4"/>
  <c r="L52" i="5" s="1"/>
  <c r="L51" i="5" s="1"/>
  <c r="L11" i="5" s="1"/>
  <c r="AJ118" i="14" s="1"/>
  <c r="L31" i="4" l="1"/>
  <c r="L59" i="5"/>
  <c r="L63" i="5" s="1"/>
  <c r="L65" i="5" s="1"/>
  <c r="L70" i="5" s="1"/>
  <c r="L21" i="5"/>
  <c r="L23" i="5" s="1"/>
  <c r="L36" i="4"/>
  <c r="L144" i="4" s="1"/>
  <c r="L43" i="4"/>
  <c r="L65" i="10"/>
  <c r="L24" i="5" l="1"/>
  <c r="L25" i="5"/>
  <c r="L5" i="5"/>
  <c r="L10" i="5" s="1"/>
  <c r="L14" i="5" s="1"/>
  <c r="L68" i="5"/>
  <c r="L71" i="5" s="1"/>
  <c r="L73" i="10"/>
  <c r="L15" i="5" l="1"/>
  <c r="L59" i="10" s="1"/>
  <c r="AJ120" i="14"/>
  <c r="L60" i="10"/>
  <c r="L72" i="10"/>
  <c r="L74" i="10" s="1"/>
  <c r="L57" i="10"/>
  <c r="L64" i="10" l="1"/>
  <c r="L66" i="10" s="1"/>
  <c r="L69" i="10" s="1"/>
  <c r="L79" i="10" s="1"/>
  <c r="AJ27" i="14"/>
  <c r="AJ9" i="14"/>
  <c r="L102" i="4"/>
  <c r="M97" i="4" s="1"/>
  <c r="L55" i="10"/>
  <c r="M32" i="5" l="1"/>
  <c r="M33" i="5" s="1"/>
  <c r="M7" i="5" s="1"/>
  <c r="M96" i="4"/>
  <c r="M22" i="4" s="1"/>
  <c r="M27" i="4" l="1"/>
  <c r="M61" i="5"/>
  <c r="M129" i="4" l="1"/>
  <c r="M130" i="4" s="1"/>
  <c r="M28" i="4" s="1"/>
  <c r="M41" i="5" s="1"/>
  <c r="M42" i="5" s="1"/>
  <c r="M8" i="5" s="1"/>
  <c r="M29" i="4" l="1"/>
  <c r="M30" i="4" l="1"/>
  <c r="M52" i="5" s="1"/>
  <c r="M51" i="5" s="1"/>
  <c r="M11" i="5" s="1"/>
  <c r="M39" i="4"/>
  <c r="M40" i="4" s="1"/>
  <c r="M21" i="5"/>
  <c r="M23" i="5" s="1"/>
  <c r="M65" i="10"/>
  <c r="M43" i="4"/>
  <c r="M59" i="5"/>
  <c r="M63" i="5" s="1"/>
  <c r="M65" i="5" s="1"/>
  <c r="M70" i="5" s="1"/>
  <c r="M36" i="4"/>
  <c r="M144" i="4" s="1"/>
  <c r="M31" i="4" l="1"/>
  <c r="M68" i="5"/>
  <c r="M71" i="5" s="1"/>
  <c r="M73" i="10"/>
  <c r="M5" i="5"/>
  <c r="M10" i="5" s="1"/>
  <c r="M14" i="5" s="1"/>
  <c r="M15" i="5" s="1"/>
  <c r="M59" i="10" s="1"/>
  <c r="M25" i="5"/>
  <c r="M24" i="5"/>
  <c r="M72" i="10" l="1"/>
  <c r="M74" i="10" s="1"/>
  <c r="M60" i="10"/>
  <c r="M64" i="10" s="1"/>
  <c r="M66" i="10" s="1"/>
  <c r="M69" i="10" s="1"/>
  <c r="M79" i="10" s="1"/>
  <c r="M57" i="10"/>
  <c r="M102" i="4" l="1"/>
  <c r="N97" i="4" s="1"/>
  <c r="M55" i="10"/>
  <c r="N32" i="5" l="1"/>
  <c r="N33" i="5" s="1"/>
  <c r="N7" i="5" s="1"/>
  <c r="N96" i="4"/>
  <c r="N22" i="4" s="1"/>
  <c r="N61" i="5" l="1"/>
  <c r="N27" i="4"/>
  <c r="N129" i="4" l="1"/>
  <c r="N130" i="4" s="1"/>
  <c r="N28" i="4" s="1"/>
  <c r="N41" i="5" s="1"/>
  <c r="N42" i="5" s="1"/>
  <c r="N8" i="5" s="1"/>
  <c r="N29" i="4" l="1"/>
  <c r="N30" i="4" l="1"/>
  <c r="N52" i="5" s="1"/>
  <c r="N51" i="5" s="1"/>
  <c r="N11" i="5" s="1"/>
  <c r="N39" i="4"/>
  <c r="N40" i="4" s="1"/>
  <c r="N21" i="5"/>
  <c r="N23" i="5" s="1"/>
  <c r="N59" i="5"/>
  <c r="N63" i="5" s="1"/>
  <c r="N65" i="5" s="1"/>
  <c r="N70" i="5" s="1"/>
  <c r="N36" i="4"/>
  <c r="N144" i="4" s="1"/>
  <c r="N43" i="4"/>
  <c r="N65" i="10"/>
  <c r="N31" i="4" l="1"/>
  <c r="N68" i="5"/>
  <c r="N71" i="5" s="1"/>
  <c r="N73" i="10"/>
  <c r="N24" i="5"/>
  <c r="N25" i="5"/>
  <c r="N5" i="5"/>
  <c r="N10" i="5" s="1"/>
  <c r="N14" i="5" s="1"/>
  <c r="N15" i="5" s="1"/>
  <c r="N59" i="10" s="1"/>
  <c r="N57" i="10" l="1"/>
  <c r="N72" i="10"/>
  <c r="N74" i="10" s="1"/>
  <c r="N60" i="10"/>
  <c r="N64" i="10" s="1"/>
  <c r="N66" i="10" s="1"/>
  <c r="N69" i="10" s="1"/>
  <c r="N79" i="10" s="1"/>
  <c r="N102" i="4" l="1"/>
  <c r="O97" i="4" s="1"/>
  <c r="N55" i="10"/>
  <c r="O32" i="5" l="1"/>
  <c r="O33" i="5" s="1"/>
  <c r="O7" i="5" s="1"/>
  <c r="O96" i="4"/>
  <c r="O22" i="4" s="1"/>
  <c r="O27" i="4" l="1"/>
  <c r="O61" i="5"/>
  <c r="O129" i="4" l="1"/>
  <c r="O130" i="4" s="1"/>
  <c r="O28" i="4" s="1"/>
  <c r="O41" i="5" s="1"/>
  <c r="O42" i="5" s="1"/>
  <c r="O8" i="5" s="1"/>
  <c r="O29" i="4" l="1"/>
  <c r="O39" i="4" s="1"/>
  <c r="O30" i="4" l="1"/>
  <c r="O52" i="5" s="1"/>
  <c r="O51" i="5" s="1"/>
  <c r="O11" i="5" s="1"/>
  <c r="O40" i="4"/>
  <c r="O31" i="4" l="1"/>
  <c r="O65" i="10"/>
  <c r="O43" i="4"/>
  <c r="O59" i="5"/>
  <c r="O63" i="5" s="1"/>
  <c r="O65" i="5" s="1"/>
  <c r="O70" i="5" s="1"/>
  <c r="O36" i="4"/>
  <c r="O144" i="4" s="1"/>
  <c r="O21" i="5"/>
  <c r="O23" i="5" s="1"/>
  <c r="O68" i="5" l="1"/>
  <c r="O71" i="5" s="1"/>
  <c r="O73" i="10"/>
  <c r="O25" i="5"/>
  <c r="O24" i="5"/>
  <c r="O5" i="5"/>
  <c r="O10" i="5" s="1"/>
  <c r="O14" i="5" s="1"/>
  <c r="O15" i="5" s="1"/>
  <c r="O59" i="10" s="1"/>
  <c r="O57" i="10" l="1"/>
  <c r="O72" i="10"/>
  <c r="O74" i="10" s="1"/>
  <c r="O60" i="10"/>
  <c r="O64" i="10" s="1"/>
  <c r="O66" i="10" s="1"/>
  <c r="O69" i="10" s="1"/>
  <c r="O79" i="10" s="1"/>
  <c r="B8" i="1"/>
  <c r="B9" i="1" s="1"/>
  <c r="B5" i="1"/>
  <c r="B10" i="1" s="1"/>
  <c r="B13" i="1" l="1"/>
  <c r="O102" i="4"/>
  <c r="O55" i="10"/>
  <c r="B16" i="1" l="1"/>
  <c r="B19" i="1"/>
  <c r="B22" i="1" l="1"/>
  <c r="B23" i="1" s="1"/>
  <c r="B28" i="1"/>
  <c r="B20" i="1"/>
</calcChain>
</file>

<file path=xl/sharedStrings.xml><?xml version="1.0" encoding="utf-8"?>
<sst xmlns="http://schemas.openxmlformats.org/spreadsheetml/2006/main" count="780" uniqueCount="400">
  <si>
    <t>Revenue</t>
  </si>
  <si>
    <t>Madagascar</t>
  </si>
  <si>
    <t>Togo</t>
  </si>
  <si>
    <t>Tanzania</t>
  </si>
  <si>
    <t>Senegal</t>
  </si>
  <si>
    <t>Uganda</t>
  </si>
  <si>
    <t>$m</t>
  </si>
  <si>
    <t>Holdings &amp; adj.</t>
  </si>
  <si>
    <t>Revenue per country</t>
  </si>
  <si>
    <t>Mauritius</t>
  </si>
  <si>
    <t>YoY</t>
  </si>
  <si>
    <t>Mobile &amp; fixed</t>
  </si>
  <si>
    <t>Infrastructure</t>
  </si>
  <si>
    <t>Digital and MFS</t>
  </si>
  <si>
    <t>Others</t>
  </si>
  <si>
    <t>2024E</t>
  </si>
  <si>
    <t>2025E</t>
  </si>
  <si>
    <t>2026E</t>
  </si>
  <si>
    <t>2027E</t>
  </si>
  <si>
    <t>2028E</t>
  </si>
  <si>
    <t>2029E</t>
  </si>
  <si>
    <t>2030E</t>
  </si>
  <si>
    <t>2031E</t>
  </si>
  <si>
    <t>2032E</t>
  </si>
  <si>
    <t>2033E</t>
  </si>
  <si>
    <t>YoY:</t>
  </si>
  <si>
    <t>Net adds:</t>
  </si>
  <si>
    <t>Total</t>
  </si>
  <si>
    <t>Cost of devices and equipment</t>
  </si>
  <si>
    <t>Cost of interconnection and roaming</t>
  </si>
  <si>
    <t>Government and regulatory costs</t>
  </si>
  <si>
    <t>Advertising abd advertising and distribution costs</t>
  </si>
  <si>
    <t>Commision to sales agents</t>
  </si>
  <si>
    <t>Net impairment on financial and contract assets</t>
  </si>
  <si>
    <t>Technology operation costs</t>
  </si>
  <si>
    <t>Staff costs</t>
  </si>
  <si>
    <t>Other operating expenses</t>
  </si>
  <si>
    <t>Derecognition of financial assets</t>
  </si>
  <si>
    <t>Professional fees, non-technical</t>
  </si>
  <si>
    <t>Depreciation and amortization</t>
  </si>
  <si>
    <t>Impairment of non-financial assets</t>
  </si>
  <si>
    <t>Other income</t>
  </si>
  <si>
    <t>Operating profit</t>
  </si>
  <si>
    <t>Finance income</t>
  </si>
  <si>
    <t>Finance costs</t>
  </si>
  <si>
    <t>Non-operating income</t>
  </si>
  <si>
    <t>Non-operating expenses</t>
  </si>
  <si>
    <t>Share of profit in joint ventures and associates</t>
  </si>
  <si>
    <t>Profit before tax</t>
  </si>
  <si>
    <t>Income tax</t>
  </si>
  <si>
    <t>Net profit</t>
  </si>
  <si>
    <t>Owners</t>
  </si>
  <si>
    <t>NCI</t>
  </si>
  <si>
    <t>Net FV gains on fin. assets at FV through profit</t>
  </si>
  <si>
    <t>Adj. EBITDA</t>
  </si>
  <si>
    <t>Margin</t>
  </si>
  <si>
    <t>EBITDA</t>
  </si>
  <si>
    <t>Income statement</t>
  </si>
  <si>
    <t>Adjustments</t>
  </si>
  <si>
    <t>Opearting costs</t>
  </si>
  <si>
    <t>%</t>
  </si>
  <si>
    <t>Depreciation and amortisation</t>
  </si>
  <si>
    <t>Depreciation of PP&amp;E</t>
  </si>
  <si>
    <t xml:space="preserve">Amortisation of intangible </t>
  </si>
  <si>
    <t xml:space="preserve">Amortisation of RoU assets </t>
  </si>
  <si>
    <t>D&amp;A</t>
  </si>
  <si>
    <t>Lease costs not in opex (NSRe)</t>
  </si>
  <si>
    <t>Adj. EBITDAaL</t>
  </si>
  <si>
    <t>Other income %</t>
  </si>
  <si>
    <t>Professional fees, non-technical %</t>
  </si>
  <si>
    <t>Tax</t>
  </si>
  <si>
    <t>Effective tax rate</t>
  </si>
  <si>
    <t xml:space="preserve">Net profit </t>
  </si>
  <si>
    <t>Owners %</t>
  </si>
  <si>
    <t>Associates, JVs</t>
  </si>
  <si>
    <t>Rev generating subs (000s)</t>
  </si>
  <si>
    <t>Avg revenue per Rev gen subs</t>
  </si>
  <si>
    <t>Lead Analyst</t>
  </si>
  <si>
    <t>Chris Hoare</t>
  </si>
  <si>
    <t>email</t>
  </si>
  <si>
    <t>chris@newstreetresearch.com</t>
  </si>
  <si>
    <t>Phone</t>
  </si>
  <si>
    <t>+44 207375 9130</t>
  </si>
  <si>
    <t>Analyst</t>
  </si>
  <si>
    <t>David Lopes</t>
  </si>
  <si>
    <t>david@newstreetresearch.com</t>
  </si>
  <si>
    <t>+44 207375 9147</t>
  </si>
  <si>
    <t>Axian Telecom</t>
  </si>
  <si>
    <t>NPV FCF</t>
  </si>
  <si>
    <t>Terminal multiple of FCF</t>
  </si>
  <si>
    <t>Terminal growth</t>
  </si>
  <si>
    <t>TV</t>
  </si>
  <si>
    <t>PV TV</t>
  </si>
  <si>
    <t>Other</t>
  </si>
  <si>
    <t>EV</t>
  </si>
  <si>
    <t>Equity value</t>
  </si>
  <si>
    <t>As a % of EV</t>
  </si>
  <si>
    <t>Asset pre debt</t>
  </si>
  <si>
    <t>Asset cover</t>
  </si>
  <si>
    <t>SHOUT</t>
  </si>
  <si>
    <t>Price per share</t>
  </si>
  <si>
    <t>WACC</t>
  </si>
  <si>
    <t>Rf</t>
  </si>
  <si>
    <t>Risk premium</t>
  </si>
  <si>
    <t>Cd</t>
  </si>
  <si>
    <t>Post-tax Cd</t>
  </si>
  <si>
    <t>ERP</t>
  </si>
  <si>
    <t>Beta</t>
  </si>
  <si>
    <t>CoE</t>
  </si>
  <si>
    <t>D/E</t>
  </si>
  <si>
    <t>Valuation / Asset cover</t>
  </si>
  <si>
    <t>Cash flow</t>
  </si>
  <si>
    <t>Capex</t>
  </si>
  <si>
    <t>OpFCF</t>
  </si>
  <si>
    <t>Debt</t>
  </si>
  <si>
    <t>Current borrowings</t>
  </si>
  <si>
    <t>Current bonds</t>
  </si>
  <si>
    <t>Non-current borrowings</t>
  </si>
  <si>
    <t>Non-current bonds</t>
  </si>
  <si>
    <t>IAS 17 gross debt</t>
  </si>
  <si>
    <t>Cash and CE</t>
  </si>
  <si>
    <t>Bank overdraft</t>
  </si>
  <si>
    <t>Cash net</t>
  </si>
  <si>
    <t>IAS 17 net debt</t>
  </si>
  <si>
    <t>IFRS adj.</t>
  </si>
  <si>
    <t>IFRS 16 gross debt</t>
  </si>
  <si>
    <t>Tenants on shared towers</t>
  </si>
  <si>
    <t>IFRS 16 net debt</t>
  </si>
  <si>
    <t>Implied leases</t>
  </si>
  <si>
    <t>PF LTM EBITDA</t>
  </si>
  <si>
    <t>PF LTM EBITDAaL</t>
  </si>
  <si>
    <t>Net leverage (IAS 17)</t>
  </si>
  <si>
    <t>Net leverage (IFRS 16)</t>
  </si>
  <si>
    <t>Adj E</t>
  </si>
  <si>
    <t>E</t>
  </si>
  <si>
    <t>Leases</t>
  </si>
  <si>
    <t>PF</t>
  </si>
  <si>
    <t>Exist para</t>
  </si>
  <si>
    <t>PP&amp;E</t>
  </si>
  <si>
    <t>RoU assets</t>
  </si>
  <si>
    <t>Intangibles</t>
  </si>
  <si>
    <t>Other NC assets</t>
  </si>
  <si>
    <t>% sales</t>
  </si>
  <si>
    <t>Cash capex</t>
  </si>
  <si>
    <t>Cash flow statement</t>
  </si>
  <si>
    <t>OpFCF margin</t>
  </si>
  <si>
    <t>OpFCF YoY</t>
  </si>
  <si>
    <t>Less: Leasing</t>
  </si>
  <si>
    <t>Less: Interest</t>
  </si>
  <si>
    <t>NWC</t>
  </si>
  <si>
    <t>OCF</t>
  </si>
  <si>
    <t>Less: Acquisitions</t>
  </si>
  <si>
    <t>FCF</t>
  </si>
  <si>
    <t>Cash generated</t>
  </si>
  <si>
    <t>Change in net debt</t>
  </si>
  <si>
    <t>Pro forma Adj. EBITDA</t>
  </si>
  <si>
    <t>Pro forma Adj. EBITDAaL</t>
  </si>
  <si>
    <t>Interests</t>
  </si>
  <si>
    <t>Cash</t>
  </si>
  <si>
    <t>Interest</t>
  </si>
  <si>
    <t>Interest on bank loans</t>
  </si>
  <si>
    <t>Interest on bonds</t>
  </si>
  <si>
    <t>Interest on lease liability</t>
  </si>
  <si>
    <t>FX loss</t>
  </si>
  <si>
    <t>Bank debt</t>
  </si>
  <si>
    <t>Bonds</t>
  </si>
  <si>
    <t>Less Dividends</t>
  </si>
  <si>
    <t>Active MFS users (000s)</t>
  </si>
  <si>
    <t>ARPT</t>
  </si>
  <si>
    <t>ARPU Telco</t>
  </si>
  <si>
    <t>ARPU Fintech</t>
  </si>
  <si>
    <t>Segment view</t>
  </si>
  <si>
    <t>Inventories</t>
  </si>
  <si>
    <t>Trade and other receivables</t>
  </si>
  <si>
    <t>Restricted cash</t>
  </si>
  <si>
    <t>Other current assets</t>
  </si>
  <si>
    <t>Balance sheet</t>
  </si>
  <si>
    <t>Assets</t>
  </si>
  <si>
    <t>Retained earnings</t>
  </si>
  <si>
    <t>Equity to owners</t>
  </si>
  <si>
    <t>Equity</t>
  </si>
  <si>
    <t>Capital, reserves</t>
  </si>
  <si>
    <t>Non-current lease liability</t>
  </si>
  <si>
    <t>Current lease liability</t>
  </si>
  <si>
    <t>Other NC liability</t>
  </si>
  <si>
    <t>Trade and other payables</t>
  </si>
  <si>
    <t>Other current liabilities</t>
  </si>
  <si>
    <t>Liabilities</t>
  </si>
  <si>
    <t>Equity and liabilities</t>
  </si>
  <si>
    <t>Current bank loans</t>
  </si>
  <si>
    <t>Non-current bank loans</t>
  </si>
  <si>
    <t>Current loans payab. to related parties</t>
  </si>
  <si>
    <t>NC loans payab. to related parties</t>
  </si>
  <si>
    <t>Leverage:</t>
  </si>
  <si>
    <t>Net leverage</t>
  </si>
  <si>
    <t>Net leverage (PF)</t>
  </si>
  <si>
    <t>BS and debt</t>
  </si>
  <si>
    <t>P&amp;L interests</t>
  </si>
  <si>
    <t>CF interests</t>
  </si>
  <si>
    <t>P&amp;L finance income</t>
  </si>
  <si>
    <t>CF finance income</t>
  </si>
  <si>
    <t>Diff</t>
  </si>
  <si>
    <t>Interest income</t>
  </si>
  <si>
    <t>Interest on bank acct and restricted cash</t>
  </si>
  <si>
    <t>FX gain</t>
  </si>
  <si>
    <t>Less: Tax</t>
  </si>
  <si>
    <t>Plus/Less: NWC</t>
  </si>
  <si>
    <t>Repayment of ppal of lease liability</t>
  </si>
  <si>
    <t>P&amp;L tax</t>
  </si>
  <si>
    <t>CF tax</t>
  </si>
  <si>
    <t>% revenue</t>
  </si>
  <si>
    <t>Dividends</t>
  </si>
  <si>
    <t>Net income</t>
  </si>
  <si>
    <t>P/O ratio</t>
  </si>
  <si>
    <t>Drivers:</t>
  </si>
  <si>
    <t>CTR</t>
  </si>
  <si>
    <t>2024E Rev</t>
  </si>
  <si>
    <t>DCF</t>
  </si>
  <si>
    <t>Less: D&amp;A</t>
  </si>
  <si>
    <t>Less: Interests</t>
  </si>
  <si>
    <t>Clean PBT</t>
  </si>
  <si>
    <t>Corporate tax rate</t>
  </si>
  <si>
    <t>Normalised tax</t>
  </si>
  <si>
    <t>EBITDAaL</t>
  </si>
  <si>
    <t>Less: Capex</t>
  </si>
  <si>
    <t>Less: Normalised tax</t>
  </si>
  <si>
    <t>Less: Net debt (2024E)</t>
  </si>
  <si>
    <t>FX impact</t>
  </si>
  <si>
    <t>Organic</t>
  </si>
  <si>
    <t>1Q24</t>
  </si>
  <si>
    <t>4Q22</t>
  </si>
  <si>
    <t>1Q23</t>
  </si>
  <si>
    <t>2Q23</t>
  </si>
  <si>
    <t>3Q23</t>
  </si>
  <si>
    <t>4Q23</t>
  </si>
  <si>
    <t>1Q22</t>
  </si>
  <si>
    <t>2Q22</t>
  </si>
  <si>
    <t>3Q22</t>
  </si>
  <si>
    <t>PF growth</t>
  </si>
  <si>
    <t>PF margin</t>
  </si>
  <si>
    <t>PF % sales</t>
  </si>
  <si>
    <t>V0393RAA9</t>
  </si>
  <si>
    <t>AXIAN Group USD420m Feb 2027</t>
  </si>
  <si>
    <t>Mobile &amp; Fixed</t>
  </si>
  <si>
    <t>Digital &amp; Mobile Financial</t>
  </si>
  <si>
    <t>Market share</t>
  </si>
  <si>
    <t>Axian</t>
  </si>
  <si>
    <t>Airtel</t>
  </si>
  <si>
    <t>Orange</t>
  </si>
  <si>
    <t>Moov</t>
  </si>
  <si>
    <t>Vodacom</t>
  </si>
  <si>
    <t>Halotel</t>
  </si>
  <si>
    <t>Penetration</t>
  </si>
  <si>
    <t>Mobile</t>
  </si>
  <si>
    <t>Mobile data</t>
  </si>
  <si>
    <t>Growth</t>
  </si>
  <si>
    <t>Net debt/EBITDA</t>
  </si>
  <si>
    <t>Debt Schedule</t>
  </si>
  <si>
    <t>Listed Bond</t>
  </si>
  <si>
    <t>JPM A</t>
  </si>
  <si>
    <t>JPM B</t>
  </si>
  <si>
    <t>Valuation</t>
  </si>
  <si>
    <t>Number of shares, ords</t>
  </si>
  <si>
    <t>Average number of shares, ords</t>
  </si>
  <si>
    <t>Number of shares, Savs</t>
  </si>
  <si>
    <t>Average number of shares, Savs</t>
  </si>
  <si>
    <t>Consolidated Net debt</t>
  </si>
  <si>
    <t>Other financial liabilities</t>
  </si>
  <si>
    <t>Associates (for EV calc)</t>
  </si>
  <si>
    <t>Minorities (for EV calc)</t>
  </si>
  <si>
    <t>Cumulative dividends</t>
  </si>
  <si>
    <t>Tax credit</t>
  </si>
  <si>
    <t>DPS</t>
  </si>
  <si>
    <t>Reported EPS</t>
  </si>
  <si>
    <t>Clean EPS</t>
  </si>
  <si>
    <t>Group forecasts</t>
  </si>
  <si>
    <t>Consolidated Revenues</t>
  </si>
  <si>
    <t>Consolidated Depreciation</t>
  </si>
  <si>
    <t>Consolidated Amortisation</t>
  </si>
  <si>
    <t>Consolidated Capex</t>
  </si>
  <si>
    <t>Consolidated OpFCF</t>
  </si>
  <si>
    <t>Consolidated FCF (OpFCF * (1-tax rate))</t>
  </si>
  <si>
    <t>Minority interests (b/s)</t>
  </si>
  <si>
    <t>Book equity</t>
  </si>
  <si>
    <t>Net interest</t>
  </si>
  <si>
    <t>Reported earnings</t>
  </si>
  <si>
    <t>Clean earnings</t>
  </si>
  <si>
    <t>Equity free cash flow</t>
  </si>
  <si>
    <t>Employees</t>
  </si>
  <si>
    <t>Net fixed assets</t>
  </si>
  <si>
    <t>Group Consolidated SACs</t>
  </si>
  <si>
    <t>Group consolidated SRCs</t>
  </si>
  <si>
    <t>Group Prop. SACs</t>
  </si>
  <si>
    <t>Group Prop. SRCs</t>
  </si>
  <si>
    <t>Prop. Revenues</t>
  </si>
  <si>
    <t>Prop. EBITDA</t>
  </si>
  <si>
    <t>Prop. Depreciation</t>
  </si>
  <si>
    <t>Prop. Amortisation</t>
  </si>
  <si>
    <t>Prop. Capex</t>
  </si>
  <si>
    <t>Prop. OpFCF</t>
  </si>
  <si>
    <t>Prop. FCF (OpFCF * (1-tax rate))</t>
  </si>
  <si>
    <t>Prop. Net debt</t>
  </si>
  <si>
    <t>Consolidated service revenue</t>
  </si>
  <si>
    <t>Prop. Service revenue</t>
  </si>
  <si>
    <t>Prop. Subscribers</t>
  </si>
  <si>
    <t>Prop. Pre-pay subs</t>
  </si>
  <si>
    <t>Prop. Contract subs</t>
  </si>
  <si>
    <t>Consolidated subscribers</t>
  </si>
  <si>
    <t>Consolidated Contract subs</t>
  </si>
  <si>
    <t>Consolidated pre-pay subs</t>
  </si>
  <si>
    <t>Prop. Pops</t>
  </si>
  <si>
    <t>Consolidated Pops</t>
  </si>
  <si>
    <t>Domestic Pops</t>
  </si>
  <si>
    <t>Domestic prepay subs</t>
  </si>
  <si>
    <t>Domestic contract subs</t>
  </si>
  <si>
    <t>Domestic mkt share</t>
  </si>
  <si>
    <t>Domestic voice ARPU</t>
  </si>
  <si>
    <t>Domestic data ARPU</t>
  </si>
  <si>
    <t>Domestic MOU</t>
  </si>
  <si>
    <t>Domestic revenue</t>
  </si>
  <si>
    <t>Domestic service revenue</t>
  </si>
  <si>
    <t>Domestic EBITDA</t>
  </si>
  <si>
    <t>Domestic capex</t>
  </si>
  <si>
    <t>Domestic FCF</t>
  </si>
  <si>
    <t>Cumulative Gp consolidated capex</t>
  </si>
  <si>
    <t>Cumulative Gp prop. capex</t>
  </si>
  <si>
    <t>Debt analysis</t>
  </si>
  <si>
    <t>Public debt EOY balance</t>
  </si>
  <si>
    <t>Public debt repayment</t>
  </si>
  <si>
    <t>Interest on public debt</t>
  </si>
  <si>
    <t>Average interest rate on public debt</t>
  </si>
  <si>
    <t>Maturing non-public debt EOY balance</t>
  </si>
  <si>
    <t>Maturing non-public debt repayment</t>
  </si>
  <si>
    <t>Interest rate on maturing non-public debt</t>
  </si>
  <si>
    <t>Bank interest on maturing non-public debt</t>
  </si>
  <si>
    <t>Other debt EOY balance</t>
  </si>
  <si>
    <t>Interest rate on other debt</t>
  </si>
  <si>
    <t>Interest on other debt</t>
  </si>
  <si>
    <t>Gross debt</t>
  </si>
  <si>
    <t>Gross cash &amp; STI</t>
  </si>
  <si>
    <t>Net debt</t>
  </si>
  <si>
    <t>Interest rate on cash</t>
  </si>
  <si>
    <t>FFO (see note)</t>
  </si>
  <si>
    <t>Cap ex</t>
  </si>
  <si>
    <t>Debt amortisation</t>
  </si>
  <si>
    <t>Gross interest expense</t>
  </si>
  <si>
    <t>Net interest expense</t>
  </si>
  <si>
    <t>Operating leases</t>
  </si>
  <si>
    <t>Ongoing interest on pension deficit</t>
  </si>
  <si>
    <t>Additional pension contributions to civil servants</t>
  </si>
  <si>
    <t>Adjusted EBITDA</t>
  </si>
  <si>
    <t>Operating leases x 7</t>
  </si>
  <si>
    <t>Unfunded pension liabilities to civil servants</t>
  </si>
  <si>
    <t>Unfunded pension liabilities</t>
  </si>
  <si>
    <t>Debt in joint ventures</t>
  </si>
  <si>
    <t>Guarantees</t>
  </si>
  <si>
    <t>Adjusted gross debt</t>
  </si>
  <si>
    <t>Adjusted Net debt</t>
  </si>
  <si>
    <t>Maturing debt</t>
  </si>
  <si>
    <t>Less: Interest payments</t>
  </si>
  <si>
    <t>Less: Tax paid</t>
  </si>
  <si>
    <t>Less: Change in WC</t>
  </si>
  <si>
    <t>Less: Repayment of lease liabilities</t>
  </si>
  <si>
    <t>Less: Other</t>
  </si>
  <si>
    <t>Less: Disposals/acquis.</t>
  </si>
  <si>
    <t>Less: Dividends paid</t>
  </si>
  <si>
    <t>Less: Share buyback/ special dividend</t>
  </si>
  <si>
    <t>EFCF adjustments</t>
  </si>
  <si>
    <t>Adj 1</t>
  </si>
  <si>
    <t>Adj 2</t>
  </si>
  <si>
    <t>Adj 3</t>
  </si>
  <si>
    <t>Adj 4</t>
  </si>
  <si>
    <t>Adj 5</t>
  </si>
  <si>
    <t>Adj 6</t>
  </si>
  <si>
    <t>Divisional</t>
  </si>
  <si>
    <t>Nigeria</t>
  </si>
  <si>
    <t>East Africa</t>
  </si>
  <si>
    <t>Rest of Africa</t>
  </si>
  <si>
    <t>Holding company</t>
  </si>
  <si>
    <t>Group</t>
  </si>
  <si>
    <t>Gateway</t>
  </si>
  <si>
    <t>Sum of the parts</t>
  </si>
  <si>
    <t>Population</t>
  </si>
  <si>
    <t>Operator subs</t>
  </si>
  <si>
    <t>Mkt Share</t>
  </si>
  <si>
    <t>Service revenue</t>
  </si>
  <si>
    <t>Total revenue</t>
  </si>
  <si>
    <t>MOU (incoming and outgoing)</t>
  </si>
  <si>
    <t>ARPU</t>
  </si>
  <si>
    <t>Outgoing MOU</t>
  </si>
  <si>
    <t>Outgoing ARPU</t>
  </si>
  <si>
    <t>Data ARPU</t>
  </si>
  <si>
    <t>SMS ARPU</t>
  </si>
  <si>
    <t>Operator mobile Bband subs</t>
  </si>
  <si>
    <t>Operator Mobile Bband share</t>
  </si>
  <si>
    <t>Mobile Bband ARPU</t>
  </si>
  <si>
    <t>Spectrum spend</t>
  </si>
  <si>
    <t>FX ZAR/USD</t>
  </si>
  <si>
    <t>GDP/head USD</t>
  </si>
  <si>
    <t>Consolidated Adj.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</si>
</sst>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  <numFmt numFmtId="168" formatCode="#,##0;\(#,##0\);\-"/>
    <numFmt numFmtId="169" formatCode="0.0%;\(0.0%\);\-"/>
    <numFmt numFmtId="170" formatCode="0_ ;\-0\ "/>
  </numFmts>
  <fonts count="60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5"/>
      <color rgb="FFFFFFFF"/>
      <name val="Calibri"/>
      <family val="2"/>
    </font>
    <font>
      <b/>
      <sz val="13"/>
      <color rgb="FFFFFFFF"/>
      <name val="Calibri"/>
      <family val="2"/>
    </font>
    <font>
      <b/>
      <sz val="11"/>
      <color rgb="FFFFFFFF"/>
      <name val="Calibri"/>
      <family val="2"/>
    </font>
    <font>
      <u/>
      <sz val="18"/>
      <color rgb="FF000000"/>
      <name val="Calibri Light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b/>
      <sz val="15"/>
      <color theme="3"/>
      <name val="Calibri"/>
      <family val="2"/>
    </font>
    <font>
      <u/>
      <sz val="18"/>
      <color rgb="FF263238"/>
      <name val="Calibri Light"/>
      <family val="2"/>
    </font>
    <font>
      <b/>
      <sz val="13"/>
      <color rgb="FF333333"/>
      <name val="Calibri"/>
      <family val="2"/>
    </font>
    <font>
      <b/>
      <sz val="13"/>
      <color rgb="FF465A63"/>
      <name val="Calibri"/>
      <family val="2"/>
    </font>
    <font>
      <b/>
      <sz val="11"/>
      <color rgb="FF666666"/>
      <name val="Calibri"/>
      <family val="2"/>
    </font>
    <font>
      <b/>
      <sz val="11"/>
      <color rgb="FF617D8A"/>
      <name val="Calibri"/>
      <family val="2"/>
    </font>
    <font>
      <b/>
      <sz val="11"/>
      <color rgb="FF999999"/>
      <name val="Calibri"/>
      <family val="2"/>
    </font>
    <font>
      <b/>
      <sz val="11"/>
      <color rgb="FF91A4AD"/>
      <name val="Calibri"/>
      <family val="2"/>
    </font>
    <font>
      <b/>
      <sz val="10"/>
      <color rgb="FF263238"/>
      <name val="Calibri"/>
      <family val="2"/>
    </font>
    <font>
      <sz val="9"/>
      <color rgb="FF0000FF"/>
      <name val="Calibri"/>
      <family val="2"/>
    </font>
    <font>
      <sz val="9"/>
      <color theme="0"/>
      <name val="Calibri"/>
      <family val="2"/>
    </font>
    <font>
      <sz val="9"/>
      <color theme="1"/>
      <name val="Calibri"/>
      <family val="2"/>
    </font>
    <font>
      <sz val="9"/>
      <color rgb="FF008000"/>
      <name val="Calibri"/>
      <family val="2"/>
    </font>
    <font>
      <sz val="9"/>
      <color rgb="FFFF0000"/>
      <name val="Calibri"/>
      <family val="2"/>
    </font>
    <font>
      <sz val="9"/>
      <color rgb="FF660066"/>
      <name val="Calibri"/>
      <family val="2"/>
    </font>
    <font>
      <i/>
      <sz val="9"/>
      <color rgb="FF808080"/>
      <name val="Calibri"/>
      <family val="2"/>
    </font>
    <font>
      <sz val="9"/>
      <color rgb="FFC00000"/>
      <name val="Calibri"/>
      <family val="2"/>
    </font>
    <font>
      <sz val="9"/>
      <color rgb="FFFFFFFF"/>
      <name val="Calibri"/>
      <family val="2"/>
    </font>
    <font>
      <sz val="10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1"/>
      <color rgb="FF0000FF"/>
      <name val="Roboto"/>
    </font>
    <font>
      <b/>
      <sz val="11"/>
      <color rgb="FF0000FF"/>
      <name val="Roboto"/>
    </font>
    <font>
      <b/>
      <sz val="11"/>
      <color theme="0"/>
      <name val="Roboto"/>
    </font>
    <font>
      <sz val="11"/>
      <name val="Roboto"/>
    </font>
    <font>
      <u/>
      <sz val="10"/>
      <color theme="10"/>
      <name val="Calibri"/>
      <family val="2"/>
    </font>
    <font>
      <sz val="11"/>
      <color theme="0"/>
      <name val="Roboto"/>
    </font>
    <font>
      <sz val="10"/>
      <color theme="0"/>
      <name val="Roboto"/>
    </font>
    <font>
      <sz val="10"/>
      <name val="Roboto"/>
    </font>
    <font>
      <b/>
      <sz val="11"/>
      <name val="Roboto"/>
    </font>
    <font>
      <sz val="11"/>
      <name val="Arial"/>
      <family val="2"/>
    </font>
    <font>
      <u/>
      <sz val="11"/>
      <color theme="10"/>
      <name val="Roboto"/>
    </font>
    <font>
      <b/>
      <sz val="14"/>
      <name val="Roboto"/>
    </font>
    <font>
      <sz val="10"/>
      <name val="Arial"/>
      <family val="2"/>
    </font>
    <font>
      <b/>
      <u/>
      <sz val="11"/>
      <color theme="1"/>
      <name val="Roboto"/>
    </font>
    <font>
      <sz val="11"/>
      <color rgb="FFFF0000"/>
      <name val="Roboto"/>
    </font>
    <font>
      <sz val="10"/>
      <name val="Calibri"/>
      <family val="2"/>
    </font>
    <font>
      <sz val="8"/>
      <name val="Calibri"/>
      <family val="2"/>
    </font>
    <font>
      <sz val="10"/>
      <name val="Trebuchet MS"/>
      <family val="2"/>
    </font>
    <font>
      <sz val="10"/>
      <color theme="1"/>
      <name val="Calibri"/>
      <family val="2"/>
      <scheme val="minor"/>
    </font>
    <font>
      <b/>
      <sz val="14"/>
      <color indexed="9"/>
      <name val="Trebuchet MS"/>
      <family val="2"/>
    </font>
    <font>
      <sz val="10"/>
      <color indexed="9"/>
      <name val="Trebuchet MS"/>
      <family val="2"/>
    </font>
    <font>
      <b/>
      <sz val="10"/>
      <name val="Trebuchet MS"/>
      <family val="2"/>
    </font>
    <font>
      <sz val="8"/>
      <name val="Arial"/>
      <family val="2"/>
    </font>
    <font>
      <b/>
      <sz val="9"/>
      <name val="Trebuchet MS"/>
      <family val="2"/>
    </font>
    <font>
      <sz val="10"/>
      <color rgb="FF0000FF"/>
      <name val="Calibri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3FFCC"/>
        <bgColor auto="1"/>
      </patternFill>
    </fill>
    <fill>
      <patternFill patternType="solid">
        <fgColor rgb="FFE8FE9A"/>
        <bgColor indexed="64"/>
      </patternFill>
    </fill>
    <fill>
      <patternFill patternType="solid">
        <fgColor rgb="FFDCFE67"/>
        <bgColor indexed="64"/>
      </patternFill>
    </fill>
    <fill>
      <patternFill patternType="solid">
        <fgColor rgb="FFC7FE02"/>
        <bgColor indexed="64"/>
      </patternFill>
    </fill>
    <fill>
      <patternFill patternType="solid">
        <fgColor rgb="FFFAFEE4"/>
        <bgColor indexed="64"/>
      </patternFill>
    </fill>
    <fill>
      <patternFill patternType="solid">
        <fgColor rgb="FFF4FDCC"/>
        <bgColor indexed="64"/>
      </patternFill>
    </fill>
    <fill>
      <patternFill patternType="solid">
        <fgColor rgb="FFEFFCB1"/>
        <bgColor indexed="64"/>
      </patternFill>
    </fill>
    <fill>
      <patternFill patternType="solid">
        <fgColor rgb="FFE3F982"/>
        <bgColor indexed="64"/>
      </patternFill>
    </fill>
    <fill>
      <patternFill patternType="solid">
        <fgColor rgb="FFFEE0D8"/>
        <bgColor indexed="64"/>
      </patternFill>
    </fill>
    <fill>
      <patternFill patternType="solid">
        <fgColor rgb="FFFDC1B0"/>
        <bgColor indexed="64"/>
      </patternFill>
    </fill>
    <fill>
      <patternFill patternType="solid">
        <fgColor rgb="FFFCA389"/>
        <bgColor indexed="64"/>
      </patternFill>
    </fill>
    <fill>
      <patternFill patternType="solid">
        <fgColor rgb="FFF9663E"/>
        <bgColor indexed="64"/>
      </patternFill>
    </fill>
    <fill>
      <patternFill patternType="solid">
        <fgColor rgb="FFFCE9E2"/>
        <bgColor indexed="64"/>
      </patternFill>
    </fill>
    <fill>
      <patternFill patternType="solid">
        <fgColor rgb="FFFAD3C7"/>
        <bgColor indexed="64"/>
      </patternFill>
    </fill>
    <fill>
      <patternFill patternType="solid">
        <fgColor rgb="FFF7BDAA"/>
        <bgColor indexed="64"/>
      </patternFill>
    </fill>
    <fill>
      <patternFill patternType="solid">
        <fgColor rgb="FFF19375"/>
        <bgColor indexed="64"/>
      </patternFill>
    </fill>
    <fill>
      <patternFill patternType="solid">
        <fgColor rgb="FFC1FFEE"/>
        <bgColor indexed="64"/>
      </patternFill>
    </fill>
    <fill>
      <patternFill patternType="solid">
        <fgColor rgb="FF84FFDD"/>
        <bgColor indexed="64"/>
      </patternFill>
    </fill>
    <fill>
      <patternFill patternType="solid">
        <fgColor rgb="FF46FFCC"/>
        <bgColor indexed="64"/>
      </patternFill>
    </fill>
    <fill>
      <patternFill patternType="solid">
        <fgColor rgb="FF00CA94"/>
        <bgColor indexed="64"/>
      </patternFill>
    </fill>
    <fill>
      <patternFill patternType="solid">
        <fgColor rgb="FFE6F7F2"/>
        <bgColor indexed="64"/>
      </patternFill>
    </fill>
    <fill>
      <patternFill patternType="solid">
        <fgColor rgb="FFCCEEE7"/>
        <bgColor indexed="64"/>
      </patternFill>
    </fill>
    <fill>
      <patternFill patternType="solid">
        <fgColor rgb="FFB3E6DA"/>
        <bgColor indexed="64"/>
      </patternFill>
    </fill>
    <fill>
      <patternFill patternType="solid">
        <fgColor rgb="FF80D4C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A63"/>
        <bgColor indexed="64"/>
      </patternFill>
    </fill>
    <fill>
      <patternFill patternType="solid">
        <fgColor rgb="FF617D8A"/>
        <bgColor indexed="64"/>
      </patternFill>
    </fill>
    <fill>
      <patternFill patternType="solid">
        <fgColor rgb="FF91A4AD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rgb="FF333333"/>
      </bottom>
      <diagonal/>
    </border>
    <border>
      <left/>
      <right/>
      <top/>
      <bottom style="medium">
        <color rgb="FF666666"/>
      </bottom>
      <diagonal/>
    </border>
    <border>
      <left/>
      <right/>
      <top/>
      <bottom style="thick">
        <color theme="3"/>
      </bottom>
      <diagonal/>
    </border>
    <border>
      <left/>
      <right/>
      <top/>
      <bottom style="thick">
        <color rgb="FF465A63"/>
      </bottom>
      <diagonal/>
    </border>
    <border>
      <left/>
      <right/>
      <top/>
      <bottom style="medium">
        <color rgb="FF617D8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5">
    <xf numFmtId="0" fontId="0" fillId="0" borderId="0"/>
    <xf numFmtId="0" fontId="9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Alignment="0" applyProtection="0"/>
    <xf numFmtId="0" fontId="8" fillId="8" borderId="0" applyNumberFormat="0" applyAlignment="0" applyProtection="0"/>
    <xf numFmtId="0" fontId="8" fillId="9" borderId="0" applyNumberFormat="0" applyBorder="0" applyAlignment="0" applyProtection="0"/>
    <xf numFmtId="0" fontId="10" fillId="0" borderId="2" applyNumberFormat="0" applyFill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23" fillId="2" borderId="1" applyNumberFormat="0" applyAlignment="0" applyProtection="0"/>
    <xf numFmtId="0" fontId="28" fillId="34" borderId="0" applyNumberFormat="0" applyBorder="0" applyAlignment="0" applyProtection="0"/>
    <xf numFmtId="0" fontId="27" fillId="34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6" fillId="34" borderId="0" applyNumberFormat="0" applyBorder="0" applyAlignment="0" applyProtection="0"/>
    <xf numFmtId="0" fontId="25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" borderId="0" applyNumberFormat="0" applyBorder="0" applyAlignment="0" applyProtection="0"/>
    <xf numFmtId="0" fontId="21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6" fillId="35" borderId="0" applyBorder="0" applyAlignment="0" applyProtection="0"/>
    <xf numFmtId="0" fontId="7" fillId="36" borderId="0" applyAlignment="0" applyProtection="0"/>
    <xf numFmtId="0" fontId="8" fillId="37" borderId="0" applyAlignment="0" applyProtection="0"/>
    <xf numFmtId="0" fontId="8" fillId="38" borderId="0" applyBorder="0" applyAlignment="0" applyProtection="0"/>
    <xf numFmtId="0" fontId="6" fillId="6" borderId="0" applyBorder="0" applyAlignment="0" applyProtection="0"/>
    <xf numFmtId="0" fontId="7" fillId="7" borderId="0" applyAlignment="0" applyProtection="0"/>
    <xf numFmtId="0" fontId="8" fillId="8" borderId="0" applyAlignment="0" applyProtection="0"/>
    <xf numFmtId="0" fontId="8" fillId="9" borderId="0" applyBorder="0" applyAlignment="0" applyProtection="0"/>
    <xf numFmtId="0" fontId="10" fillId="0" borderId="2" applyFill="0" applyAlignment="0" applyProtection="0"/>
    <xf numFmtId="0" fontId="13" fillId="0" borderId="0" applyFill="0" applyBorder="0" applyAlignment="0" applyProtection="0"/>
    <xf numFmtId="0" fontId="9" fillId="0" borderId="0" applyFill="0" applyBorder="0" applyAlignment="0" applyProtection="0"/>
    <xf numFmtId="0" fontId="20" fillId="0" borderId="3" applyFill="0" applyAlignment="0" applyProtection="0"/>
    <xf numFmtId="0" fontId="11" fillId="34" borderId="4" applyAlignment="0" applyProtection="0"/>
    <xf numFmtId="0" fontId="14" fillId="34" borderId="5" applyAlignment="0" applyProtection="0"/>
    <xf numFmtId="0" fontId="16" fillId="34" borderId="6" applyAlignment="0" applyProtection="0"/>
    <xf numFmtId="0" fontId="18" fillId="34" borderId="0" applyAlignment="0" applyProtection="0"/>
    <xf numFmtId="0" fontId="12" fillId="34" borderId="7" applyAlignment="0" applyProtection="0"/>
    <xf numFmtId="0" fontId="15" fillId="34" borderId="8" applyAlignment="0" applyProtection="0"/>
    <xf numFmtId="0" fontId="17" fillId="34" borderId="9" applyAlignment="0" applyProtection="0"/>
    <xf numFmtId="0" fontId="19" fillId="34" borderId="0" applyAlignment="0" applyProtection="0"/>
    <xf numFmtId="0" fontId="4" fillId="39" borderId="10" applyNumberFormat="0" applyAlignment="0" applyProtection="0"/>
    <xf numFmtId="0" fontId="5" fillId="40" borderId="11" applyNumberFormat="0" applyAlignment="0" applyProtection="0"/>
    <xf numFmtId="0" fontId="23" fillId="34" borderId="0" applyNumberFormat="0" applyBorder="0" applyAlignment="0" applyProtection="0"/>
    <xf numFmtId="0" fontId="24" fillId="34" borderId="0" applyNumberFormat="0" applyBorder="0" applyAlignment="0" applyProtection="0"/>
    <xf numFmtId="0" fontId="29" fillId="5" borderId="0" applyNumberFormat="0" applyBorder="0" applyAlignment="0" applyProtection="0"/>
    <xf numFmtId="0" fontId="28" fillId="34" borderId="0" applyNumberFormat="0" applyBorder="0" applyAlignment="0" applyProtection="0"/>
    <xf numFmtId="0" fontId="23" fillId="41" borderId="1" applyNumberFormat="0" applyAlignment="0" applyProtection="0"/>
    <xf numFmtId="0" fontId="2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45" fillId="0" borderId="0"/>
    <xf numFmtId="0" fontId="45" fillId="0" borderId="0"/>
    <xf numFmtId="0" fontId="1" fillId="0" borderId="0"/>
    <xf numFmtId="0" fontId="50" fillId="0" borderId="0"/>
    <xf numFmtId="0" fontId="50" fillId="0" borderId="0"/>
    <xf numFmtId="0" fontId="55" fillId="0" borderId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58">
    <xf numFmtId="0" fontId="0" fillId="0" borderId="0" xfId="0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3" fontId="31" fillId="0" borderId="12" xfId="0" applyNumberFormat="1" applyFont="1" applyBorder="1"/>
    <xf numFmtId="0" fontId="31" fillId="0" borderId="12" xfId="0" applyFont="1" applyBorder="1"/>
    <xf numFmtId="0" fontId="32" fillId="0" borderId="0" xfId="0" applyFont="1"/>
    <xf numFmtId="9" fontId="31" fillId="0" borderId="0" xfId="0" applyNumberFormat="1" applyFont="1"/>
    <xf numFmtId="164" fontId="31" fillId="0" borderId="0" xfId="0" applyNumberFormat="1" applyFont="1"/>
    <xf numFmtId="3" fontId="0" fillId="0" borderId="0" xfId="0" applyNumberFormat="1"/>
    <xf numFmtId="9" fontId="31" fillId="42" borderId="0" xfId="0" applyNumberFormat="1" applyFont="1" applyFill="1"/>
    <xf numFmtId="3" fontId="31" fillId="42" borderId="0" xfId="0" applyNumberFormat="1" applyFont="1" applyFill="1"/>
    <xf numFmtId="3" fontId="32" fillId="0" borderId="0" xfId="0" applyNumberFormat="1" applyFont="1"/>
    <xf numFmtId="0" fontId="32" fillId="0" borderId="13" xfId="0" applyFont="1" applyBorder="1" applyAlignment="1">
      <alignment horizontal="right"/>
    </xf>
    <xf numFmtId="0" fontId="32" fillId="0" borderId="12" xfId="0" applyFont="1" applyBorder="1"/>
    <xf numFmtId="3" fontId="32" fillId="0" borderId="12" xfId="0" applyNumberFormat="1" applyFont="1" applyBorder="1"/>
    <xf numFmtId="3" fontId="33" fillId="0" borderId="0" xfId="0" applyNumberFormat="1" applyFont="1"/>
    <xf numFmtId="3" fontId="34" fillId="0" borderId="0" xfId="0" applyNumberFormat="1" applyFont="1"/>
    <xf numFmtId="0" fontId="33" fillId="0" borderId="0" xfId="0" applyFont="1"/>
    <xf numFmtId="0" fontId="32" fillId="43" borderId="0" xfId="0" applyFont="1" applyFill="1"/>
    <xf numFmtId="0" fontId="32" fillId="43" borderId="0" xfId="0" applyFont="1" applyFill="1" applyAlignment="1">
      <alignment horizontal="right"/>
    </xf>
    <xf numFmtId="0" fontId="35" fillId="44" borderId="0" xfId="0" applyFont="1" applyFill="1" applyAlignment="1">
      <alignment horizontal="right"/>
    </xf>
    <xf numFmtId="0" fontId="32" fillId="0" borderId="13" xfId="0" applyFont="1" applyBorder="1"/>
    <xf numFmtId="165" fontId="31" fillId="0" borderId="0" xfId="0" applyNumberFormat="1" applyFont="1"/>
    <xf numFmtId="3" fontId="36" fillId="0" borderId="0" xfId="0" applyNumberFormat="1" applyFont="1"/>
    <xf numFmtId="166" fontId="31" fillId="0" borderId="0" xfId="0" applyNumberFormat="1" applyFont="1"/>
    <xf numFmtId="166" fontId="31" fillId="42" borderId="0" xfId="0" applyNumberFormat="1" applyFont="1" applyFill="1"/>
    <xf numFmtId="166" fontId="31" fillId="0" borderId="0" xfId="71" applyNumberFormat="1" applyFont="1"/>
    <xf numFmtId="166" fontId="31" fillId="42" borderId="0" xfId="71" applyNumberFormat="1" applyFont="1" applyFill="1"/>
    <xf numFmtId="9" fontId="36" fillId="0" borderId="0" xfId="0" applyNumberFormat="1" applyFont="1"/>
    <xf numFmtId="9" fontId="36" fillId="42" borderId="0" xfId="0" applyNumberFormat="1" applyFont="1" applyFill="1"/>
    <xf numFmtId="3" fontId="36" fillId="42" borderId="0" xfId="0" applyNumberFormat="1" applyFont="1" applyFill="1"/>
    <xf numFmtId="3" fontId="33" fillId="0" borderId="12" xfId="0" applyNumberFormat="1" applyFont="1" applyBorder="1"/>
    <xf numFmtId="3" fontId="33" fillId="42" borderId="0" xfId="0" applyNumberFormat="1" applyFont="1" applyFill="1"/>
    <xf numFmtId="0" fontId="35" fillId="45" borderId="0" xfId="0" applyFont="1" applyFill="1" applyAlignment="1">
      <alignment vertical="center"/>
    </xf>
    <xf numFmtId="0" fontId="38" fillId="45" borderId="0" xfId="0" applyFont="1" applyFill="1"/>
    <xf numFmtId="0" fontId="39" fillId="45" borderId="0" xfId="0" applyFont="1" applyFill="1"/>
    <xf numFmtId="3" fontId="31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166" fontId="36" fillId="42" borderId="0" xfId="74" applyNumberFormat="1" applyFont="1" applyFill="1" applyAlignment="1">
      <alignment horizontal="center"/>
    </xf>
    <xf numFmtId="3" fontId="32" fillId="0" borderId="12" xfId="0" applyNumberFormat="1" applyFont="1" applyBorder="1" applyAlignment="1">
      <alignment horizontal="center"/>
    </xf>
    <xf numFmtId="9" fontId="31" fillId="0" borderId="0" xfId="0" applyNumberFormat="1" applyFont="1" applyAlignment="1">
      <alignment horizontal="center"/>
    </xf>
    <xf numFmtId="9" fontId="32" fillId="0" borderId="14" xfId="71" applyFont="1" applyBorder="1" applyAlignment="1">
      <alignment horizontal="center"/>
    </xf>
    <xf numFmtId="0" fontId="31" fillId="0" borderId="0" xfId="0" applyFont="1" applyAlignment="1">
      <alignment horizontal="center"/>
    </xf>
    <xf numFmtId="167" fontId="36" fillId="0" borderId="0" xfId="70" applyNumberFormat="1" applyFont="1"/>
    <xf numFmtId="0" fontId="46" fillId="0" borderId="0" xfId="0" applyFont="1"/>
    <xf numFmtId="0" fontId="36" fillId="0" borderId="0" xfId="75" applyFont="1"/>
    <xf numFmtId="166" fontId="36" fillId="0" borderId="0" xfId="74" applyNumberFormat="1" applyFont="1" applyAlignment="1">
      <alignment horizontal="center"/>
    </xf>
    <xf numFmtId="164" fontId="31" fillId="42" borderId="0" xfId="0" applyNumberFormat="1" applyFont="1" applyFill="1" applyAlignment="1">
      <alignment horizontal="center"/>
    </xf>
    <xf numFmtId="9" fontId="36" fillId="42" borderId="0" xfId="74" applyNumberFormat="1" applyFont="1" applyFill="1" applyAlignment="1">
      <alignment horizontal="center"/>
    </xf>
    <xf numFmtId="0" fontId="41" fillId="0" borderId="0" xfId="75" applyFont="1"/>
    <xf numFmtId="166" fontId="41" fillId="0" borderId="14" xfId="74" applyNumberFormat="1" applyFont="1" applyBorder="1" applyAlignment="1">
      <alignment horizontal="center"/>
    </xf>
    <xf numFmtId="0" fontId="47" fillId="0" borderId="0" xfId="0" applyFont="1"/>
    <xf numFmtId="9" fontId="36" fillId="0" borderId="0" xfId="71" applyFont="1"/>
    <xf numFmtId="9" fontId="36" fillId="42" borderId="0" xfId="71" applyFont="1" applyFill="1"/>
    <xf numFmtId="1" fontId="33" fillId="0" borderId="0" xfId="0" applyNumberFormat="1" applyFont="1"/>
    <xf numFmtId="0" fontId="31" fillId="0" borderId="0" xfId="0" applyFont="1" applyAlignment="1">
      <alignment horizontal="left" indent="1"/>
    </xf>
    <xf numFmtId="0" fontId="31" fillId="0" borderId="0" xfId="0" applyFont="1" applyAlignment="1">
      <alignment horizontal="righ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3" fontId="32" fillId="0" borderId="12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right"/>
    </xf>
    <xf numFmtId="164" fontId="32" fillId="0" borderId="0" xfId="0" applyNumberFormat="1" applyFont="1"/>
    <xf numFmtId="164" fontId="32" fillId="46" borderId="0" xfId="0" applyNumberFormat="1" applyFont="1" applyFill="1"/>
    <xf numFmtId="164" fontId="34" fillId="0" borderId="0" xfId="0" applyNumberFormat="1" applyFont="1"/>
    <xf numFmtId="0" fontId="36" fillId="0" borderId="0" xfId="0" applyFont="1"/>
    <xf numFmtId="164" fontId="36" fillId="0" borderId="0" xfId="0" applyNumberFormat="1" applyFont="1"/>
    <xf numFmtId="0" fontId="48" fillId="0" borderId="0" xfId="0" applyFont="1"/>
    <xf numFmtId="164" fontId="36" fillId="42" borderId="0" xfId="0" applyNumberFormat="1" applyFont="1" applyFill="1"/>
    <xf numFmtId="0" fontId="31" fillId="42" borderId="0" xfId="0" applyFont="1" applyFill="1" applyAlignment="1">
      <alignment horizontal="right"/>
    </xf>
    <xf numFmtId="0" fontId="31" fillId="42" borderId="0" xfId="0" applyFont="1" applyFill="1"/>
    <xf numFmtId="3" fontId="31" fillId="0" borderId="12" xfId="0" applyNumberFormat="1" applyFont="1" applyBorder="1" applyAlignment="1">
      <alignment horizontal="right"/>
    </xf>
    <xf numFmtId="3" fontId="31" fillId="42" borderId="0" xfId="0" applyNumberFormat="1" applyFont="1" applyFill="1" applyAlignment="1">
      <alignment horizontal="center"/>
    </xf>
    <xf numFmtId="4" fontId="33" fillId="0" borderId="0" xfId="0" applyNumberFormat="1" applyFont="1" applyAlignment="1">
      <alignment horizontal="center"/>
    </xf>
    <xf numFmtId="0" fontId="36" fillId="34" borderId="0" xfId="0" applyFont="1" applyFill="1"/>
    <xf numFmtId="0" fontId="40" fillId="34" borderId="0" xfId="0" applyFont="1" applyFill="1"/>
    <xf numFmtId="0" fontId="44" fillId="34" borderId="0" xfId="0" applyFont="1" applyFill="1" applyAlignment="1">
      <alignment vertical="center"/>
    </xf>
    <xf numFmtId="0" fontId="31" fillId="34" borderId="0" xfId="0" applyFont="1" applyFill="1"/>
    <xf numFmtId="0" fontId="42" fillId="34" borderId="0" xfId="73" applyFont="1" applyFill="1"/>
    <xf numFmtId="0" fontId="43" fillId="34" borderId="0" xfId="72" applyFont="1" applyFill="1" applyAlignment="1" applyProtection="1"/>
    <xf numFmtId="0" fontId="36" fillId="34" borderId="0" xfId="0" quotePrefix="1" applyFont="1" applyFill="1"/>
    <xf numFmtId="166" fontId="33" fillId="0" borderId="0" xfId="0" applyNumberFormat="1" applyFont="1"/>
    <xf numFmtId="9" fontId="33" fillId="0" borderId="0" xfId="0" applyNumberFormat="1" applyFont="1"/>
    <xf numFmtId="0" fontId="32" fillId="0" borderId="0" xfId="0" applyFont="1" applyAlignment="1">
      <alignment horizontal="right"/>
    </xf>
    <xf numFmtId="0" fontId="1" fillId="0" borderId="0" xfId="76"/>
    <xf numFmtId="168" fontId="51" fillId="0" borderId="0" xfId="77" applyNumberFormat="1" applyFont="1"/>
    <xf numFmtId="15" fontId="1" fillId="0" borderId="0" xfId="76" applyNumberFormat="1"/>
    <xf numFmtId="168" fontId="51" fillId="47" borderId="0" xfId="77" applyNumberFormat="1" applyFont="1" applyFill="1"/>
    <xf numFmtId="15" fontId="51" fillId="47" borderId="0" xfId="77" applyNumberFormat="1" applyFont="1" applyFill="1" applyAlignment="1">
      <alignment horizontal="left"/>
    </xf>
    <xf numFmtId="169" fontId="1" fillId="0" borderId="0" xfId="76" applyNumberFormat="1"/>
    <xf numFmtId="169" fontId="51" fillId="47" borderId="0" xfId="77" applyNumberFormat="1" applyFont="1" applyFill="1"/>
    <xf numFmtId="0" fontId="1" fillId="47" borderId="0" xfId="76" applyFill="1" applyAlignment="1">
      <alignment wrapText="1"/>
    </xf>
    <xf numFmtId="9" fontId="31" fillId="0" borderId="14" xfId="0" applyNumberFormat="1" applyFont="1" applyBorder="1" applyAlignment="1">
      <alignment horizontal="right"/>
    </xf>
    <xf numFmtId="9" fontId="0" fillId="0" borderId="0" xfId="0" applyNumberFormat="1"/>
    <xf numFmtId="0" fontId="0" fillId="0" borderId="0" xfId="0" applyAlignment="1">
      <alignment horizontal="center"/>
    </xf>
    <xf numFmtId="170" fontId="31" fillId="0" borderId="0" xfId="70" applyNumberFormat="1" applyFont="1"/>
    <xf numFmtId="166" fontId="33" fillId="0" borderId="0" xfId="71" applyNumberFormat="1" applyFont="1" applyBorder="1"/>
    <xf numFmtId="9" fontId="31" fillId="0" borderId="0" xfId="71" applyFont="1"/>
    <xf numFmtId="1" fontId="36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52" fillId="48" borderId="15" xfId="78" applyFont="1" applyFill="1" applyBorder="1" applyAlignment="1">
      <alignment vertical="center"/>
    </xf>
    <xf numFmtId="0" fontId="53" fillId="48" borderId="15" xfId="78" applyFont="1" applyFill="1" applyBorder="1"/>
    <xf numFmtId="0" fontId="54" fillId="0" borderId="13" xfId="78" applyFont="1" applyBorder="1"/>
    <xf numFmtId="167" fontId="3" fillId="49" borderId="0" xfId="70" applyNumberFormat="1" applyFill="1"/>
    <xf numFmtId="0" fontId="0" fillId="49" borderId="0" xfId="78" applyFont="1" applyFill="1"/>
    <xf numFmtId="43" fontId="3" fillId="49" borderId="0" xfId="70" applyFill="1"/>
    <xf numFmtId="167" fontId="0" fillId="0" borderId="0" xfId="78" applyNumberFormat="1" applyFont="1"/>
    <xf numFmtId="0" fontId="0" fillId="0" borderId="0" xfId="78" applyFont="1"/>
    <xf numFmtId="1" fontId="50" fillId="49" borderId="0" xfId="79" applyNumberFormat="1" applyFont="1" applyFill="1"/>
    <xf numFmtId="167" fontId="50" fillId="49" borderId="0" xfId="80" applyNumberFormat="1" applyFont="1" applyFill="1"/>
    <xf numFmtId="167" fontId="0" fillId="49" borderId="0" xfId="78" applyNumberFormat="1" applyFont="1" applyFill="1"/>
    <xf numFmtId="0" fontId="50" fillId="0" borderId="0" xfId="81" applyFont="1"/>
    <xf numFmtId="0" fontId="54" fillId="0" borderId="0" xfId="81" applyFont="1" applyAlignment="1">
      <alignment horizontal="left"/>
    </xf>
    <xf numFmtId="167" fontId="3" fillId="0" borderId="0" xfId="70" applyNumberFormat="1"/>
    <xf numFmtId="0" fontId="50" fillId="0" borderId="0" xfId="79" applyFont="1"/>
    <xf numFmtId="0" fontId="54" fillId="0" borderId="13" xfId="79" applyFont="1" applyBorder="1"/>
    <xf numFmtId="0" fontId="50" fillId="49" borderId="0" xfId="79" applyFont="1" applyFill="1"/>
    <xf numFmtId="0" fontId="54" fillId="0" borderId="0" xfId="78" applyFont="1"/>
    <xf numFmtId="167" fontId="50" fillId="49" borderId="0" xfId="70" applyNumberFormat="1" applyFont="1" applyFill="1"/>
    <xf numFmtId="0" fontId="50" fillId="0" borderId="0" xfId="78"/>
    <xf numFmtId="43" fontId="50" fillId="49" borderId="0" xfId="70" applyFont="1" applyFill="1"/>
    <xf numFmtId="0" fontId="50" fillId="49" borderId="0" xfId="78" applyFill="1"/>
    <xf numFmtId="1" fontId="54" fillId="49" borderId="0" xfId="79" applyNumberFormat="1" applyFont="1" applyFill="1"/>
    <xf numFmtId="167" fontId="50" fillId="0" borderId="0" xfId="70" applyNumberFormat="1" applyFont="1" applyFill="1"/>
    <xf numFmtId="0" fontId="56" fillId="0" borderId="13" xfId="78" applyFont="1" applyBorder="1"/>
    <xf numFmtId="0" fontId="54" fillId="0" borderId="13" xfId="82" applyFont="1" applyBorder="1"/>
    <xf numFmtId="0" fontId="54" fillId="0" borderId="0" xfId="82" applyFont="1"/>
    <xf numFmtId="0" fontId="45" fillId="49" borderId="0" xfId="82" applyFill="1"/>
    <xf numFmtId="0" fontId="45" fillId="0" borderId="0" xfId="82"/>
    <xf numFmtId="167" fontId="45" fillId="49" borderId="0" xfId="70" applyNumberFormat="1" applyFont="1" applyFill="1"/>
    <xf numFmtId="167" fontId="45" fillId="49" borderId="0" xfId="83" applyNumberFormat="1" applyFill="1"/>
    <xf numFmtId="9" fontId="45" fillId="49" borderId="0" xfId="82" applyNumberFormat="1" applyFill="1"/>
    <xf numFmtId="9" fontId="45" fillId="49" borderId="0" xfId="71" applyFont="1" applyFill="1"/>
    <xf numFmtId="9" fontId="45" fillId="49" borderId="0" xfId="84" applyFill="1"/>
    <xf numFmtId="3" fontId="45" fillId="49" borderId="0" xfId="82" applyNumberFormat="1" applyFill="1"/>
    <xf numFmtId="1" fontId="45" fillId="49" borderId="0" xfId="82" applyNumberFormat="1" applyFill="1"/>
    <xf numFmtId="9" fontId="0" fillId="49" borderId="0" xfId="71" applyFont="1" applyFill="1"/>
    <xf numFmtId="9" fontId="0" fillId="49" borderId="0" xfId="84" applyFont="1" applyFill="1"/>
    <xf numFmtId="167" fontId="0" fillId="49" borderId="0" xfId="70" applyNumberFormat="1" applyFont="1" applyFill="1"/>
    <xf numFmtId="167" fontId="0" fillId="49" borderId="0" xfId="83" applyNumberFormat="1" applyFont="1" applyFill="1"/>
    <xf numFmtId="43" fontId="45" fillId="49" borderId="0" xfId="70" applyFont="1" applyFill="1"/>
    <xf numFmtId="43" fontId="45" fillId="49" borderId="0" xfId="83" applyFill="1"/>
    <xf numFmtId="1" fontId="0" fillId="49" borderId="0" xfId="70" applyNumberFormat="1" applyFont="1" applyFill="1"/>
    <xf numFmtId="1" fontId="0" fillId="49" borderId="0" xfId="83" applyNumberFormat="1" applyFont="1" applyFill="1"/>
    <xf numFmtId="0" fontId="0" fillId="50" borderId="0" xfId="0" applyFill="1"/>
    <xf numFmtId="0" fontId="0" fillId="50" borderId="0" xfId="78" applyFont="1" applyFill="1"/>
    <xf numFmtId="167" fontId="0" fillId="0" borderId="0" xfId="0" applyNumberFormat="1"/>
    <xf numFmtId="167" fontId="57" fillId="49" borderId="0" xfId="70" applyNumberFormat="1" applyFont="1" applyFill="1"/>
    <xf numFmtId="0" fontId="58" fillId="51" borderId="0" xfId="78" applyFont="1" applyFill="1"/>
    <xf numFmtId="3" fontId="58" fillId="51" borderId="0" xfId="0" applyNumberFormat="1" applyFont="1" applyFill="1" applyAlignment="1">
      <alignment horizontal="center"/>
    </xf>
    <xf numFmtId="164" fontId="58" fillId="51" borderId="0" xfId="0" applyNumberFormat="1" applyFont="1" applyFill="1" applyAlignment="1">
      <alignment horizontal="center"/>
    </xf>
    <xf numFmtId="166" fontId="50" fillId="51" borderId="0" xfId="74" applyNumberFormat="1" applyFont="1" applyFill="1" applyAlignment="1">
      <alignment horizontal="center"/>
    </xf>
    <xf numFmtId="3" fontId="59" fillId="51" borderId="12" xfId="0" applyNumberFormat="1" applyFont="1" applyFill="1" applyBorder="1" applyAlignment="1">
      <alignment horizontal="center"/>
    </xf>
    <xf numFmtId="0" fontId="58" fillId="51" borderId="0" xfId="0" applyFont="1" applyFill="1"/>
    <xf numFmtId="9" fontId="58" fillId="51" borderId="0" xfId="0" applyNumberFormat="1" applyFont="1" applyFill="1" applyAlignment="1">
      <alignment horizontal="center"/>
    </xf>
    <xf numFmtId="9" fontId="59" fillId="51" borderId="14" xfId="71" applyFont="1" applyFill="1" applyBorder="1" applyAlignment="1">
      <alignment horizontal="center"/>
    </xf>
  </cellXfs>
  <cellStyles count="85">
    <cellStyle name="%" xfId="78" xr:uid="{434232B5-4C93-4305-B0F3-39B5021A098B}"/>
    <cellStyle name="01: Hardcoded" xfId="23" xr:uid="{F3488B07-551F-450E-90B8-C249737C9654}"/>
    <cellStyle name="02: Control Element" xfId="22" xr:uid="{263DFE16-731D-4FC4-B944-F2D23B13FC35}"/>
    <cellStyle name="03: Calculation" xfId="21" xr:uid="{4B888CF5-BA6D-44BB-9058-30F1C1308BE4}"/>
    <cellStyle name="04: Linked Value" xfId="20" xr:uid="{DF9B4883-B691-43FE-A8B5-94DD6D320893}"/>
    <cellStyle name="05: Linked to External Model" xfId="19" xr:uid="{9C67640F-72E9-4163-9383-CD7F3F7F508E}"/>
    <cellStyle name="06: Linked to Factset/Visa Alpha" xfId="18" xr:uid="{EAA705CE-0450-482D-B515-5C9281E643F4}"/>
    <cellStyle name="07: Inconsistent" xfId="17" xr:uid="{B4BFCB8A-9DD9-46A7-B758-C63381938E7F}"/>
    <cellStyle name="08: Work in progress" xfId="16" xr:uid="{08137122-C443-4D9C-8A13-858D3A927921}"/>
    <cellStyle name="09: Explanatory text" xfId="15" xr:uid="{9DF5444B-9A37-49A1-B01E-55A00AA59427}"/>
    <cellStyle name="10: Warning text" xfId="14" xr:uid="{3FEF77A3-4DBA-456E-8033-F406B3EB081A}"/>
    <cellStyle name="11: Note" xfId="13" xr:uid="{721AB83E-66F0-4C06-A2FD-E4BD23406C8D}"/>
    <cellStyle name="12: Total P1" xfId="50" xr:uid="{9803684B-8BA2-4192-8B53-62BF3CD8D51A}"/>
    <cellStyle name="13: Heading P1" xfId="46" xr:uid="{346549D4-DA0E-49FF-AA23-5DD41F2D7E08}"/>
    <cellStyle name="14: Heading P2" xfId="47" xr:uid="{D13FE75C-F0A4-4159-BD39-64D5ECBB1955}"/>
    <cellStyle name="15: Heading P3" xfId="48" xr:uid="{69FD2941-FC20-4086-9E18-F17A61ABDD27}"/>
    <cellStyle name="16: Heading P4" xfId="49" xr:uid="{243BAA39-B4A1-45A9-99E4-E946A2643147}"/>
    <cellStyle name="17: Title P1" xfId="52" xr:uid="{C7D9B6A3-0EEE-495F-8C44-A37A29A92BB4}"/>
    <cellStyle name="19: Heading F1" xfId="42" xr:uid="{896D8B1D-5DF6-4B97-AADA-C6679C53D5E2}"/>
    <cellStyle name="20% - Accent1" xfId="24" builtinId="30" customBuiltin="1"/>
    <cellStyle name="20% - Accent2" xfId="27" builtinId="34" customBuiltin="1"/>
    <cellStyle name="20% - Accent3" xfId="30" builtinId="38" customBuiltin="1"/>
    <cellStyle name="20% - Accent4" xfId="33" builtinId="42" customBuiltin="1"/>
    <cellStyle name="20% - Accent5" xfId="36" builtinId="46" customBuiltin="1"/>
    <cellStyle name="20% - Accent6" xfId="39" builtinId="50" customBuiltin="1"/>
    <cellStyle name="20: Heading F2" xfId="43" xr:uid="{C3D277ED-E5FA-4C7F-8916-27CEF303EDA7}"/>
    <cellStyle name="21: Heading F3" xfId="44" xr:uid="{72664930-AAE6-4DC6-9985-67E61D279A4E}"/>
    <cellStyle name="23: Heading F4" xfId="45" xr:uid="{DF6E4256-6F4E-43C6-A0B1-2804926A6707}"/>
    <cellStyle name="24: Title F1" xfId="51" xr:uid="{A76A86F5-99B7-4A2E-918C-DE5A7FBB4496}"/>
    <cellStyle name="25: Total F1" xfId="53" xr:uid="{D8C5C733-EB15-41E2-85E0-0AA23331216A}"/>
    <cellStyle name="26: Heading P1" xfId="54" xr:uid="{D40480A2-D017-40F1-8D52-0E6CAB9A2AD2}"/>
    <cellStyle name="27: Heading P2" xfId="55" xr:uid="{CFCB6329-F882-410C-9E74-9E2CE44AB8F4}"/>
    <cellStyle name="28: Heading P3" xfId="56" xr:uid="{DBB7E7F8-7AE5-407D-A138-75AC32C0333B}"/>
    <cellStyle name="29: Heading P4" xfId="57" xr:uid="{97F34C06-B2ED-4E7E-BBEA-79FDD9CE9165}"/>
    <cellStyle name="32: Heading F1" xfId="58" xr:uid="{3E5DF2B1-298D-4FF8-8131-10270DDE825F}"/>
    <cellStyle name="33: Heading F2" xfId="59" xr:uid="{511FB7A5-3601-44B6-8156-E6DA06325239}"/>
    <cellStyle name="34: Heading F3" xfId="60" xr:uid="{73097DBB-274B-43C6-B1BE-724299DD473D}"/>
    <cellStyle name="35: Heading F4" xfId="61" xr:uid="{41F9B420-C217-47CD-A51A-0855ED9BAE6C}"/>
    <cellStyle name="40% - Accent1" xfId="25" builtinId="31" customBuiltin="1"/>
    <cellStyle name="40% - Accent2" xfId="28" builtinId="35" customBuiltin="1"/>
    <cellStyle name="40% - Accent3" xfId="31" builtinId="39" customBuiltin="1"/>
    <cellStyle name="40% - Accent4" xfId="34" builtinId="43" customBuiltin="1"/>
    <cellStyle name="40% - Accent5" xfId="37" builtinId="47" customBuiltin="1"/>
    <cellStyle name="40% - Accent6" xfId="40" builtinId="51" customBuiltin="1"/>
    <cellStyle name="60% - Accent1" xfId="26" builtinId="32" customBuiltin="1"/>
    <cellStyle name="60% - Accent2" xfId="29" builtinId="36" customBuiltin="1"/>
    <cellStyle name="60% - Accent3" xfId="32" builtinId="40" customBuiltin="1"/>
    <cellStyle name="60% - Accent4" xfId="35" builtinId="44" customBuiltin="1"/>
    <cellStyle name="60% - Accent5" xfId="38" builtinId="48" customBuiltin="1"/>
    <cellStyle name="60% - Accent6" xfId="41" builtinId="52" customBuiltin="1"/>
    <cellStyle name="Accent1" xfId="7" builtinId="29" customBuiltin="1"/>
    <cellStyle name="Accent2" xfId="8" builtinId="33" customBuiltin="1"/>
    <cellStyle name="Accent3" xfId="9" builtinId="37" customBuiltin="1"/>
    <cellStyle name="Accent4" xfId="10" builtinId="41" customBuiltin="1"/>
    <cellStyle name="Accent5" xfId="11" builtinId="45" customBuiltin="1"/>
    <cellStyle name="Accent6" xfId="12" builtinId="49" customBuiltin="1"/>
    <cellStyle name="Calculation" xfId="64" builtinId="22" customBuiltin="1"/>
    <cellStyle name="Check Cell" xfId="66" builtinId="23" hidden="1" customBuiltin="1"/>
    <cellStyle name="Comma" xfId="70" builtinId="3"/>
    <cellStyle name="Comma 10" xfId="83" xr:uid="{1FE6ED5B-3928-4820-80FC-E82950D2ABE6}"/>
    <cellStyle name="Comma_BT3" xfId="80" xr:uid="{3C87A02B-A20C-40DE-A0BF-3B55082B7C5A}"/>
    <cellStyle name="Explanatory Text" xfId="6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2" builtinId="8"/>
    <cellStyle name="Input" xfId="62" builtinId="20" hidden="1"/>
    <cellStyle name="Linked Cell" xfId="65" builtinId="24" customBuiltin="1"/>
    <cellStyle name="Normal" xfId="0" builtinId="0"/>
    <cellStyle name="Normal 1" xfId="82" xr:uid="{937D6190-D260-4FCE-88FB-C6A67117422D}"/>
    <cellStyle name="Normal 2" xfId="76" xr:uid="{E3E4714F-8AB7-4337-9A2B-31C785C807B5}"/>
    <cellStyle name="Normal 2 2" xfId="77" xr:uid="{FD7931E8-EF91-4C8B-A303-A603650260C3}"/>
    <cellStyle name="Normal 4" xfId="73" xr:uid="{9E0AF945-74F1-450D-9798-E77E8390C0D6}"/>
    <cellStyle name="Normal_bt debt model" xfId="81" xr:uid="{4B4132FD-5E9C-4A67-A446-D7495F935CF8}"/>
    <cellStyle name="Normal_BT3 2" xfId="79" xr:uid="{5B51D83D-1E5B-4A3B-BFF0-2F5B9579CBEA}"/>
    <cellStyle name="Normal_dt2" xfId="75" xr:uid="{002BA31A-4A49-4FAD-9A4B-0429E0D62618}"/>
    <cellStyle name="Note" xfId="68" builtinId="10" customBuiltin="1"/>
    <cellStyle name="Output" xfId="63" builtinId="21" hidden="1"/>
    <cellStyle name="Percent" xfId="71" builtinId="5"/>
    <cellStyle name="Percent [0%] 2" xfId="84" xr:uid="{7A2703DC-7BD0-47D1-AAFE-C8C493A4C454}"/>
    <cellStyle name="Style 1" xfId="74" xr:uid="{3CF46BD2-7F09-41CD-AC2F-7464F7D57961}"/>
    <cellStyle name="Title" xfId="1" builtinId="15" customBuiltin="1"/>
    <cellStyle name="Total" xfId="6" builtinId="25" customBuiltin="1"/>
    <cellStyle name="Warning Text" xfId="67" builtinId="11" customBuiltin="1"/>
  </cellStyles>
  <dxfs count="0"/>
  <tableStyles count="0" defaultTableStyle="TableStyleMedium2" defaultPivotStyle="PivotStyleLight16"/>
  <colors>
    <mruColors>
      <color rgb="FF99CCFF"/>
      <color rgb="FF595959"/>
      <color rgb="FF858585"/>
      <color rgb="FF799098"/>
      <color rgb="FF0000FF"/>
      <color rgb="FFFFFFFF"/>
      <color rgb="FF008000"/>
      <color rgb="FFC00000"/>
      <color rgb="FF80808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Revenue!$A$30</c:f>
              <c:strCache>
                <c:ptCount val="1"/>
                <c:pt idx="0">
                  <c:v>Madagascar</c:v>
                </c:pt>
              </c:strCache>
            </c:strRef>
          </c:tx>
          <c:spPr>
            <a:solidFill>
              <a:srgbClr val="263238"/>
            </a:solidFill>
            <a:ln>
              <a:noFill/>
            </a:ln>
            <a:effectLst/>
          </c:spPr>
          <c:invertIfNegative val="0"/>
          <c:cat>
            <c:strRef>
              <c:f>Revenue!$B$28:$O$28</c:f>
              <c:strCache>
                <c:ptCount val="14"/>
                <c:pt idx="0">
                  <c:v>2020 </c:v>
                </c:pt>
                <c:pt idx="1">
                  <c:v>2021 </c:v>
                </c:pt>
                <c:pt idx="2">
                  <c:v>2022 </c:v>
                </c:pt>
                <c:pt idx="3">
                  <c:v>2023 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Revenue!$B$30:$O$30</c:f>
              <c:numCache>
                <c:formatCode>#,##0</c:formatCode>
                <c:ptCount val="14"/>
                <c:pt idx="0">
                  <c:v>7520.8801652892562</c:v>
                </c:pt>
                <c:pt idx="1">
                  <c:v>9104.5</c:v>
                </c:pt>
                <c:pt idx="2">
                  <c:v>11038</c:v>
                </c:pt>
                <c:pt idx="3">
                  <c:v>13261</c:v>
                </c:pt>
                <c:pt idx="4">
                  <c:v>14461</c:v>
                </c:pt>
                <c:pt idx="5">
                  <c:v>15561</c:v>
                </c:pt>
                <c:pt idx="6">
                  <c:v>16561</c:v>
                </c:pt>
                <c:pt idx="7">
                  <c:v>17561</c:v>
                </c:pt>
                <c:pt idx="8">
                  <c:v>18561</c:v>
                </c:pt>
                <c:pt idx="9">
                  <c:v>19561</c:v>
                </c:pt>
                <c:pt idx="10">
                  <c:v>20561</c:v>
                </c:pt>
                <c:pt idx="11">
                  <c:v>21561</c:v>
                </c:pt>
                <c:pt idx="12">
                  <c:v>22561</c:v>
                </c:pt>
                <c:pt idx="13">
                  <c:v>23561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6-476A-8876-8B65B738C694}"/>
            </c:ext>
          </c:extLst>
        </c:ser>
        <c:ser>
          <c:idx val="1"/>
          <c:order val="1"/>
          <c:tx>
            <c:strRef>
              <c:f>Revenue!$A$29</c:f>
              <c:strCache>
                <c:ptCount val="1"/>
                <c:pt idx="0">
                  <c:v>Tanzania</c:v>
                </c:pt>
              </c:strCache>
            </c:strRef>
          </c:tx>
          <c:spPr>
            <a:solidFill>
              <a:srgbClr val="799098"/>
            </a:solidFill>
            <a:ln>
              <a:noFill/>
            </a:ln>
            <a:effectLst/>
          </c:spPr>
          <c:invertIfNegative val="0"/>
          <c:cat>
            <c:strRef>
              <c:f>Revenue!$B$28:$O$28</c:f>
              <c:strCache>
                <c:ptCount val="14"/>
                <c:pt idx="0">
                  <c:v>2020 </c:v>
                </c:pt>
                <c:pt idx="1">
                  <c:v>2021 </c:v>
                </c:pt>
                <c:pt idx="2">
                  <c:v>2022 </c:v>
                </c:pt>
                <c:pt idx="3">
                  <c:v>2023 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Revenue!$B$29:$O$29</c:f>
              <c:numCache>
                <c:formatCode>#,##0</c:formatCode>
                <c:ptCount val="14"/>
                <c:pt idx="2">
                  <c:v>15564</c:v>
                </c:pt>
                <c:pt idx="3">
                  <c:v>15821</c:v>
                </c:pt>
                <c:pt idx="4">
                  <c:v>16571</c:v>
                </c:pt>
                <c:pt idx="5">
                  <c:v>17221</c:v>
                </c:pt>
                <c:pt idx="6">
                  <c:v>17771</c:v>
                </c:pt>
                <c:pt idx="7">
                  <c:v>18221</c:v>
                </c:pt>
                <c:pt idx="8">
                  <c:v>18621</c:v>
                </c:pt>
                <c:pt idx="9">
                  <c:v>18921</c:v>
                </c:pt>
                <c:pt idx="10">
                  <c:v>19121</c:v>
                </c:pt>
                <c:pt idx="11">
                  <c:v>19321</c:v>
                </c:pt>
                <c:pt idx="12">
                  <c:v>19521</c:v>
                </c:pt>
                <c:pt idx="13">
                  <c:v>19721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6-476A-8876-8B65B738C694}"/>
            </c:ext>
          </c:extLst>
        </c:ser>
        <c:ser>
          <c:idx val="2"/>
          <c:order val="2"/>
          <c:tx>
            <c:strRef>
              <c:f>Revenue!$A$31</c:f>
              <c:strCache>
                <c:ptCount val="1"/>
                <c:pt idx="0">
                  <c:v>Togo</c:v>
                </c:pt>
              </c:strCache>
            </c:strRef>
          </c:tx>
          <c:spPr>
            <a:solidFill>
              <a:srgbClr val="F9663E"/>
            </a:solidFill>
            <a:ln>
              <a:noFill/>
            </a:ln>
            <a:effectLst/>
          </c:spPr>
          <c:invertIfNegative val="0"/>
          <c:cat>
            <c:strRef>
              <c:f>Revenue!$B$28:$O$28</c:f>
              <c:strCache>
                <c:ptCount val="14"/>
                <c:pt idx="0">
                  <c:v>2020 </c:v>
                </c:pt>
                <c:pt idx="1">
                  <c:v>2021 </c:v>
                </c:pt>
                <c:pt idx="2">
                  <c:v>2022 </c:v>
                </c:pt>
                <c:pt idx="3">
                  <c:v>2023 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Revenue!$B$31:$O$31</c:f>
              <c:numCache>
                <c:formatCode>#,##0</c:formatCode>
                <c:ptCount val="14"/>
                <c:pt idx="0">
                  <c:v>3148.3018018018015</c:v>
                </c:pt>
                <c:pt idx="1">
                  <c:v>3498.5</c:v>
                </c:pt>
                <c:pt idx="2">
                  <c:v>3732</c:v>
                </c:pt>
                <c:pt idx="3">
                  <c:v>4102</c:v>
                </c:pt>
                <c:pt idx="4">
                  <c:v>4802</c:v>
                </c:pt>
                <c:pt idx="5">
                  <c:v>5402</c:v>
                </c:pt>
                <c:pt idx="6">
                  <c:v>5902</c:v>
                </c:pt>
                <c:pt idx="7">
                  <c:v>6402</c:v>
                </c:pt>
                <c:pt idx="8">
                  <c:v>6902</c:v>
                </c:pt>
                <c:pt idx="9">
                  <c:v>7402</c:v>
                </c:pt>
                <c:pt idx="10">
                  <c:v>7902</c:v>
                </c:pt>
                <c:pt idx="11">
                  <c:v>8402</c:v>
                </c:pt>
                <c:pt idx="12">
                  <c:v>8902</c:v>
                </c:pt>
                <c:pt idx="13">
                  <c:v>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6-476A-8876-8B65B738C694}"/>
            </c:ext>
          </c:extLst>
        </c:ser>
        <c:ser>
          <c:idx val="3"/>
          <c:order val="3"/>
          <c:tx>
            <c:strRef>
              <c:f>Revenue!$A$32</c:f>
              <c:strCache>
                <c:ptCount val="1"/>
                <c:pt idx="0">
                  <c:v>Senegal</c:v>
                </c:pt>
              </c:strCache>
            </c:strRef>
          </c:tx>
          <c:spPr>
            <a:solidFill>
              <a:srgbClr val="C7FE02"/>
            </a:solidFill>
            <a:ln>
              <a:noFill/>
            </a:ln>
            <a:effectLst/>
          </c:spPr>
          <c:invertIfNegative val="0"/>
          <c:cat>
            <c:strRef>
              <c:f>Revenue!$B$28:$O$28</c:f>
              <c:strCache>
                <c:ptCount val="14"/>
                <c:pt idx="0">
                  <c:v>2020 </c:v>
                </c:pt>
                <c:pt idx="1">
                  <c:v>2021 </c:v>
                </c:pt>
                <c:pt idx="2">
                  <c:v>2022 </c:v>
                </c:pt>
                <c:pt idx="3">
                  <c:v>2023 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Revenue!$B$32:$O$32</c:f>
              <c:numCache>
                <c:formatCode>#,##0</c:formatCode>
                <c:ptCount val="14"/>
                <c:pt idx="3">
                  <c:v>5325</c:v>
                </c:pt>
                <c:pt idx="4">
                  <c:v>5925</c:v>
                </c:pt>
                <c:pt idx="5">
                  <c:v>6425</c:v>
                </c:pt>
                <c:pt idx="6">
                  <c:v>6825</c:v>
                </c:pt>
                <c:pt idx="7">
                  <c:v>7175</c:v>
                </c:pt>
                <c:pt idx="8">
                  <c:v>7475</c:v>
                </c:pt>
                <c:pt idx="9">
                  <c:v>7725</c:v>
                </c:pt>
                <c:pt idx="10">
                  <c:v>7925</c:v>
                </c:pt>
                <c:pt idx="11">
                  <c:v>8075</c:v>
                </c:pt>
                <c:pt idx="12">
                  <c:v>8225</c:v>
                </c:pt>
                <c:pt idx="13">
                  <c:v>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6-476A-8876-8B65B738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95160607"/>
        <c:axId val="1495161855"/>
      </c:barChart>
      <c:catAx>
        <c:axId val="1495160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1495161855"/>
        <c:crosses val="autoZero"/>
        <c:auto val="1"/>
        <c:lblAlgn val="ctr"/>
        <c:lblOffset val="100"/>
        <c:noMultiLvlLbl val="0"/>
      </c:catAx>
      <c:valAx>
        <c:axId val="1495161855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'Bond pricing'!$S$3</c:f>
              <c:strCache>
                <c:ptCount val="1"/>
                <c:pt idx="0">
                  <c:v>AXIAN Group USD420m Feb 2027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'Bond pricing'!$R$4:$R$686</c:f>
              <c:numCache>
                <c:formatCode>d\-mmm\-yy</c:formatCode>
                <c:ptCount val="683"/>
                <c:pt idx="0">
                  <c:v>44561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44575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44673</c:v>
                </c:pt>
                <c:pt idx="78">
                  <c:v>44676</c:v>
                </c:pt>
                <c:pt idx="79">
                  <c:v>44677</c:v>
                </c:pt>
                <c:pt idx="80">
                  <c:v>44678</c:v>
                </c:pt>
                <c:pt idx="81">
                  <c:v>44679</c:v>
                </c:pt>
                <c:pt idx="82">
                  <c:v>44680</c:v>
                </c:pt>
                <c:pt idx="83">
                  <c:v>44683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44922</c:v>
                </c:pt>
                <c:pt idx="249">
                  <c:v>44923</c:v>
                </c:pt>
                <c:pt idx="250">
                  <c:v>44924</c:v>
                </c:pt>
                <c:pt idx="251">
                  <c:v>44925</c:v>
                </c:pt>
                <c:pt idx="252">
                  <c:v>44929</c:v>
                </c:pt>
                <c:pt idx="253">
                  <c:v>44930</c:v>
                </c:pt>
                <c:pt idx="254">
                  <c:v>44931</c:v>
                </c:pt>
                <c:pt idx="255">
                  <c:v>44932</c:v>
                </c:pt>
                <c:pt idx="256">
                  <c:v>44935</c:v>
                </c:pt>
                <c:pt idx="257">
                  <c:v>44936</c:v>
                </c:pt>
                <c:pt idx="258">
                  <c:v>44937</c:v>
                </c:pt>
                <c:pt idx="259">
                  <c:v>44938</c:v>
                </c:pt>
                <c:pt idx="260">
                  <c:v>44939</c:v>
                </c:pt>
                <c:pt idx="261">
                  <c:v>44943</c:v>
                </c:pt>
                <c:pt idx="262">
                  <c:v>44944</c:v>
                </c:pt>
                <c:pt idx="263">
                  <c:v>44945</c:v>
                </c:pt>
                <c:pt idx="264">
                  <c:v>44946</c:v>
                </c:pt>
                <c:pt idx="265">
                  <c:v>44949</c:v>
                </c:pt>
                <c:pt idx="266">
                  <c:v>44950</c:v>
                </c:pt>
                <c:pt idx="267">
                  <c:v>44951</c:v>
                </c:pt>
                <c:pt idx="268">
                  <c:v>44952</c:v>
                </c:pt>
                <c:pt idx="269">
                  <c:v>44953</c:v>
                </c:pt>
                <c:pt idx="270">
                  <c:v>44956</c:v>
                </c:pt>
                <c:pt idx="271">
                  <c:v>44957</c:v>
                </c:pt>
                <c:pt idx="272">
                  <c:v>44958</c:v>
                </c:pt>
                <c:pt idx="273">
                  <c:v>44959</c:v>
                </c:pt>
                <c:pt idx="274">
                  <c:v>44960</c:v>
                </c:pt>
                <c:pt idx="275">
                  <c:v>44963</c:v>
                </c:pt>
                <c:pt idx="276">
                  <c:v>44964</c:v>
                </c:pt>
                <c:pt idx="277">
                  <c:v>44965</c:v>
                </c:pt>
                <c:pt idx="278">
                  <c:v>44966</c:v>
                </c:pt>
                <c:pt idx="279">
                  <c:v>44967</c:v>
                </c:pt>
                <c:pt idx="280">
                  <c:v>44970</c:v>
                </c:pt>
                <c:pt idx="281">
                  <c:v>44971</c:v>
                </c:pt>
                <c:pt idx="282">
                  <c:v>44972</c:v>
                </c:pt>
                <c:pt idx="283">
                  <c:v>44973</c:v>
                </c:pt>
                <c:pt idx="284">
                  <c:v>44974</c:v>
                </c:pt>
                <c:pt idx="285">
                  <c:v>44978</c:v>
                </c:pt>
                <c:pt idx="286">
                  <c:v>44979</c:v>
                </c:pt>
                <c:pt idx="287">
                  <c:v>44980</c:v>
                </c:pt>
                <c:pt idx="288">
                  <c:v>44981</c:v>
                </c:pt>
                <c:pt idx="289">
                  <c:v>44984</c:v>
                </c:pt>
                <c:pt idx="290">
                  <c:v>44985</c:v>
                </c:pt>
                <c:pt idx="291">
                  <c:v>44986</c:v>
                </c:pt>
                <c:pt idx="292">
                  <c:v>44987</c:v>
                </c:pt>
                <c:pt idx="293">
                  <c:v>44988</c:v>
                </c:pt>
                <c:pt idx="294">
                  <c:v>44991</c:v>
                </c:pt>
                <c:pt idx="295">
                  <c:v>44992</c:v>
                </c:pt>
                <c:pt idx="296">
                  <c:v>44993</c:v>
                </c:pt>
                <c:pt idx="297">
                  <c:v>44994</c:v>
                </c:pt>
                <c:pt idx="298">
                  <c:v>44995</c:v>
                </c:pt>
                <c:pt idx="299">
                  <c:v>44998</c:v>
                </c:pt>
                <c:pt idx="300">
                  <c:v>44999</c:v>
                </c:pt>
                <c:pt idx="301">
                  <c:v>45000</c:v>
                </c:pt>
                <c:pt idx="302">
                  <c:v>45001</c:v>
                </c:pt>
                <c:pt idx="303">
                  <c:v>45002</c:v>
                </c:pt>
                <c:pt idx="304">
                  <c:v>45005</c:v>
                </c:pt>
                <c:pt idx="305">
                  <c:v>45006</c:v>
                </c:pt>
                <c:pt idx="306">
                  <c:v>45007</c:v>
                </c:pt>
                <c:pt idx="307">
                  <c:v>45008</c:v>
                </c:pt>
                <c:pt idx="308">
                  <c:v>45009</c:v>
                </c:pt>
                <c:pt idx="309">
                  <c:v>45012</c:v>
                </c:pt>
                <c:pt idx="310">
                  <c:v>45013</c:v>
                </c:pt>
                <c:pt idx="311">
                  <c:v>45014</c:v>
                </c:pt>
                <c:pt idx="312">
                  <c:v>45015</c:v>
                </c:pt>
                <c:pt idx="313">
                  <c:v>45016</c:v>
                </c:pt>
                <c:pt idx="314">
                  <c:v>45019</c:v>
                </c:pt>
                <c:pt idx="315">
                  <c:v>45020</c:v>
                </c:pt>
                <c:pt idx="316">
                  <c:v>45021</c:v>
                </c:pt>
                <c:pt idx="317">
                  <c:v>45022</c:v>
                </c:pt>
                <c:pt idx="318">
                  <c:v>45026</c:v>
                </c:pt>
                <c:pt idx="319">
                  <c:v>45027</c:v>
                </c:pt>
                <c:pt idx="320">
                  <c:v>45028</c:v>
                </c:pt>
                <c:pt idx="321">
                  <c:v>45029</c:v>
                </c:pt>
                <c:pt idx="322">
                  <c:v>45030</c:v>
                </c:pt>
                <c:pt idx="323">
                  <c:v>45033</c:v>
                </c:pt>
                <c:pt idx="324">
                  <c:v>45034</c:v>
                </c:pt>
                <c:pt idx="325">
                  <c:v>45035</c:v>
                </c:pt>
                <c:pt idx="326">
                  <c:v>45036</c:v>
                </c:pt>
                <c:pt idx="327">
                  <c:v>45037</c:v>
                </c:pt>
                <c:pt idx="328">
                  <c:v>45040</c:v>
                </c:pt>
                <c:pt idx="329">
                  <c:v>45041</c:v>
                </c:pt>
                <c:pt idx="330">
                  <c:v>45042</c:v>
                </c:pt>
                <c:pt idx="331">
                  <c:v>45043</c:v>
                </c:pt>
                <c:pt idx="332">
                  <c:v>45044</c:v>
                </c:pt>
                <c:pt idx="333">
                  <c:v>45047</c:v>
                </c:pt>
                <c:pt idx="334">
                  <c:v>45048</c:v>
                </c:pt>
                <c:pt idx="335">
                  <c:v>45049</c:v>
                </c:pt>
                <c:pt idx="336">
                  <c:v>45050</c:v>
                </c:pt>
                <c:pt idx="337">
                  <c:v>45051</c:v>
                </c:pt>
                <c:pt idx="338">
                  <c:v>45054</c:v>
                </c:pt>
                <c:pt idx="339">
                  <c:v>45055</c:v>
                </c:pt>
                <c:pt idx="340">
                  <c:v>45056</c:v>
                </c:pt>
                <c:pt idx="341">
                  <c:v>45057</c:v>
                </c:pt>
                <c:pt idx="342">
                  <c:v>45058</c:v>
                </c:pt>
                <c:pt idx="343">
                  <c:v>45061</c:v>
                </c:pt>
                <c:pt idx="344">
                  <c:v>45062</c:v>
                </c:pt>
                <c:pt idx="345">
                  <c:v>45063</c:v>
                </c:pt>
                <c:pt idx="346">
                  <c:v>45064</c:v>
                </c:pt>
                <c:pt idx="347">
                  <c:v>45065</c:v>
                </c:pt>
                <c:pt idx="348">
                  <c:v>45068</c:v>
                </c:pt>
                <c:pt idx="349">
                  <c:v>45069</c:v>
                </c:pt>
                <c:pt idx="350">
                  <c:v>45070</c:v>
                </c:pt>
                <c:pt idx="351">
                  <c:v>45071</c:v>
                </c:pt>
                <c:pt idx="352">
                  <c:v>45072</c:v>
                </c:pt>
                <c:pt idx="353">
                  <c:v>45076</c:v>
                </c:pt>
                <c:pt idx="354">
                  <c:v>45077</c:v>
                </c:pt>
                <c:pt idx="355">
                  <c:v>45078</c:v>
                </c:pt>
                <c:pt idx="356">
                  <c:v>45079</c:v>
                </c:pt>
                <c:pt idx="357">
                  <c:v>45082</c:v>
                </c:pt>
                <c:pt idx="358">
                  <c:v>45083</c:v>
                </c:pt>
                <c:pt idx="359">
                  <c:v>45084</c:v>
                </c:pt>
                <c:pt idx="360">
                  <c:v>45085</c:v>
                </c:pt>
                <c:pt idx="361">
                  <c:v>45086</c:v>
                </c:pt>
                <c:pt idx="362">
                  <c:v>45089</c:v>
                </c:pt>
                <c:pt idx="363">
                  <c:v>45090</c:v>
                </c:pt>
                <c:pt idx="364">
                  <c:v>45091</c:v>
                </c:pt>
                <c:pt idx="365">
                  <c:v>45092</c:v>
                </c:pt>
                <c:pt idx="366">
                  <c:v>45093</c:v>
                </c:pt>
                <c:pt idx="367">
                  <c:v>45097</c:v>
                </c:pt>
                <c:pt idx="368">
                  <c:v>45098</c:v>
                </c:pt>
                <c:pt idx="369">
                  <c:v>45099</c:v>
                </c:pt>
                <c:pt idx="370">
                  <c:v>45100</c:v>
                </c:pt>
                <c:pt idx="371">
                  <c:v>45103</c:v>
                </c:pt>
                <c:pt idx="372">
                  <c:v>45104</c:v>
                </c:pt>
                <c:pt idx="373">
                  <c:v>45105</c:v>
                </c:pt>
                <c:pt idx="374">
                  <c:v>45106</c:v>
                </c:pt>
                <c:pt idx="375">
                  <c:v>45107</c:v>
                </c:pt>
                <c:pt idx="376">
                  <c:v>45110</c:v>
                </c:pt>
                <c:pt idx="377">
                  <c:v>45112</c:v>
                </c:pt>
                <c:pt idx="378">
                  <c:v>45113</c:v>
                </c:pt>
                <c:pt idx="379">
                  <c:v>45114</c:v>
                </c:pt>
                <c:pt idx="380">
                  <c:v>45117</c:v>
                </c:pt>
                <c:pt idx="381">
                  <c:v>45118</c:v>
                </c:pt>
                <c:pt idx="382">
                  <c:v>45119</c:v>
                </c:pt>
                <c:pt idx="383">
                  <c:v>45120</c:v>
                </c:pt>
                <c:pt idx="384">
                  <c:v>45121</c:v>
                </c:pt>
                <c:pt idx="385">
                  <c:v>45124</c:v>
                </c:pt>
                <c:pt idx="386">
                  <c:v>45125</c:v>
                </c:pt>
                <c:pt idx="387">
                  <c:v>45126</c:v>
                </c:pt>
                <c:pt idx="388">
                  <c:v>45127</c:v>
                </c:pt>
                <c:pt idx="389">
                  <c:v>45128</c:v>
                </c:pt>
                <c:pt idx="390">
                  <c:v>45131</c:v>
                </c:pt>
                <c:pt idx="391">
                  <c:v>45132</c:v>
                </c:pt>
                <c:pt idx="392">
                  <c:v>45133</c:v>
                </c:pt>
                <c:pt idx="393">
                  <c:v>45134</c:v>
                </c:pt>
                <c:pt idx="394">
                  <c:v>45135</c:v>
                </c:pt>
                <c:pt idx="395">
                  <c:v>45138</c:v>
                </c:pt>
                <c:pt idx="396">
                  <c:v>45139</c:v>
                </c:pt>
                <c:pt idx="397">
                  <c:v>45140</c:v>
                </c:pt>
                <c:pt idx="398">
                  <c:v>45141</c:v>
                </c:pt>
                <c:pt idx="399">
                  <c:v>45142</c:v>
                </c:pt>
                <c:pt idx="400">
                  <c:v>45145</c:v>
                </c:pt>
                <c:pt idx="401">
                  <c:v>45146</c:v>
                </c:pt>
                <c:pt idx="402">
                  <c:v>45147</c:v>
                </c:pt>
                <c:pt idx="403">
                  <c:v>45148</c:v>
                </c:pt>
                <c:pt idx="404">
                  <c:v>45149</c:v>
                </c:pt>
                <c:pt idx="405">
                  <c:v>45152</c:v>
                </c:pt>
                <c:pt idx="406">
                  <c:v>45153</c:v>
                </c:pt>
                <c:pt idx="407">
                  <c:v>45154</c:v>
                </c:pt>
                <c:pt idx="408">
                  <c:v>45155</c:v>
                </c:pt>
                <c:pt idx="409">
                  <c:v>45156</c:v>
                </c:pt>
                <c:pt idx="410">
                  <c:v>45159</c:v>
                </c:pt>
                <c:pt idx="411">
                  <c:v>45160</c:v>
                </c:pt>
                <c:pt idx="412">
                  <c:v>45161</c:v>
                </c:pt>
                <c:pt idx="413">
                  <c:v>45162</c:v>
                </c:pt>
                <c:pt idx="414">
                  <c:v>45163</c:v>
                </c:pt>
                <c:pt idx="415">
                  <c:v>45166</c:v>
                </c:pt>
                <c:pt idx="416">
                  <c:v>45167</c:v>
                </c:pt>
                <c:pt idx="417">
                  <c:v>45168</c:v>
                </c:pt>
                <c:pt idx="418">
                  <c:v>45169</c:v>
                </c:pt>
                <c:pt idx="419">
                  <c:v>45170</c:v>
                </c:pt>
                <c:pt idx="420">
                  <c:v>45174</c:v>
                </c:pt>
                <c:pt idx="421">
                  <c:v>45175</c:v>
                </c:pt>
                <c:pt idx="422">
                  <c:v>45176</c:v>
                </c:pt>
                <c:pt idx="423">
                  <c:v>45177</c:v>
                </c:pt>
                <c:pt idx="424">
                  <c:v>45180</c:v>
                </c:pt>
                <c:pt idx="425">
                  <c:v>45181</c:v>
                </c:pt>
                <c:pt idx="426">
                  <c:v>45182</c:v>
                </c:pt>
                <c:pt idx="427">
                  <c:v>45183</c:v>
                </c:pt>
                <c:pt idx="428">
                  <c:v>45184</c:v>
                </c:pt>
                <c:pt idx="429">
                  <c:v>45187</c:v>
                </c:pt>
                <c:pt idx="430">
                  <c:v>45188</c:v>
                </c:pt>
                <c:pt idx="431">
                  <c:v>45189</c:v>
                </c:pt>
                <c:pt idx="432">
                  <c:v>45190</c:v>
                </c:pt>
                <c:pt idx="433">
                  <c:v>45191</c:v>
                </c:pt>
                <c:pt idx="434">
                  <c:v>45194</c:v>
                </c:pt>
                <c:pt idx="435">
                  <c:v>45195</c:v>
                </c:pt>
                <c:pt idx="436">
                  <c:v>45196</c:v>
                </c:pt>
                <c:pt idx="437">
                  <c:v>45197</c:v>
                </c:pt>
                <c:pt idx="438">
                  <c:v>45198</c:v>
                </c:pt>
                <c:pt idx="439">
                  <c:v>45201</c:v>
                </c:pt>
                <c:pt idx="440">
                  <c:v>45202</c:v>
                </c:pt>
                <c:pt idx="441">
                  <c:v>45203</c:v>
                </c:pt>
                <c:pt idx="442">
                  <c:v>45204</c:v>
                </c:pt>
                <c:pt idx="443">
                  <c:v>45205</c:v>
                </c:pt>
                <c:pt idx="444">
                  <c:v>45208</c:v>
                </c:pt>
                <c:pt idx="445">
                  <c:v>45209</c:v>
                </c:pt>
                <c:pt idx="446">
                  <c:v>45210</c:v>
                </c:pt>
                <c:pt idx="447">
                  <c:v>45211</c:v>
                </c:pt>
                <c:pt idx="448">
                  <c:v>45212</c:v>
                </c:pt>
                <c:pt idx="449">
                  <c:v>45215</c:v>
                </c:pt>
                <c:pt idx="450">
                  <c:v>45216</c:v>
                </c:pt>
                <c:pt idx="451">
                  <c:v>45217</c:v>
                </c:pt>
                <c:pt idx="452">
                  <c:v>45218</c:v>
                </c:pt>
                <c:pt idx="453">
                  <c:v>45219</c:v>
                </c:pt>
                <c:pt idx="454">
                  <c:v>45222</c:v>
                </c:pt>
                <c:pt idx="455">
                  <c:v>45223</c:v>
                </c:pt>
                <c:pt idx="456">
                  <c:v>45224</c:v>
                </c:pt>
                <c:pt idx="457">
                  <c:v>45225</c:v>
                </c:pt>
                <c:pt idx="458">
                  <c:v>45226</c:v>
                </c:pt>
                <c:pt idx="459">
                  <c:v>45229</c:v>
                </c:pt>
                <c:pt idx="460">
                  <c:v>45230</c:v>
                </c:pt>
                <c:pt idx="461">
                  <c:v>45231</c:v>
                </c:pt>
                <c:pt idx="462">
                  <c:v>45232</c:v>
                </c:pt>
                <c:pt idx="463">
                  <c:v>45233</c:v>
                </c:pt>
                <c:pt idx="464">
                  <c:v>45236</c:v>
                </c:pt>
                <c:pt idx="465">
                  <c:v>45237</c:v>
                </c:pt>
                <c:pt idx="466">
                  <c:v>45238</c:v>
                </c:pt>
                <c:pt idx="467">
                  <c:v>45239</c:v>
                </c:pt>
                <c:pt idx="468">
                  <c:v>45240</c:v>
                </c:pt>
                <c:pt idx="469">
                  <c:v>45243</c:v>
                </c:pt>
                <c:pt idx="470">
                  <c:v>45244</c:v>
                </c:pt>
                <c:pt idx="471">
                  <c:v>45245</c:v>
                </c:pt>
                <c:pt idx="472">
                  <c:v>45246</c:v>
                </c:pt>
                <c:pt idx="473">
                  <c:v>45247</c:v>
                </c:pt>
                <c:pt idx="474">
                  <c:v>45250</c:v>
                </c:pt>
                <c:pt idx="475">
                  <c:v>45251</c:v>
                </c:pt>
                <c:pt idx="476">
                  <c:v>45252</c:v>
                </c:pt>
                <c:pt idx="477">
                  <c:v>45254</c:v>
                </c:pt>
                <c:pt idx="478">
                  <c:v>45257</c:v>
                </c:pt>
                <c:pt idx="479">
                  <c:v>45258</c:v>
                </c:pt>
                <c:pt idx="480">
                  <c:v>45259</c:v>
                </c:pt>
                <c:pt idx="481">
                  <c:v>45260</c:v>
                </c:pt>
                <c:pt idx="482">
                  <c:v>45261</c:v>
                </c:pt>
                <c:pt idx="483">
                  <c:v>45264</c:v>
                </c:pt>
                <c:pt idx="484">
                  <c:v>45265</c:v>
                </c:pt>
                <c:pt idx="485">
                  <c:v>45266</c:v>
                </c:pt>
                <c:pt idx="486">
                  <c:v>45267</c:v>
                </c:pt>
                <c:pt idx="487">
                  <c:v>45268</c:v>
                </c:pt>
                <c:pt idx="488">
                  <c:v>45271</c:v>
                </c:pt>
                <c:pt idx="489">
                  <c:v>45272</c:v>
                </c:pt>
                <c:pt idx="490">
                  <c:v>45273</c:v>
                </c:pt>
                <c:pt idx="491">
                  <c:v>45274</c:v>
                </c:pt>
                <c:pt idx="492">
                  <c:v>45275</c:v>
                </c:pt>
                <c:pt idx="493">
                  <c:v>45278</c:v>
                </c:pt>
                <c:pt idx="494">
                  <c:v>45279</c:v>
                </c:pt>
                <c:pt idx="495">
                  <c:v>45280</c:v>
                </c:pt>
                <c:pt idx="496">
                  <c:v>45281</c:v>
                </c:pt>
                <c:pt idx="497">
                  <c:v>45282</c:v>
                </c:pt>
                <c:pt idx="498">
                  <c:v>45286</c:v>
                </c:pt>
                <c:pt idx="499">
                  <c:v>45287</c:v>
                </c:pt>
                <c:pt idx="500">
                  <c:v>45288</c:v>
                </c:pt>
                <c:pt idx="501">
                  <c:v>45289</c:v>
                </c:pt>
                <c:pt idx="502">
                  <c:v>45293</c:v>
                </c:pt>
                <c:pt idx="503">
                  <c:v>45294</c:v>
                </c:pt>
                <c:pt idx="504">
                  <c:v>45295</c:v>
                </c:pt>
                <c:pt idx="505">
                  <c:v>45296</c:v>
                </c:pt>
                <c:pt idx="506">
                  <c:v>45299</c:v>
                </c:pt>
                <c:pt idx="507">
                  <c:v>45300</c:v>
                </c:pt>
                <c:pt idx="508">
                  <c:v>45301</c:v>
                </c:pt>
                <c:pt idx="509">
                  <c:v>45302</c:v>
                </c:pt>
                <c:pt idx="510">
                  <c:v>45303</c:v>
                </c:pt>
                <c:pt idx="511">
                  <c:v>45307</c:v>
                </c:pt>
                <c:pt idx="512">
                  <c:v>45308</c:v>
                </c:pt>
                <c:pt idx="513">
                  <c:v>45309</c:v>
                </c:pt>
                <c:pt idx="514">
                  <c:v>45310</c:v>
                </c:pt>
                <c:pt idx="515">
                  <c:v>45313</c:v>
                </c:pt>
                <c:pt idx="516">
                  <c:v>45314</c:v>
                </c:pt>
                <c:pt idx="517">
                  <c:v>45315</c:v>
                </c:pt>
                <c:pt idx="518">
                  <c:v>45316</c:v>
                </c:pt>
                <c:pt idx="519">
                  <c:v>45317</c:v>
                </c:pt>
                <c:pt idx="520">
                  <c:v>45320</c:v>
                </c:pt>
                <c:pt idx="521">
                  <c:v>45321</c:v>
                </c:pt>
                <c:pt idx="522">
                  <c:v>45322</c:v>
                </c:pt>
                <c:pt idx="523">
                  <c:v>45323</c:v>
                </c:pt>
                <c:pt idx="524">
                  <c:v>45324</c:v>
                </c:pt>
                <c:pt idx="525">
                  <c:v>45327</c:v>
                </c:pt>
                <c:pt idx="526">
                  <c:v>45328</c:v>
                </c:pt>
                <c:pt idx="527">
                  <c:v>45329</c:v>
                </c:pt>
                <c:pt idx="528">
                  <c:v>45330</c:v>
                </c:pt>
                <c:pt idx="529">
                  <c:v>45331</c:v>
                </c:pt>
                <c:pt idx="530">
                  <c:v>45334</c:v>
                </c:pt>
                <c:pt idx="531">
                  <c:v>45335</c:v>
                </c:pt>
                <c:pt idx="532">
                  <c:v>45336</c:v>
                </c:pt>
                <c:pt idx="533">
                  <c:v>45337</c:v>
                </c:pt>
                <c:pt idx="534">
                  <c:v>45338</c:v>
                </c:pt>
                <c:pt idx="535">
                  <c:v>45342</c:v>
                </c:pt>
                <c:pt idx="536">
                  <c:v>45343</c:v>
                </c:pt>
                <c:pt idx="537">
                  <c:v>45344</c:v>
                </c:pt>
                <c:pt idx="538">
                  <c:v>45345</c:v>
                </c:pt>
                <c:pt idx="539">
                  <c:v>45348</c:v>
                </c:pt>
                <c:pt idx="540">
                  <c:v>45349</c:v>
                </c:pt>
                <c:pt idx="541">
                  <c:v>45350</c:v>
                </c:pt>
                <c:pt idx="542">
                  <c:v>45351</c:v>
                </c:pt>
                <c:pt idx="543">
                  <c:v>45352</c:v>
                </c:pt>
                <c:pt idx="544">
                  <c:v>45355</c:v>
                </c:pt>
                <c:pt idx="545">
                  <c:v>45356</c:v>
                </c:pt>
                <c:pt idx="546">
                  <c:v>45357</c:v>
                </c:pt>
                <c:pt idx="547">
                  <c:v>45358</c:v>
                </c:pt>
                <c:pt idx="548">
                  <c:v>45359</c:v>
                </c:pt>
                <c:pt idx="549">
                  <c:v>45362</c:v>
                </c:pt>
                <c:pt idx="550">
                  <c:v>45363</c:v>
                </c:pt>
                <c:pt idx="551">
                  <c:v>45364</c:v>
                </c:pt>
                <c:pt idx="552">
                  <c:v>45365</c:v>
                </c:pt>
                <c:pt idx="553">
                  <c:v>45366</c:v>
                </c:pt>
                <c:pt idx="554">
                  <c:v>45369</c:v>
                </c:pt>
                <c:pt idx="555">
                  <c:v>45370</c:v>
                </c:pt>
                <c:pt idx="556">
                  <c:v>45371</c:v>
                </c:pt>
                <c:pt idx="557">
                  <c:v>45372</c:v>
                </c:pt>
                <c:pt idx="558">
                  <c:v>45373</c:v>
                </c:pt>
                <c:pt idx="559">
                  <c:v>45376</c:v>
                </c:pt>
                <c:pt idx="560">
                  <c:v>45377</c:v>
                </c:pt>
                <c:pt idx="561">
                  <c:v>45378</c:v>
                </c:pt>
                <c:pt idx="562">
                  <c:v>45379</c:v>
                </c:pt>
                <c:pt idx="563">
                  <c:v>45383</c:v>
                </c:pt>
                <c:pt idx="564">
                  <c:v>45384</c:v>
                </c:pt>
                <c:pt idx="565">
                  <c:v>45385</c:v>
                </c:pt>
                <c:pt idx="566">
                  <c:v>45386</c:v>
                </c:pt>
                <c:pt idx="567">
                  <c:v>45387</c:v>
                </c:pt>
                <c:pt idx="568">
                  <c:v>45390</c:v>
                </c:pt>
                <c:pt idx="569">
                  <c:v>45391</c:v>
                </c:pt>
                <c:pt idx="570">
                  <c:v>45392</c:v>
                </c:pt>
                <c:pt idx="571">
                  <c:v>45393</c:v>
                </c:pt>
                <c:pt idx="572">
                  <c:v>45394</c:v>
                </c:pt>
                <c:pt idx="573">
                  <c:v>45397</c:v>
                </c:pt>
                <c:pt idx="574">
                  <c:v>45398</c:v>
                </c:pt>
                <c:pt idx="575">
                  <c:v>45399</c:v>
                </c:pt>
                <c:pt idx="576">
                  <c:v>45400</c:v>
                </c:pt>
                <c:pt idx="577">
                  <c:v>45401</c:v>
                </c:pt>
                <c:pt idx="578">
                  <c:v>45404</c:v>
                </c:pt>
                <c:pt idx="579">
                  <c:v>45405</c:v>
                </c:pt>
                <c:pt idx="580">
                  <c:v>45406</c:v>
                </c:pt>
                <c:pt idx="581">
                  <c:v>45407</c:v>
                </c:pt>
                <c:pt idx="582">
                  <c:v>45408</c:v>
                </c:pt>
                <c:pt idx="583">
                  <c:v>45411</c:v>
                </c:pt>
                <c:pt idx="584">
                  <c:v>45412</c:v>
                </c:pt>
                <c:pt idx="585">
                  <c:v>45413</c:v>
                </c:pt>
                <c:pt idx="586">
                  <c:v>45414</c:v>
                </c:pt>
                <c:pt idx="587">
                  <c:v>45415</c:v>
                </c:pt>
                <c:pt idx="588">
                  <c:v>45418</c:v>
                </c:pt>
                <c:pt idx="589">
                  <c:v>45419</c:v>
                </c:pt>
                <c:pt idx="590">
                  <c:v>45420</c:v>
                </c:pt>
                <c:pt idx="591">
                  <c:v>45421</c:v>
                </c:pt>
                <c:pt idx="592">
                  <c:v>45422</c:v>
                </c:pt>
                <c:pt idx="593">
                  <c:v>45425</c:v>
                </c:pt>
                <c:pt idx="594">
                  <c:v>45426</c:v>
                </c:pt>
                <c:pt idx="595">
                  <c:v>45427</c:v>
                </c:pt>
                <c:pt idx="596">
                  <c:v>45428</c:v>
                </c:pt>
                <c:pt idx="597">
                  <c:v>45429</c:v>
                </c:pt>
                <c:pt idx="598">
                  <c:v>45432</c:v>
                </c:pt>
                <c:pt idx="599">
                  <c:v>45433</c:v>
                </c:pt>
                <c:pt idx="600">
                  <c:v>45434</c:v>
                </c:pt>
                <c:pt idx="601">
                  <c:v>45435</c:v>
                </c:pt>
                <c:pt idx="602">
                  <c:v>45436</c:v>
                </c:pt>
                <c:pt idx="603">
                  <c:v>45440</c:v>
                </c:pt>
                <c:pt idx="604">
                  <c:v>45441</c:v>
                </c:pt>
                <c:pt idx="605">
                  <c:v>45442</c:v>
                </c:pt>
                <c:pt idx="606">
                  <c:v>45443</c:v>
                </c:pt>
                <c:pt idx="607">
                  <c:v>45446</c:v>
                </c:pt>
                <c:pt idx="608">
                  <c:v>45447</c:v>
                </c:pt>
                <c:pt idx="609">
                  <c:v>45448</c:v>
                </c:pt>
                <c:pt idx="610">
                  <c:v>45449</c:v>
                </c:pt>
                <c:pt idx="611">
                  <c:v>45450</c:v>
                </c:pt>
                <c:pt idx="612">
                  <c:v>45453</c:v>
                </c:pt>
                <c:pt idx="613">
                  <c:v>45454</c:v>
                </c:pt>
                <c:pt idx="614">
                  <c:v>45455</c:v>
                </c:pt>
                <c:pt idx="615">
                  <c:v>45456</c:v>
                </c:pt>
                <c:pt idx="616">
                  <c:v>45457</c:v>
                </c:pt>
                <c:pt idx="617">
                  <c:v>45460</c:v>
                </c:pt>
                <c:pt idx="618">
                  <c:v>45461</c:v>
                </c:pt>
                <c:pt idx="619">
                  <c:v>45463</c:v>
                </c:pt>
                <c:pt idx="620">
                  <c:v>45464</c:v>
                </c:pt>
                <c:pt idx="621">
                  <c:v>45467</c:v>
                </c:pt>
                <c:pt idx="622">
                  <c:v>45468</c:v>
                </c:pt>
                <c:pt idx="623">
                  <c:v>45469</c:v>
                </c:pt>
                <c:pt idx="624">
                  <c:v>45470</c:v>
                </c:pt>
                <c:pt idx="625">
                  <c:v>45471</c:v>
                </c:pt>
                <c:pt idx="626">
                  <c:v>45474</c:v>
                </c:pt>
                <c:pt idx="627">
                  <c:v>45475</c:v>
                </c:pt>
                <c:pt idx="628">
                  <c:v>45476</c:v>
                </c:pt>
                <c:pt idx="629">
                  <c:v>45478</c:v>
                </c:pt>
                <c:pt idx="630">
                  <c:v>45481</c:v>
                </c:pt>
                <c:pt idx="631">
                  <c:v>45482</c:v>
                </c:pt>
                <c:pt idx="632">
                  <c:v>45483</c:v>
                </c:pt>
                <c:pt idx="633">
                  <c:v>45484</c:v>
                </c:pt>
                <c:pt idx="634">
                  <c:v>45485</c:v>
                </c:pt>
                <c:pt idx="635">
                  <c:v>45488</c:v>
                </c:pt>
                <c:pt idx="636">
                  <c:v>45489</c:v>
                </c:pt>
                <c:pt idx="637">
                  <c:v>45490</c:v>
                </c:pt>
                <c:pt idx="638">
                  <c:v>45491</c:v>
                </c:pt>
                <c:pt idx="639">
                  <c:v>45492</c:v>
                </c:pt>
                <c:pt idx="640">
                  <c:v>45495</c:v>
                </c:pt>
                <c:pt idx="641">
                  <c:v>45496</c:v>
                </c:pt>
                <c:pt idx="642">
                  <c:v>45497</c:v>
                </c:pt>
                <c:pt idx="643">
                  <c:v>45498</c:v>
                </c:pt>
                <c:pt idx="644">
                  <c:v>45499</c:v>
                </c:pt>
                <c:pt idx="645">
                  <c:v>45502</c:v>
                </c:pt>
                <c:pt idx="646">
                  <c:v>45503</c:v>
                </c:pt>
                <c:pt idx="647">
                  <c:v>45504</c:v>
                </c:pt>
                <c:pt idx="648">
                  <c:v>45505</c:v>
                </c:pt>
                <c:pt idx="649">
                  <c:v>45506</c:v>
                </c:pt>
                <c:pt idx="650">
                  <c:v>45509</c:v>
                </c:pt>
                <c:pt idx="651">
                  <c:v>45510</c:v>
                </c:pt>
                <c:pt idx="652">
                  <c:v>45511</c:v>
                </c:pt>
                <c:pt idx="653">
                  <c:v>45512</c:v>
                </c:pt>
                <c:pt idx="654">
                  <c:v>45513</c:v>
                </c:pt>
                <c:pt idx="655">
                  <c:v>45516</c:v>
                </c:pt>
                <c:pt idx="656">
                  <c:v>45517</c:v>
                </c:pt>
                <c:pt idx="657">
                  <c:v>45518</c:v>
                </c:pt>
                <c:pt idx="658">
                  <c:v>45519</c:v>
                </c:pt>
                <c:pt idx="659">
                  <c:v>45520</c:v>
                </c:pt>
                <c:pt idx="660">
                  <c:v>45523</c:v>
                </c:pt>
                <c:pt idx="661">
                  <c:v>45524</c:v>
                </c:pt>
                <c:pt idx="662">
                  <c:v>45525</c:v>
                </c:pt>
                <c:pt idx="663">
                  <c:v>45526</c:v>
                </c:pt>
                <c:pt idx="664">
                  <c:v>45527</c:v>
                </c:pt>
                <c:pt idx="665">
                  <c:v>45530</c:v>
                </c:pt>
                <c:pt idx="666">
                  <c:v>45531</c:v>
                </c:pt>
                <c:pt idx="667">
                  <c:v>45532</c:v>
                </c:pt>
                <c:pt idx="668">
                  <c:v>45533</c:v>
                </c:pt>
                <c:pt idx="669">
                  <c:v>45534</c:v>
                </c:pt>
                <c:pt idx="670">
                  <c:v>45538</c:v>
                </c:pt>
                <c:pt idx="671">
                  <c:v>45539</c:v>
                </c:pt>
                <c:pt idx="672">
                  <c:v>45540</c:v>
                </c:pt>
                <c:pt idx="673">
                  <c:v>45541</c:v>
                </c:pt>
                <c:pt idx="674">
                  <c:v>45544</c:v>
                </c:pt>
                <c:pt idx="675">
                  <c:v>45545</c:v>
                </c:pt>
                <c:pt idx="676">
                  <c:v>45546</c:v>
                </c:pt>
                <c:pt idx="677">
                  <c:v>45547</c:v>
                </c:pt>
                <c:pt idx="678">
                  <c:v>45548</c:v>
                </c:pt>
                <c:pt idx="679">
                  <c:v>45551</c:v>
                </c:pt>
                <c:pt idx="680">
                  <c:v>45552</c:v>
                </c:pt>
                <c:pt idx="681">
                  <c:v>45553</c:v>
                </c:pt>
                <c:pt idx="682">
                  <c:v>45554</c:v>
                </c:pt>
              </c:numCache>
            </c:numRef>
          </c:cat>
          <c:val>
            <c:numRef>
              <c:f>'Bond pricing'!$S$4:$S$686</c:f>
              <c:numCache>
                <c:formatCode>#,##0;\(#,##0\);\-</c:formatCode>
                <c:ptCount val="683"/>
                <c:pt idx="74">
                  <c:v>97.302000000000007</c:v>
                </c:pt>
                <c:pt idx="75">
                  <c:v>97.302000000000007</c:v>
                </c:pt>
                <c:pt idx="76">
                  <c:v>97.236000000000004</c:v>
                </c:pt>
                <c:pt idx="77">
                  <c:v>97.177000000000007</c:v>
                </c:pt>
                <c:pt idx="78">
                  <c:v>97.099000000000004</c:v>
                </c:pt>
                <c:pt idx="79">
                  <c:v>97.15</c:v>
                </c:pt>
                <c:pt idx="80">
                  <c:v>97.045000000000002</c:v>
                </c:pt>
                <c:pt idx="81">
                  <c:v>97.045000000000002</c:v>
                </c:pt>
                <c:pt idx="82">
                  <c:v>97.045000000000002</c:v>
                </c:pt>
                <c:pt idx="83">
                  <c:v>96.971999999999994</c:v>
                </c:pt>
                <c:pt idx="84">
                  <c:v>96.846000000000004</c:v>
                </c:pt>
                <c:pt idx="85">
                  <c:v>96.891000000000005</c:v>
                </c:pt>
                <c:pt idx="86">
                  <c:v>96.891000000000005</c:v>
                </c:pt>
                <c:pt idx="87">
                  <c:v>96.603999999999999</c:v>
                </c:pt>
                <c:pt idx="88">
                  <c:v>96.37</c:v>
                </c:pt>
                <c:pt idx="89">
                  <c:v>96.244</c:v>
                </c:pt>
                <c:pt idx="90">
                  <c:v>96.195999999999998</c:v>
                </c:pt>
                <c:pt idx="91">
                  <c:v>96.25</c:v>
                </c:pt>
                <c:pt idx="92">
                  <c:v>96.225999999999999</c:v>
                </c:pt>
                <c:pt idx="93">
                  <c:v>96.281999999999996</c:v>
                </c:pt>
                <c:pt idx="94">
                  <c:v>96.281999999999996</c:v>
                </c:pt>
                <c:pt idx="95">
                  <c:v>96.168000000000006</c:v>
                </c:pt>
                <c:pt idx="96">
                  <c:v>96.08</c:v>
                </c:pt>
                <c:pt idx="97">
                  <c:v>96.08</c:v>
                </c:pt>
                <c:pt idx="98">
                  <c:v>95.971999999999994</c:v>
                </c:pt>
                <c:pt idx="99">
                  <c:v>96.063999999999993</c:v>
                </c:pt>
                <c:pt idx="100">
                  <c:v>96</c:v>
                </c:pt>
                <c:pt idx="101">
                  <c:v>96</c:v>
                </c:pt>
                <c:pt idx="102">
                  <c:v>96</c:v>
                </c:pt>
                <c:pt idx="103">
                  <c:v>96.096000000000004</c:v>
                </c:pt>
                <c:pt idx="104">
                  <c:v>96.191999999999993</c:v>
                </c:pt>
                <c:pt idx="105">
                  <c:v>96</c:v>
                </c:pt>
                <c:pt idx="106">
                  <c:v>96</c:v>
                </c:pt>
                <c:pt idx="107">
                  <c:v>96.171000000000006</c:v>
                </c:pt>
                <c:pt idx="108">
                  <c:v>96.125</c:v>
                </c:pt>
                <c:pt idx="109">
                  <c:v>96.191999999999993</c:v>
                </c:pt>
                <c:pt idx="110">
                  <c:v>95.897999999999996</c:v>
                </c:pt>
                <c:pt idx="111">
                  <c:v>94.674999999999997</c:v>
                </c:pt>
                <c:pt idx="112">
                  <c:v>96.191999999999993</c:v>
                </c:pt>
                <c:pt idx="113">
                  <c:v>96.347999999999999</c:v>
                </c:pt>
                <c:pt idx="114">
                  <c:v>96.218000000000004</c:v>
                </c:pt>
                <c:pt idx="115">
                  <c:v>96.17</c:v>
                </c:pt>
                <c:pt idx="116">
                  <c:v>96.304000000000002</c:v>
                </c:pt>
                <c:pt idx="117">
                  <c:v>96</c:v>
                </c:pt>
                <c:pt idx="118">
                  <c:v>96</c:v>
                </c:pt>
                <c:pt idx="119">
                  <c:v>96.096000000000004</c:v>
                </c:pt>
                <c:pt idx="120">
                  <c:v>96.048000000000002</c:v>
                </c:pt>
                <c:pt idx="121">
                  <c:v>95.9</c:v>
                </c:pt>
                <c:pt idx="122">
                  <c:v>95.798000000000002</c:v>
                </c:pt>
                <c:pt idx="123">
                  <c:v>95.397999999999996</c:v>
                </c:pt>
                <c:pt idx="124">
                  <c:v>95.798000000000002</c:v>
                </c:pt>
                <c:pt idx="125">
                  <c:v>95.798000000000002</c:v>
                </c:pt>
                <c:pt idx="126">
                  <c:v>96</c:v>
                </c:pt>
                <c:pt idx="127">
                  <c:v>95.102000000000004</c:v>
                </c:pt>
                <c:pt idx="128">
                  <c:v>94.591999999999999</c:v>
                </c:pt>
                <c:pt idx="129">
                  <c:v>95.394000000000005</c:v>
                </c:pt>
                <c:pt idx="130">
                  <c:v>95.614000000000004</c:v>
                </c:pt>
                <c:pt idx="131">
                  <c:v>93.878</c:v>
                </c:pt>
                <c:pt idx="132">
                  <c:v>94.341999999999999</c:v>
                </c:pt>
                <c:pt idx="133">
                  <c:v>93.272999999999996</c:v>
                </c:pt>
                <c:pt idx="134">
                  <c:v>92.96</c:v>
                </c:pt>
                <c:pt idx="135">
                  <c:v>92.74</c:v>
                </c:pt>
                <c:pt idx="136">
                  <c:v>93.6</c:v>
                </c:pt>
                <c:pt idx="137">
                  <c:v>94.165999999999997</c:v>
                </c:pt>
                <c:pt idx="138">
                  <c:v>89.091999999999999</c:v>
                </c:pt>
                <c:pt idx="139">
                  <c:v>89.227999999999994</c:v>
                </c:pt>
                <c:pt idx="140">
                  <c:v>93</c:v>
                </c:pt>
                <c:pt idx="141">
                  <c:v>93</c:v>
                </c:pt>
                <c:pt idx="142">
                  <c:v>92.77</c:v>
                </c:pt>
                <c:pt idx="143">
                  <c:v>89.272999999999996</c:v>
                </c:pt>
                <c:pt idx="144">
                  <c:v>91.876000000000005</c:v>
                </c:pt>
                <c:pt idx="145">
                  <c:v>93.933999999999997</c:v>
                </c:pt>
                <c:pt idx="146">
                  <c:v>93.963999999999999</c:v>
                </c:pt>
                <c:pt idx="147">
                  <c:v>90.024000000000001</c:v>
                </c:pt>
                <c:pt idx="148">
                  <c:v>87.5</c:v>
                </c:pt>
                <c:pt idx="149">
                  <c:v>87.5</c:v>
                </c:pt>
                <c:pt idx="150">
                  <c:v>87.5</c:v>
                </c:pt>
                <c:pt idx="151">
                  <c:v>95.375</c:v>
                </c:pt>
                <c:pt idx="152">
                  <c:v>91</c:v>
                </c:pt>
                <c:pt idx="153">
                  <c:v>90.54</c:v>
                </c:pt>
                <c:pt idx="154">
                  <c:v>90.88</c:v>
                </c:pt>
                <c:pt idx="155">
                  <c:v>91.65</c:v>
                </c:pt>
                <c:pt idx="156">
                  <c:v>91.85</c:v>
                </c:pt>
                <c:pt idx="157">
                  <c:v>91.85</c:v>
                </c:pt>
                <c:pt idx="158">
                  <c:v>91.85</c:v>
                </c:pt>
                <c:pt idx="159">
                  <c:v>91.58</c:v>
                </c:pt>
                <c:pt idx="160">
                  <c:v>91.58</c:v>
                </c:pt>
                <c:pt idx="161">
                  <c:v>91.58</c:v>
                </c:pt>
                <c:pt idx="162">
                  <c:v>91.58</c:v>
                </c:pt>
                <c:pt idx="163">
                  <c:v>91.58</c:v>
                </c:pt>
                <c:pt idx="164">
                  <c:v>91.58</c:v>
                </c:pt>
                <c:pt idx="165">
                  <c:v>91.58</c:v>
                </c:pt>
                <c:pt idx="166">
                  <c:v>91.58</c:v>
                </c:pt>
                <c:pt idx="167">
                  <c:v>91.58</c:v>
                </c:pt>
                <c:pt idx="168">
                  <c:v>91.58</c:v>
                </c:pt>
                <c:pt idx="169">
                  <c:v>91.58</c:v>
                </c:pt>
                <c:pt idx="170">
                  <c:v>91.58</c:v>
                </c:pt>
                <c:pt idx="171">
                  <c:v>91.59</c:v>
                </c:pt>
                <c:pt idx="172">
                  <c:v>91.59</c:v>
                </c:pt>
                <c:pt idx="173">
                  <c:v>91.59</c:v>
                </c:pt>
                <c:pt idx="174">
                  <c:v>91.59</c:v>
                </c:pt>
                <c:pt idx="175">
                  <c:v>91.52</c:v>
                </c:pt>
                <c:pt idx="176">
                  <c:v>91.52</c:v>
                </c:pt>
                <c:pt idx="177">
                  <c:v>91.52</c:v>
                </c:pt>
                <c:pt idx="178">
                  <c:v>90.78</c:v>
                </c:pt>
                <c:pt idx="179">
                  <c:v>90.78</c:v>
                </c:pt>
                <c:pt idx="180">
                  <c:v>90.96</c:v>
                </c:pt>
                <c:pt idx="181">
                  <c:v>90.96</c:v>
                </c:pt>
                <c:pt idx="182">
                  <c:v>90.85</c:v>
                </c:pt>
                <c:pt idx="183">
                  <c:v>90.85</c:v>
                </c:pt>
                <c:pt idx="184">
                  <c:v>90.85</c:v>
                </c:pt>
                <c:pt idx="185">
                  <c:v>90.3</c:v>
                </c:pt>
                <c:pt idx="186">
                  <c:v>90.3</c:v>
                </c:pt>
                <c:pt idx="187">
                  <c:v>91</c:v>
                </c:pt>
                <c:pt idx="188">
                  <c:v>90.75</c:v>
                </c:pt>
                <c:pt idx="189">
                  <c:v>90.75</c:v>
                </c:pt>
                <c:pt idx="190">
                  <c:v>91</c:v>
                </c:pt>
                <c:pt idx="191">
                  <c:v>90.5</c:v>
                </c:pt>
                <c:pt idx="192">
                  <c:v>90.5</c:v>
                </c:pt>
                <c:pt idx="193">
                  <c:v>91</c:v>
                </c:pt>
                <c:pt idx="194">
                  <c:v>90</c:v>
                </c:pt>
                <c:pt idx="195">
                  <c:v>89</c:v>
                </c:pt>
                <c:pt idx="196">
                  <c:v>89</c:v>
                </c:pt>
                <c:pt idx="197">
                  <c:v>89.375</c:v>
                </c:pt>
                <c:pt idx="198">
                  <c:v>88.5</c:v>
                </c:pt>
                <c:pt idx="199">
                  <c:v>89.5</c:v>
                </c:pt>
                <c:pt idx="200">
                  <c:v>89.75</c:v>
                </c:pt>
                <c:pt idx="201">
                  <c:v>88</c:v>
                </c:pt>
                <c:pt idx="202">
                  <c:v>88.5</c:v>
                </c:pt>
                <c:pt idx="203">
                  <c:v>87.5</c:v>
                </c:pt>
                <c:pt idx="204">
                  <c:v>87.375</c:v>
                </c:pt>
                <c:pt idx="205">
                  <c:v>87.375</c:v>
                </c:pt>
                <c:pt idx="206">
                  <c:v>87.75</c:v>
                </c:pt>
                <c:pt idx="207">
                  <c:v>87.625</c:v>
                </c:pt>
                <c:pt idx="208">
                  <c:v>85.5</c:v>
                </c:pt>
                <c:pt idx="209">
                  <c:v>85.5</c:v>
                </c:pt>
                <c:pt idx="210">
                  <c:v>86.26</c:v>
                </c:pt>
                <c:pt idx="211">
                  <c:v>86.75</c:v>
                </c:pt>
                <c:pt idx="212">
                  <c:v>86.75</c:v>
                </c:pt>
                <c:pt idx="213">
                  <c:v>87</c:v>
                </c:pt>
                <c:pt idx="214">
                  <c:v>87.375</c:v>
                </c:pt>
                <c:pt idx="215">
                  <c:v>86.875</c:v>
                </c:pt>
                <c:pt idx="216">
                  <c:v>87</c:v>
                </c:pt>
                <c:pt idx="217">
                  <c:v>86.75</c:v>
                </c:pt>
                <c:pt idx="218">
                  <c:v>87</c:v>
                </c:pt>
                <c:pt idx="219">
                  <c:v>87</c:v>
                </c:pt>
                <c:pt idx="220">
                  <c:v>86.75</c:v>
                </c:pt>
                <c:pt idx="221">
                  <c:v>87</c:v>
                </c:pt>
                <c:pt idx="222">
                  <c:v>86.75</c:v>
                </c:pt>
                <c:pt idx="223">
                  <c:v>86.375</c:v>
                </c:pt>
                <c:pt idx="224">
                  <c:v>85</c:v>
                </c:pt>
                <c:pt idx="225">
                  <c:v>85</c:v>
                </c:pt>
                <c:pt idx="226">
                  <c:v>86</c:v>
                </c:pt>
                <c:pt idx="227">
                  <c:v>86.75</c:v>
                </c:pt>
                <c:pt idx="228">
                  <c:v>86.75</c:v>
                </c:pt>
                <c:pt idx="229">
                  <c:v>86.75</c:v>
                </c:pt>
                <c:pt idx="230">
                  <c:v>87</c:v>
                </c:pt>
                <c:pt idx="231">
                  <c:v>87</c:v>
                </c:pt>
                <c:pt idx="232">
                  <c:v>86.875</c:v>
                </c:pt>
                <c:pt idx="233">
                  <c:v>87.25</c:v>
                </c:pt>
                <c:pt idx="234">
                  <c:v>87.25</c:v>
                </c:pt>
                <c:pt idx="235">
                  <c:v>86.74</c:v>
                </c:pt>
                <c:pt idx="236">
                  <c:v>86.74</c:v>
                </c:pt>
                <c:pt idx="237">
                  <c:v>87.375</c:v>
                </c:pt>
                <c:pt idx="238">
                  <c:v>86.75</c:v>
                </c:pt>
                <c:pt idx="239">
                  <c:v>86.75</c:v>
                </c:pt>
                <c:pt idx="240">
                  <c:v>87.5</c:v>
                </c:pt>
                <c:pt idx="241">
                  <c:v>87</c:v>
                </c:pt>
                <c:pt idx="242">
                  <c:v>86.875</c:v>
                </c:pt>
                <c:pt idx="243">
                  <c:v>87.25</c:v>
                </c:pt>
                <c:pt idx="244">
                  <c:v>87</c:v>
                </c:pt>
                <c:pt idx="245">
                  <c:v>87</c:v>
                </c:pt>
                <c:pt idx="246">
                  <c:v>87.25</c:v>
                </c:pt>
                <c:pt idx="247">
                  <c:v>87.25</c:v>
                </c:pt>
                <c:pt idx="248">
                  <c:v>87.25</c:v>
                </c:pt>
                <c:pt idx="249">
                  <c:v>87</c:v>
                </c:pt>
                <c:pt idx="250">
                  <c:v>87</c:v>
                </c:pt>
                <c:pt idx="251">
                  <c:v>87</c:v>
                </c:pt>
                <c:pt idx="252">
                  <c:v>87</c:v>
                </c:pt>
                <c:pt idx="253">
                  <c:v>87.125</c:v>
                </c:pt>
                <c:pt idx="254">
                  <c:v>87</c:v>
                </c:pt>
                <c:pt idx="255">
                  <c:v>87.375</c:v>
                </c:pt>
                <c:pt idx="256">
                  <c:v>88</c:v>
                </c:pt>
                <c:pt idx="257">
                  <c:v>88</c:v>
                </c:pt>
                <c:pt idx="258">
                  <c:v>88</c:v>
                </c:pt>
                <c:pt idx="259">
                  <c:v>88.625</c:v>
                </c:pt>
                <c:pt idx="260">
                  <c:v>88.625</c:v>
                </c:pt>
                <c:pt idx="261">
                  <c:v>89.375</c:v>
                </c:pt>
                <c:pt idx="262">
                  <c:v>89.414000000000001</c:v>
                </c:pt>
                <c:pt idx="263">
                  <c:v>89.414000000000001</c:v>
                </c:pt>
                <c:pt idx="264">
                  <c:v>89.414000000000001</c:v>
                </c:pt>
                <c:pt idx="265">
                  <c:v>89.625</c:v>
                </c:pt>
                <c:pt idx="266">
                  <c:v>92</c:v>
                </c:pt>
                <c:pt idx="267">
                  <c:v>92</c:v>
                </c:pt>
                <c:pt idx="268">
                  <c:v>92.375</c:v>
                </c:pt>
                <c:pt idx="269">
                  <c:v>92.375</c:v>
                </c:pt>
                <c:pt idx="270">
                  <c:v>92.5</c:v>
                </c:pt>
                <c:pt idx="271">
                  <c:v>92.125</c:v>
                </c:pt>
                <c:pt idx="272">
                  <c:v>92.5</c:v>
                </c:pt>
                <c:pt idx="273">
                  <c:v>92</c:v>
                </c:pt>
                <c:pt idx="274">
                  <c:v>92</c:v>
                </c:pt>
                <c:pt idx="275">
                  <c:v>92.5</c:v>
                </c:pt>
                <c:pt idx="276">
                  <c:v>92.125</c:v>
                </c:pt>
                <c:pt idx="277">
                  <c:v>91.88</c:v>
                </c:pt>
                <c:pt idx="278">
                  <c:v>92.25</c:v>
                </c:pt>
                <c:pt idx="279">
                  <c:v>92.25</c:v>
                </c:pt>
                <c:pt idx="280">
                  <c:v>92</c:v>
                </c:pt>
                <c:pt idx="281">
                  <c:v>92</c:v>
                </c:pt>
                <c:pt idx="282">
                  <c:v>92</c:v>
                </c:pt>
                <c:pt idx="283">
                  <c:v>92</c:v>
                </c:pt>
                <c:pt idx="284">
                  <c:v>92</c:v>
                </c:pt>
                <c:pt idx="285">
                  <c:v>92</c:v>
                </c:pt>
                <c:pt idx="286">
                  <c:v>91.19</c:v>
                </c:pt>
                <c:pt idx="287">
                  <c:v>91.19</c:v>
                </c:pt>
                <c:pt idx="288">
                  <c:v>91.19</c:v>
                </c:pt>
                <c:pt idx="289">
                  <c:v>91.5</c:v>
                </c:pt>
                <c:pt idx="290">
                  <c:v>91.88</c:v>
                </c:pt>
                <c:pt idx="291">
                  <c:v>91.5</c:v>
                </c:pt>
                <c:pt idx="292">
                  <c:v>91.88</c:v>
                </c:pt>
                <c:pt idx="293">
                  <c:v>91.5</c:v>
                </c:pt>
                <c:pt idx="294">
                  <c:v>91.19</c:v>
                </c:pt>
                <c:pt idx="295">
                  <c:v>90.55</c:v>
                </c:pt>
                <c:pt idx="296">
                  <c:v>90.65</c:v>
                </c:pt>
                <c:pt idx="297">
                  <c:v>90.875</c:v>
                </c:pt>
                <c:pt idx="298">
                  <c:v>90.32</c:v>
                </c:pt>
                <c:pt idx="299">
                  <c:v>90.5</c:v>
                </c:pt>
                <c:pt idx="300">
                  <c:v>90.5</c:v>
                </c:pt>
                <c:pt idx="301">
                  <c:v>90</c:v>
                </c:pt>
                <c:pt idx="302">
                  <c:v>90.32</c:v>
                </c:pt>
                <c:pt idx="303">
                  <c:v>90</c:v>
                </c:pt>
                <c:pt idx="304">
                  <c:v>91</c:v>
                </c:pt>
                <c:pt idx="305">
                  <c:v>89.52</c:v>
                </c:pt>
                <c:pt idx="306">
                  <c:v>89.35</c:v>
                </c:pt>
                <c:pt idx="307">
                  <c:v>89.35</c:v>
                </c:pt>
                <c:pt idx="308">
                  <c:v>89.49</c:v>
                </c:pt>
                <c:pt idx="309">
                  <c:v>90</c:v>
                </c:pt>
                <c:pt idx="310">
                  <c:v>90.5</c:v>
                </c:pt>
                <c:pt idx="311">
                  <c:v>90.99</c:v>
                </c:pt>
                <c:pt idx="312">
                  <c:v>90.54</c:v>
                </c:pt>
                <c:pt idx="313">
                  <c:v>90.51</c:v>
                </c:pt>
                <c:pt idx="314">
                  <c:v>90.5</c:v>
                </c:pt>
                <c:pt idx="315">
                  <c:v>90.97</c:v>
                </c:pt>
                <c:pt idx="316">
                  <c:v>90.75</c:v>
                </c:pt>
                <c:pt idx="317">
                  <c:v>90.82</c:v>
                </c:pt>
                <c:pt idx="318">
                  <c:v>90.82</c:v>
                </c:pt>
                <c:pt idx="319">
                  <c:v>90.78</c:v>
                </c:pt>
                <c:pt idx="320">
                  <c:v>90.99</c:v>
                </c:pt>
                <c:pt idx="321">
                  <c:v>90.81</c:v>
                </c:pt>
                <c:pt idx="322">
                  <c:v>90.99</c:v>
                </c:pt>
                <c:pt idx="323">
                  <c:v>90.98</c:v>
                </c:pt>
                <c:pt idx="324">
                  <c:v>90.98</c:v>
                </c:pt>
                <c:pt idx="325">
                  <c:v>90.98</c:v>
                </c:pt>
                <c:pt idx="326">
                  <c:v>90.76</c:v>
                </c:pt>
                <c:pt idx="327">
                  <c:v>90.71</c:v>
                </c:pt>
                <c:pt idx="328">
                  <c:v>90.61</c:v>
                </c:pt>
                <c:pt idx="329">
                  <c:v>90.97</c:v>
                </c:pt>
                <c:pt idx="330">
                  <c:v>90.97</c:v>
                </c:pt>
                <c:pt idx="331">
                  <c:v>90.61</c:v>
                </c:pt>
                <c:pt idx="332">
                  <c:v>90.61</c:v>
                </c:pt>
                <c:pt idx="333">
                  <c:v>90.61</c:v>
                </c:pt>
                <c:pt idx="334">
                  <c:v>90.53</c:v>
                </c:pt>
                <c:pt idx="335">
                  <c:v>90.52</c:v>
                </c:pt>
                <c:pt idx="336">
                  <c:v>90.52</c:v>
                </c:pt>
                <c:pt idx="337">
                  <c:v>90.53</c:v>
                </c:pt>
                <c:pt idx="338">
                  <c:v>90.86</c:v>
                </c:pt>
                <c:pt idx="339">
                  <c:v>90.97</c:v>
                </c:pt>
                <c:pt idx="340">
                  <c:v>90.62</c:v>
                </c:pt>
                <c:pt idx="341">
                  <c:v>90.6</c:v>
                </c:pt>
                <c:pt idx="342">
                  <c:v>90.57</c:v>
                </c:pt>
                <c:pt idx="343">
                  <c:v>90.55</c:v>
                </c:pt>
                <c:pt idx="344">
                  <c:v>90.57</c:v>
                </c:pt>
                <c:pt idx="345">
                  <c:v>90.5</c:v>
                </c:pt>
                <c:pt idx="346">
                  <c:v>90.5</c:v>
                </c:pt>
                <c:pt idx="347">
                  <c:v>90.5</c:v>
                </c:pt>
                <c:pt idx="348">
                  <c:v>90.69</c:v>
                </c:pt>
                <c:pt idx="349">
                  <c:v>90.69</c:v>
                </c:pt>
                <c:pt idx="350">
                  <c:v>90.69</c:v>
                </c:pt>
                <c:pt idx="351">
                  <c:v>90.8</c:v>
                </c:pt>
                <c:pt idx="352">
                  <c:v>90.69</c:v>
                </c:pt>
                <c:pt idx="353">
                  <c:v>90.94</c:v>
                </c:pt>
                <c:pt idx="354">
                  <c:v>90.25</c:v>
                </c:pt>
                <c:pt idx="355">
                  <c:v>90.25</c:v>
                </c:pt>
                <c:pt idx="356">
                  <c:v>90.25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90.5</c:v>
                </c:pt>
                <c:pt idx="361">
                  <c:v>91.25</c:v>
                </c:pt>
                <c:pt idx="362">
                  <c:v>91</c:v>
                </c:pt>
                <c:pt idx="363">
                  <c:v>91.62</c:v>
                </c:pt>
                <c:pt idx="364">
                  <c:v>91.75</c:v>
                </c:pt>
                <c:pt idx="365">
                  <c:v>90.5</c:v>
                </c:pt>
                <c:pt idx="366">
                  <c:v>90.5</c:v>
                </c:pt>
                <c:pt idx="367">
                  <c:v>91.75</c:v>
                </c:pt>
                <c:pt idx="368">
                  <c:v>91.75</c:v>
                </c:pt>
                <c:pt idx="369">
                  <c:v>91.87</c:v>
                </c:pt>
                <c:pt idx="370">
                  <c:v>91.87</c:v>
                </c:pt>
                <c:pt idx="371">
                  <c:v>91.87</c:v>
                </c:pt>
                <c:pt idx="372">
                  <c:v>91.87</c:v>
                </c:pt>
                <c:pt idx="373">
                  <c:v>90.75</c:v>
                </c:pt>
                <c:pt idx="374">
                  <c:v>90.75</c:v>
                </c:pt>
                <c:pt idx="375">
                  <c:v>91.5</c:v>
                </c:pt>
                <c:pt idx="376">
                  <c:v>90.75</c:v>
                </c:pt>
                <c:pt idx="377">
                  <c:v>91.62</c:v>
                </c:pt>
                <c:pt idx="378">
                  <c:v>91.5</c:v>
                </c:pt>
                <c:pt idx="379">
                  <c:v>91.25</c:v>
                </c:pt>
                <c:pt idx="380">
                  <c:v>90.75</c:v>
                </c:pt>
                <c:pt idx="381">
                  <c:v>90.75</c:v>
                </c:pt>
                <c:pt idx="382">
                  <c:v>91.37</c:v>
                </c:pt>
                <c:pt idx="383">
                  <c:v>91</c:v>
                </c:pt>
                <c:pt idx="384">
                  <c:v>92.5</c:v>
                </c:pt>
                <c:pt idx="385">
                  <c:v>92</c:v>
                </c:pt>
                <c:pt idx="386">
                  <c:v>91</c:v>
                </c:pt>
                <c:pt idx="387">
                  <c:v>91.25</c:v>
                </c:pt>
                <c:pt idx="388">
                  <c:v>92</c:v>
                </c:pt>
                <c:pt idx="389">
                  <c:v>91.25</c:v>
                </c:pt>
                <c:pt idx="390">
                  <c:v>91.87</c:v>
                </c:pt>
                <c:pt idx="391">
                  <c:v>91.25</c:v>
                </c:pt>
                <c:pt idx="392">
                  <c:v>91.87</c:v>
                </c:pt>
                <c:pt idx="393">
                  <c:v>91.87</c:v>
                </c:pt>
                <c:pt idx="394">
                  <c:v>91.25</c:v>
                </c:pt>
                <c:pt idx="395">
                  <c:v>91.77</c:v>
                </c:pt>
                <c:pt idx="396">
                  <c:v>92.62</c:v>
                </c:pt>
                <c:pt idx="397">
                  <c:v>91.75</c:v>
                </c:pt>
                <c:pt idx="398">
                  <c:v>91.75</c:v>
                </c:pt>
                <c:pt idx="399">
                  <c:v>91.75</c:v>
                </c:pt>
                <c:pt idx="400">
                  <c:v>91.5</c:v>
                </c:pt>
                <c:pt idx="401">
                  <c:v>91.75</c:v>
                </c:pt>
                <c:pt idx="402">
                  <c:v>91.75</c:v>
                </c:pt>
                <c:pt idx="403">
                  <c:v>91.75</c:v>
                </c:pt>
                <c:pt idx="404">
                  <c:v>91.75</c:v>
                </c:pt>
                <c:pt idx="405">
                  <c:v>91.5</c:v>
                </c:pt>
                <c:pt idx="406">
                  <c:v>91.25</c:v>
                </c:pt>
                <c:pt idx="407">
                  <c:v>90.87</c:v>
                </c:pt>
                <c:pt idx="408">
                  <c:v>90.75</c:v>
                </c:pt>
                <c:pt idx="409">
                  <c:v>90.75</c:v>
                </c:pt>
                <c:pt idx="410">
                  <c:v>90.5</c:v>
                </c:pt>
                <c:pt idx="411">
                  <c:v>90.5</c:v>
                </c:pt>
                <c:pt idx="412">
                  <c:v>90.5</c:v>
                </c:pt>
                <c:pt idx="413">
                  <c:v>90.5</c:v>
                </c:pt>
                <c:pt idx="414">
                  <c:v>90.5</c:v>
                </c:pt>
                <c:pt idx="415">
                  <c:v>90.5</c:v>
                </c:pt>
                <c:pt idx="416">
                  <c:v>90.95</c:v>
                </c:pt>
                <c:pt idx="417">
                  <c:v>90.99</c:v>
                </c:pt>
                <c:pt idx="418">
                  <c:v>90.64</c:v>
                </c:pt>
                <c:pt idx="419">
                  <c:v>90.61</c:v>
                </c:pt>
                <c:pt idx="420">
                  <c:v>90.46</c:v>
                </c:pt>
                <c:pt idx="421">
                  <c:v>90.4</c:v>
                </c:pt>
                <c:pt idx="422">
                  <c:v>90.4</c:v>
                </c:pt>
                <c:pt idx="423">
                  <c:v>90.68</c:v>
                </c:pt>
                <c:pt idx="424">
                  <c:v>90.03</c:v>
                </c:pt>
                <c:pt idx="425">
                  <c:v>89.93</c:v>
                </c:pt>
                <c:pt idx="426">
                  <c:v>89.97</c:v>
                </c:pt>
                <c:pt idx="427">
                  <c:v>89.64</c:v>
                </c:pt>
                <c:pt idx="428">
                  <c:v>89.64</c:v>
                </c:pt>
                <c:pt idx="429">
                  <c:v>89.64</c:v>
                </c:pt>
                <c:pt idx="430">
                  <c:v>89.96</c:v>
                </c:pt>
                <c:pt idx="431">
                  <c:v>90.01</c:v>
                </c:pt>
                <c:pt idx="432">
                  <c:v>90.01</c:v>
                </c:pt>
                <c:pt idx="433">
                  <c:v>90.04</c:v>
                </c:pt>
                <c:pt idx="434">
                  <c:v>90.01</c:v>
                </c:pt>
                <c:pt idx="435">
                  <c:v>89.49</c:v>
                </c:pt>
                <c:pt idx="436">
                  <c:v>89.5</c:v>
                </c:pt>
                <c:pt idx="437">
                  <c:v>89.23</c:v>
                </c:pt>
                <c:pt idx="438">
                  <c:v>89.24</c:v>
                </c:pt>
                <c:pt idx="439">
                  <c:v>89.02</c:v>
                </c:pt>
                <c:pt idx="440">
                  <c:v>89.11</c:v>
                </c:pt>
                <c:pt idx="441">
                  <c:v>89</c:v>
                </c:pt>
                <c:pt idx="442">
                  <c:v>88.88</c:v>
                </c:pt>
                <c:pt idx="443">
                  <c:v>88.97</c:v>
                </c:pt>
                <c:pt idx="444">
                  <c:v>88.97</c:v>
                </c:pt>
                <c:pt idx="445">
                  <c:v>88.74</c:v>
                </c:pt>
                <c:pt idx="446">
                  <c:v>88.97</c:v>
                </c:pt>
                <c:pt idx="447">
                  <c:v>88.99</c:v>
                </c:pt>
                <c:pt idx="448">
                  <c:v>89</c:v>
                </c:pt>
                <c:pt idx="449">
                  <c:v>89.04</c:v>
                </c:pt>
                <c:pt idx="450">
                  <c:v>89.09</c:v>
                </c:pt>
                <c:pt idx="451">
                  <c:v>88.99</c:v>
                </c:pt>
                <c:pt idx="452">
                  <c:v>88.93</c:v>
                </c:pt>
                <c:pt idx="453">
                  <c:v>88.77</c:v>
                </c:pt>
                <c:pt idx="454">
                  <c:v>88.81</c:v>
                </c:pt>
                <c:pt idx="455">
                  <c:v>88.76</c:v>
                </c:pt>
                <c:pt idx="456">
                  <c:v>88.75</c:v>
                </c:pt>
                <c:pt idx="457">
                  <c:v>88.75</c:v>
                </c:pt>
                <c:pt idx="458">
                  <c:v>88.75</c:v>
                </c:pt>
                <c:pt idx="459">
                  <c:v>89.15</c:v>
                </c:pt>
                <c:pt idx="460">
                  <c:v>88.77</c:v>
                </c:pt>
                <c:pt idx="461">
                  <c:v>88.77</c:v>
                </c:pt>
                <c:pt idx="462">
                  <c:v>89.3</c:v>
                </c:pt>
                <c:pt idx="463">
                  <c:v>89.42</c:v>
                </c:pt>
                <c:pt idx="464">
                  <c:v>89.46</c:v>
                </c:pt>
                <c:pt idx="465">
                  <c:v>89.39</c:v>
                </c:pt>
                <c:pt idx="466">
                  <c:v>89.32</c:v>
                </c:pt>
                <c:pt idx="467">
                  <c:v>89.41</c:v>
                </c:pt>
                <c:pt idx="468">
                  <c:v>89.26</c:v>
                </c:pt>
                <c:pt idx="469">
                  <c:v>89.26</c:v>
                </c:pt>
                <c:pt idx="470">
                  <c:v>89.48</c:v>
                </c:pt>
                <c:pt idx="471">
                  <c:v>89.49</c:v>
                </c:pt>
                <c:pt idx="472">
                  <c:v>89.55</c:v>
                </c:pt>
                <c:pt idx="473">
                  <c:v>89.55</c:v>
                </c:pt>
                <c:pt idx="474">
                  <c:v>89.96</c:v>
                </c:pt>
                <c:pt idx="475">
                  <c:v>90.22</c:v>
                </c:pt>
                <c:pt idx="476">
                  <c:v>90.24</c:v>
                </c:pt>
                <c:pt idx="477">
                  <c:v>90.5</c:v>
                </c:pt>
                <c:pt idx="478">
                  <c:v>90.47</c:v>
                </c:pt>
                <c:pt idx="479">
                  <c:v>90.28</c:v>
                </c:pt>
                <c:pt idx="480">
                  <c:v>91.27</c:v>
                </c:pt>
                <c:pt idx="481">
                  <c:v>91.37</c:v>
                </c:pt>
                <c:pt idx="482">
                  <c:v>91.63</c:v>
                </c:pt>
                <c:pt idx="483">
                  <c:v>91.51</c:v>
                </c:pt>
                <c:pt idx="484">
                  <c:v>91.1</c:v>
                </c:pt>
                <c:pt idx="485">
                  <c:v>91.98</c:v>
                </c:pt>
                <c:pt idx="486">
                  <c:v>91.98</c:v>
                </c:pt>
                <c:pt idx="487">
                  <c:v>91.06</c:v>
                </c:pt>
                <c:pt idx="488">
                  <c:v>91.16</c:v>
                </c:pt>
                <c:pt idx="489">
                  <c:v>91.18</c:v>
                </c:pt>
                <c:pt idx="490">
                  <c:v>91.07</c:v>
                </c:pt>
                <c:pt idx="491">
                  <c:v>92.65</c:v>
                </c:pt>
                <c:pt idx="492">
                  <c:v>91.3</c:v>
                </c:pt>
                <c:pt idx="493">
                  <c:v>93</c:v>
                </c:pt>
                <c:pt idx="494">
                  <c:v>93</c:v>
                </c:pt>
                <c:pt idx="495">
                  <c:v>91</c:v>
                </c:pt>
                <c:pt idx="496">
                  <c:v>91.25</c:v>
                </c:pt>
                <c:pt idx="497">
                  <c:v>91</c:v>
                </c:pt>
                <c:pt idx="498">
                  <c:v>91</c:v>
                </c:pt>
                <c:pt idx="499">
                  <c:v>92.5</c:v>
                </c:pt>
                <c:pt idx="500">
                  <c:v>92.25</c:v>
                </c:pt>
                <c:pt idx="501">
                  <c:v>93.5</c:v>
                </c:pt>
                <c:pt idx="502">
                  <c:v>93.5</c:v>
                </c:pt>
                <c:pt idx="503">
                  <c:v>93.5</c:v>
                </c:pt>
                <c:pt idx="504">
                  <c:v>93.5</c:v>
                </c:pt>
                <c:pt idx="505">
                  <c:v>93.625</c:v>
                </c:pt>
                <c:pt idx="506">
                  <c:v>93.77</c:v>
                </c:pt>
                <c:pt idx="507">
                  <c:v>93.77</c:v>
                </c:pt>
                <c:pt idx="508">
                  <c:v>93.77</c:v>
                </c:pt>
                <c:pt idx="509">
                  <c:v>93.77</c:v>
                </c:pt>
                <c:pt idx="510">
                  <c:v>93.77</c:v>
                </c:pt>
                <c:pt idx="511">
                  <c:v>94.02</c:v>
                </c:pt>
                <c:pt idx="512">
                  <c:v>94.02</c:v>
                </c:pt>
                <c:pt idx="513">
                  <c:v>94.02</c:v>
                </c:pt>
                <c:pt idx="514">
                  <c:v>94.02</c:v>
                </c:pt>
                <c:pt idx="515">
                  <c:v>94.02</c:v>
                </c:pt>
                <c:pt idx="516">
                  <c:v>94.144999999999996</c:v>
                </c:pt>
                <c:pt idx="517">
                  <c:v>94.144999999999996</c:v>
                </c:pt>
                <c:pt idx="518">
                  <c:v>94.144999999999996</c:v>
                </c:pt>
                <c:pt idx="519">
                  <c:v>94.144999999999996</c:v>
                </c:pt>
                <c:pt idx="520">
                  <c:v>94.144999999999996</c:v>
                </c:pt>
                <c:pt idx="521">
                  <c:v>94.144999999999996</c:v>
                </c:pt>
                <c:pt idx="522">
                  <c:v>94.144999999999996</c:v>
                </c:pt>
                <c:pt idx="523">
                  <c:v>95.02</c:v>
                </c:pt>
                <c:pt idx="524">
                  <c:v>95.02</c:v>
                </c:pt>
                <c:pt idx="525">
                  <c:v>95.02</c:v>
                </c:pt>
                <c:pt idx="526">
                  <c:v>95.02</c:v>
                </c:pt>
                <c:pt idx="527">
                  <c:v>95.02</c:v>
                </c:pt>
                <c:pt idx="528">
                  <c:v>95.02</c:v>
                </c:pt>
                <c:pt idx="529">
                  <c:v>95.02</c:v>
                </c:pt>
                <c:pt idx="530">
                  <c:v>95.02</c:v>
                </c:pt>
                <c:pt idx="531">
                  <c:v>95.02</c:v>
                </c:pt>
                <c:pt idx="532">
                  <c:v>95.02</c:v>
                </c:pt>
                <c:pt idx="533">
                  <c:v>95.02</c:v>
                </c:pt>
                <c:pt idx="534">
                  <c:v>95.02</c:v>
                </c:pt>
                <c:pt idx="535">
                  <c:v>95.02</c:v>
                </c:pt>
                <c:pt idx="536">
                  <c:v>95.02</c:v>
                </c:pt>
                <c:pt idx="537">
                  <c:v>95.02</c:v>
                </c:pt>
                <c:pt idx="538">
                  <c:v>95.073999999999998</c:v>
                </c:pt>
                <c:pt idx="539">
                  <c:v>94.709000000000003</c:v>
                </c:pt>
                <c:pt idx="540">
                  <c:v>94.789000000000001</c:v>
                </c:pt>
                <c:pt idx="541">
                  <c:v>94.801000000000002</c:v>
                </c:pt>
                <c:pt idx="542">
                  <c:v>94.832999999999998</c:v>
                </c:pt>
                <c:pt idx="543">
                  <c:v>94.947000000000003</c:v>
                </c:pt>
                <c:pt idx="544">
                  <c:v>94.691999999999993</c:v>
                </c:pt>
                <c:pt idx="545">
                  <c:v>94.846000000000004</c:v>
                </c:pt>
                <c:pt idx="546">
                  <c:v>94.832999999999998</c:v>
                </c:pt>
                <c:pt idx="547">
                  <c:v>94.852999999999994</c:v>
                </c:pt>
                <c:pt idx="548">
                  <c:v>95.058000000000007</c:v>
                </c:pt>
                <c:pt idx="549">
                  <c:v>95.305000000000007</c:v>
                </c:pt>
                <c:pt idx="550">
                  <c:v>95.167000000000002</c:v>
                </c:pt>
                <c:pt idx="551">
                  <c:v>95.244</c:v>
                </c:pt>
                <c:pt idx="552">
                  <c:v>95.323999999999998</c:v>
                </c:pt>
                <c:pt idx="553">
                  <c:v>95.483000000000004</c:v>
                </c:pt>
                <c:pt idx="554">
                  <c:v>95.754000000000005</c:v>
                </c:pt>
                <c:pt idx="555">
                  <c:v>95.926000000000002</c:v>
                </c:pt>
                <c:pt idx="556">
                  <c:v>96.391999999999996</c:v>
                </c:pt>
                <c:pt idx="557">
                  <c:v>96.251000000000005</c:v>
                </c:pt>
                <c:pt idx="558">
                  <c:v>96.384</c:v>
                </c:pt>
                <c:pt idx="559">
                  <c:v>96.248999999999995</c:v>
                </c:pt>
                <c:pt idx="560">
                  <c:v>96.358000000000004</c:v>
                </c:pt>
                <c:pt idx="561">
                  <c:v>96.712999999999994</c:v>
                </c:pt>
                <c:pt idx="562">
                  <c:v>96.664000000000001</c:v>
                </c:pt>
                <c:pt idx="563">
                  <c:v>96.358000000000004</c:v>
                </c:pt>
                <c:pt idx="564">
                  <c:v>96.644999999999996</c:v>
                </c:pt>
                <c:pt idx="565">
                  <c:v>96.703999999999994</c:v>
                </c:pt>
                <c:pt idx="566">
                  <c:v>96.774000000000001</c:v>
                </c:pt>
                <c:pt idx="567">
                  <c:v>96.42</c:v>
                </c:pt>
                <c:pt idx="568">
                  <c:v>96.299000000000007</c:v>
                </c:pt>
                <c:pt idx="569">
                  <c:v>96.492999999999995</c:v>
                </c:pt>
                <c:pt idx="570">
                  <c:v>96.921000000000006</c:v>
                </c:pt>
                <c:pt idx="571">
                  <c:v>96.960999999999999</c:v>
                </c:pt>
                <c:pt idx="572">
                  <c:v>96.722999999999999</c:v>
                </c:pt>
                <c:pt idx="573">
                  <c:v>97.096999999999994</c:v>
                </c:pt>
                <c:pt idx="574">
                  <c:v>96.697000000000003</c:v>
                </c:pt>
                <c:pt idx="575">
                  <c:v>96.593999999999994</c:v>
                </c:pt>
                <c:pt idx="576">
                  <c:v>96.623000000000005</c:v>
                </c:pt>
                <c:pt idx="577">
                  <c:v>96.775000000000006</c:v>
                </c:pt>
                <c:pt idx="578">
                  <c:v>96.778999999999996</c:v>
                </c:pt>
                <c:pt idx="579">
                  <c:v>96.658000000000001</c:v>
                </c:pt>
                <c:pt idx="580">
                  <c:v>96.784999999999997</c:v>
                </c:pt>
                <c:pt idx="581">
                  <c:v>96.792000000000002</c:v>
                </c:pt>
                <c:pt idx="582">
                  <c:v>96.474999999999994</c:v>
                </c:pt>
                <c:pt idx="583">
                  <c:v>96.51</c:v>
                </c:pt>
                <c:pt idx="584">
                  <c:v>96.683999999999997</c:v>
                </c:pt>
                <c:pt idx="585">
                  <c:v>96.653000000000006</c:v>
                </c:pt>
                <c:pt idx="586">
                  <c:v>97.111999999999995</c:v>
                </c:pt>
                <c:pt idx="587">
                  <c:v>96.686000000000007</c:v>
                </c:pt>
                <c:pt idx="588">
                  <c:v>96.501000000000005</c:v>
                </c:pt>
                <c:pt idx="589">
                  <c:v>96.763999999999996</c:v>
                </c:pt>
                <c:pt idx="590">
                  <c:v>97.009</c:v>
                </c:pt>
                <c:pt idx="591">
                  <c:v>97.103999999999999</c:v>
                </c:pt>
                <c:pt idx="592">
                  <c:v>97.003</c:v>
                </c:pt>
                <c:pt idx="593">
                  <c:v>97.018000000000001</c:v>
                </c:pt>
                <c:pt idx="594">
                  <c:v>97.1</c:v>
                </c:pt>
                <c:pt idx="595">
                  <c:v>97.23</c:v>
                </c:pt>
                <c:pt idx="596">
                  <c:v>96.850999999999999</c:v>
                </c:pt>
                <c:pt idx="597">
                  <c:v>96.897000000000006</c:v>
                </c:pt>
                <c:pt idx="598">
                  <c:v>96.966999999999999</c:v>
                </c:pt>
                <c:pt idx="599">
                  <c:v>97.064999999999998</c:v>
                </c:pt>
                <c:pt idx="600">
                  <c:v>96.998000000000005</c:v>
                </c:pt>
                <c:pt idx="601">
                  <c:v>96.858000000000004</c:v>
                </c:pt>
                <c:pt idx="602">
                  <c:v>96.977999999999994</c:v>
                </c:pt>
                <c:pt idx="603">
                  <c:v>96.91</c:v>
                </c:pt>
                <c:pt idx="604">
                  <c:v>96.974999999999994</c:v>
                </c:pt>
                <c:pt idx="605">
                  <c:v>97.111000000000004</c:v>
                </c:pt>
                <c:pt idx="606">
                  <c:v>97.194999999999993</c:v>
                </c:pt>
                <c:pt idx="607">
                  <c:v>97.197000000000003</c:v>
                </c:pt>
                <c:pt idx="608">
                  <c:v>97.191000000000003</c:v>
                </c:pt>
                <c:pt idx="609">
                  <c:v>97.203999999999994</c:v>
                </c:pt>
                <c:pt idx="610">
                  <c:v>97.075000000000003</c:v>
                </c:pt>
                <c:pt idx="611">
                  <c:v>96.685000000000002</c:v>
                </c:pt>
                <c:pt idx="612">
                  <c:v>97.016999999999996</c:v>
                </c:pt>
                <c:pt idx="613">
                  <c:v>97.108999999999995</c:v>
                </c:pt>
                <c:pt idx="614">
                  <c:v>97.215000000000003</c:v>
                </c:pt>
                <c:pt idx="615">
                  <c:v>97.234999999999999</c:v>
                </c:pt>
                <c:pt idx="616">
                  <c:v>96.965000000000003</c:v>
                </c:pt>
                <c:pt idx="617">
                  <c:v>96.888000000000005</c:v>
                </c:pt>
                <c:pt idx="618">
                  <c:v>97.164000000000001</c:v>
                </c:pt>
                <c:pt idx="619">
                  <c:v>97.034999999999997</c:v>
                </c:pt>
                <c:pt idx="620">
                  <c:v>97.040999999999997</c:v>
                </c:pt>
                <c:pt idx="621">
                  <c:v>97.04</c:v>
                </c:pt>
                <c:pt idx="622">
                  <c:v>97.019000000000005</c:v>
                </c:pt>
                <c:pt idx="623">
                  <c:v>96.968999999999994</c:v>
                </c:pt>
                <c:pt idx="624">
                  <c:v>97.108000000000004</c:v>
                </c:pt>
                <c:pt idx="625">
                  <c:v>98.259</c:v>
                </c:pt>
                <c:pt idx="626">
                  <c:v>98.26</c:v>
                </c:pt>
                <c:pt idx="627">
                  <c:v>98.247</c:v>
                </c:pt>
                <c:pt idx="628">
                  <c:v>98.403000000000006</c:v>
                </c:pt>
                <c:pt idx="629">
                  <c:v>98.25</c:v>
                </c:pt>
                <c:pt idx="630">
                  <c:v>98.242000000000004</c:v>
                </c:pt>
                <c:pt idx="631">
                  <c:v>98.25</c:v>
                </c:pt>
                <c:pt idx="632">
                  <c:v>98.257000000000005</c:v>
                </c:pt>
                <c:pt idx="633">
                  <c:v>98.251999999999995</c:v>
                </c:pt>
                <c:pt idx="634">
                  <c:v>98.262</c:v>
                </c:pt>
                <c:pt idx="635">
                  <c:v>98.259</c:v>
                </c:pt>
                <c:pt idx="636">
                  <c:v>98.251000000000005</c:v>
                </c:pt>
                <c:pt idx="637">
                  <c:v>98.251000000000005</c:v>
                </c:pt>
                <c:pt idx="638">
                  <c:v>98.257000000000005</c:v>
                </c:pt>
                <c:pt idx="639">
                  <c:v>98.253</c:v>
                </c:pt>
                <c:pt idx="640">
                  <c:v>98.251999999999995</c:v>
                </c:pt>
                <c:pt idx="641">
                  <c:v>98.24</c:v>
                </c:pt>
                <c:pt idx="642">
                  <c:v>98.221000000000004</c:v>
                </c:pt>
                <c:pt idx="643">
                  <c:v>98.257000000000005</c:v>
                </c:pt>
                <c:pt idx="644">
                  <c:v>98.247</c:v>
                </c:pt>
                <c:pt idx="645">
                  <c:v>98.239000000000004</c:v>
                </c:pt>
                <c:pt idx="646">
                  <c:v>98.834999999999994</c:v>
                </c:pt>
                <c:pt idx="647">
                  <c:v>98.897999999999996</c:v>
                </c:pt>
                <c:pt idx="648">
                  <c:v>98.841999999999999</c:v>
                </c:pt>
                <c:pt idx="649">
                  <c:v>98.77</c:v>
                </c:pt>
                <c:pt idx="650">
                  <c:v>98.77</c:v>
                </c:pt>
                <c:pt idx="651">
                  <c:v>98.77</c:v>
                </c:pt>
                <c:pt idx="652">
                  <c:v>98.77</c:v>
                </c:pt>
                <c:pt idx="653">
                  <c:v>98.77</c:v>
                </c:pt>
                <c:pt idx="654">
                  <c:v>98.77</c:v>
                </c:pt>
                <c:pt idx="655">
                  <c:v>98.77</c:v>
                </c:pt>
                <c:pt idx="656">
                  <c:v>98.77</c:v>
                </c:pt>
                <c:pt idx="657">
                  <c:v>98.77</c:v>
                </c:pt>
                <c:pt idx="658">
                  <c:v>98.77</c:v>
                </c:pt>
                <c:pt idx="659">
                  <c:v>98.927000000000007</c:v>
                </c:pt>
                <c:pt idx="660">
                  <c:v>98.927000000000007</c:v>
                </c:pt>
                <c:pt idx="661">
                  <c:v>98.927000000000007</c:v>
                </c:pt>
                <c:pt idx="662">
                  <c:v>98.927000000000007</c:v>
                </c:pt>
                <c:pt idx="663">
                  <c:v>98.927000000000007</c:v>
                </c:pt>
                <c:pt idx="664">
                  <c:v>98.927000000000007</c:v>
                </c:pt>
                <c:pt idx="665">
                  <c:v>98.927000000000007</c:v>
                </c:pt>
                <c:pt idx="666">
                  <c:v>98.927000000000007</c:v>
                </c:pt>
                <c:pt idx="667">
                  <c:v>98.927000000000007</c:v>
                </c:pt>
                <c:pt idx="668">
                  <c:v>98.927000000000007</c:v>
                </c:pt>
                <c:pt idx="669">
                  <c:v>98.927000000000007</c:v>
                </c:pt>
                <c:pt idx="670">
                  <c:v>98.927000000000007</c:v>
                </c:pt>
                <c:pt idx="671">
                  <c:v>99.552000000000007</c:v>
                </c:pt>
                <c:pt idx="672">
                  <c:v>99.552000000000007</c:v>
                </c:pt>
                <c:pt idx="673">
                  <c:v>99.552000000000007</c:v>
                </c:pt>
                <c:pt idx="674">
                  <c:v>99.552000000000007</c:v>
                </c:pt>
                <c:pt idx="675">
                  <c:v>99.552000000000007</c:v>
                </c:pt>
                <c:pt idx="676">
                  <c:v>99.552000000000007</c:v>
                </c:pt>
                <c:pt idx="677">
                  <c:v>99.552000000000007</c:v>
                </c:pt>
                <c:pt idx="678">
                  <c:v>99.552000000000007</c:v>
                </c:pt>
                <c:pt idx="679">
                  <c:v>99.552000000000007</c:v>
                </c:pt>
                <c:pt idx="680">
                  <c:v>99.52</c:v>
                </c:pt>
                <c:pt idx="681">
                  <c:v>99.650999999999996</c:v>
                </c:pt>
                <c:pt idx="682">
                  <c:v>99.650999999999996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7-4801-95D3-84544AC30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3948864"/>
        <c:axId val="1073954144"/>
      </c:lineChart>
      <c:dateAx>
        <c:axId val="10739488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954144"/>
        <c:crosses val="autoZero"/>
        <c:auto val="1"/>
        <c:lblOffset val="100"/>
        <c:baseTimeUnit val="days"/>
      </c:dateAx>
      <c:valAx>
        <c:axId val="10739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94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'Bond pricing'!$F$3</c:f>
              <c:strCache>
                <c:ptCount val="1"/>
                <c:pt idx="0">
                  <c:v>AXIAN Group USD420m Feb 2027</c:v>
                </c:pt>
              </c:strCache>
            </c:strRef>
          </c:tx>
          <c:spPr>
            <a:ln w="28575" cap="rnd">
              <a:solidFill>
                <a:srgbClr val="263238"/>
              </a:solidFill>
              <a:round/>
            </a:ln>
            <a:effectLst/>
          </c:spPr>
          <c:marker>
            <c:symbol val="none"/>
          </c:marker>
          <c:cat>
            <c:numRef>
              <c:f>'Bond pricing'!$E$78:$E$689</c:f>
              <c:numCache>
                <c:formatCode>d\-mmm\-yy</c:formatCode>
                <c:ptCount val="612"/>
                <c:pt idx="0">
                  <c:v>44670</c:v>
                </c:pt>
                <c:pt idx="1">
                  <c:v>44671</c:v>
                </c:pt>
                <c:pt idx="2">
                  <c:v>44672</c:v>
                </c:pt>
                <c:pt idx="3">
                  <c:v>44673</c:v>
                </c:pt>
                <c:pt idx="4">
                  <c:v>44676</c:v>
                </c:pt>
                <c:pt idx="5">
                  <c:v>44677</c:v>
                </c:pt>
                <c:pt idx="6">
                  <c:v>44678</c:v>
                </c:pt>
                <c:pt idx="7">
                  <c:v>44679</c:v>
                </c:pt>
                <c:pt idx="8">
                  <c:v>44680</c:v>
                </c:pt>
                <c:pt idx="9">
                  <c:v>44683</c:v>
                </c:pt>
                <c:pt idx="10">
                  <c:v>44684</c:v>
                </c:pt>
                <c:pt idx="11">
                  <c:v>44685</c:v>
                </c:pt>
                <c:pt idx="12">
                  <c:v>44686</c:v>
                </c:pt>
                <c:pt idx="13">
                  <c:v>44687</c:v>
                </c:pt>
                <c:pt idx="14">
                  <c:v>44690</c:v>
                </c:pt>
                <c:pt idx="15">
                  <c:v>44691</c:v>
                </c:pt>
                <c:pt idx="16">
                  <c:v>44692</c:v>
                </c:pt>
                <c:pt idx="17">
                  <c:v>44693</c:v>
                </c:pt>
                <c:pt idx="18">
                  <c:v>44694</c:v>
                </c:pt>
                <c:pt idx="19">
                  <c:v>44697</c:v>
                </c:pt>
                <c:pt idx="20">
                  <c:v>44698</c:v>
                </c:pt>
                <c:pt idx="21">
                  <c:v>44699</c:v>
                </c:pt>
                <c:pt idx="22">
                  <c:v>44700</c:v>
                </c:pt>
                <c:pt idx="23">
                  <c:v>44701</c:v>
                </c:pt>
                <c:pt idx="24">
                  <c:v>44704</c:v>
                </c:pt>
                <c:pt idx="25">
                  <c:v>44705</c:v>
                </c:pt>
                <c:pt idx="26">
                  <c:v>44706</c:v>
                </c:pt>
                <c:pt idx="27">
                  <c:v>44707</c:v>
                </c:pt>
                <c:pt idx="28">
                  <c:v>44708</c:v>
                </c:pt>
                <c:pt idx="29">
                  <c:v>44712</c:v>
                </c:pt>
                <c:pt idx="30">
                  <c:v>44713</c:v>
                </c:pt>
                <c:pt idx="31">
                  <c:v>44714</c:v>
                </c:pt>
                <c:pt idx="32">
                  <c:v>44715</c:v>
                </c:pt>
                <c:pt idx="33">
                  <c:v>44718</c:v>
                </c:pt>
                <c:pt idx="34">
                  <c:v>44719</c:v>
                </c:pt>
                <c:pt idx="35">
                  <c:v>44720</c:v>
                </c:pt>
                <c:pt idx="36">
                  <c:v>44721</c:v>
                </c:pt>
                <c:pt idx="37">
                  <c:v>44722</c:v>
                </c:pt>
                <c:pt idx="38">
                  <c:v>44725</c:v>
                </c:pt>
                <c:pt idx="39">
                  <c:v>44726</c:v>
                </c:pt>
                <c:pt idx="40">
                  <c:v>44727</c:v>
                </c:pt>
                <c:pt idx="41">
                  <c:v>44728</c:v>
                </c:pt>
                <c:pt idx="42">
                  <c:v>44729</c:v>
                </c:pt>
                <c:pt idx="43">
                  <c:v>44733</c:v>
                </c:pt>
                <c:pt idx="44">
                  <c:v>44734</c:v>
                </c:pt>
                <c:pt idx="45">
                  <c:v>44735</c:v>
                </c:pt>
                <c:pt idx="46">
                  <c:v>44736</c:v>
                </c:pt>
                <c:pt idx="47">
                  <c:v>44739</c:v>
                </c:pt>
                <c:pt idx="48">
                  <c:v>44740</c:v>
                </c:pt>
                <c:pt idx="49">
                  <c:v>44741</c:v>
                </c:pt>
                <c:pt idx="50">
                  <c:v>44742</c:v>
                </c:pt>
                <c:pt idx="51">
                  <c:v>44743</c:v>
                </c:pt>
                <c:pt idx="52">
                  <c:v>44747</c:v>
                </c:pt>
                <c:pt idx="53">
                  <c:v>44748</c:v>
                </c:pt>
                <c:pt idx="54">
                  <c:v>44749</c:v>
                </c:pt>
                <c:pt idx="55">
                  <c:v>44750</c:v>
                </c:pt>
                <c:pt idx="56">
                  <c:v>44753</c:v>
                </c:pt>
                <c:pt idx="57">
                  <c:v>44754</c:v>
                </c:pt>
                <c:pt idx="58">
                  <c:v>44755</c:v>
                </c:pt>
                <c:pt idx="59">
                  <c:v>44756</c:v>
                </c:pt>
                <c:pt idx="60">
                  <c:v>44757</c:v>
                </c:pt>
                <c:pt idx="61">
                  <c:v>44760</c:v>
                </c:pt>
                <c:pt idx="62">
                  <c:v>44761</c:v>
                </c:pt>
                <c:pt idx="63">
                  <c:v>44762</c:v>
                </c:pt>
                <c:pt idx="64">
                  <c:v>44763</c:v>
                </c:pt>
                <c:pt idx="65">
                  <c:v>44764</c:v>
                </c:pt>
                <c:pt idx="66">
                  <c:v>44767</c:v>
                </c:pt>
                <c:pt idx="67">
                  <c:v>44768</c:v>
                </c:pt>
                <c:pt idx="68">
                  <c:v>44769</c:v>
                </c:pt>
                <c:pt idx="69">
                  <c:v>44770</c:v>
                </c:pt>
                <c:pt idx="70">
                  <c:v>44771</c:v>
                </c:pt>
                <c:pt idx="71">
                  <c:v>44774</c:v>
                </c:pt>
                <c:pt idx="72">
                  <c:v>44775</c:v>
                </c:pt>
                <c:pt idx="73">
                  <c:v>44776</c:v>
                </c:pt>
                <c:pt idx="74">
                  <c:v>44777</c:v>
                </c:pt>
                <c:pt idx="75">
                  <c:v>44778</c:v>
                </c:pt>
                <c:pt idx="76">
                  <c:v>44781</c:v>
                </c:pt>
                <c:pt idx="77">
                  <c:v>44782</c:v>
                </c:pt>
                <c:pt idx="78">
                  <c:v>44783</c:v>
                </c:pt>
                <c:pt idx="79">
                  <c:v>44784</c:v>
                </c:pt>
                <c:pt idx="80">
                  <c:v>44785</c:v>
                </c:pt>
                <c:pt idx="81">
                  <c:v>44788</c:v>
                </c:pt>
                <c:pt idx="82">
                  <c:v>44789</c:v>
                </c:pt>
                <c:pt idx="83">
                  <c:v>44790</c:v>
                </c:pt>
                <c:pt idx="84">
                  <c:v>44791</c:v>
                </c:pt>
                <c:pt idx="85">
                  <c:v>44792</c:v>
                </c:pt>
                <c:pt idx="86">
                  <c:v>44795</c:v>
                </c:pt>
                <c:pt idx="87">
                  <c:v>44796</c:v>
                </c:pt>
                <c:pt idx="88">
                  <c:v>44797</c:v>
                </c:pt>
                <c:pt idx="89">
                  <c:v>44798</c:v>
                </c:pt>
                <c:pt idx="90">
                  <c:v>44799</c:v>
                </c:pt>
                <c:pt idx="91">
                  <c:v>44802</c:v>
                </c:pt>
                <c:pt idx="92">
                  <c:v>44803</c:v>
                </c:pt>
                <c:pt idx="93">
                  <c:v>44804</c:v>
                </c:pt>
                <c:pt idx="94">
                  <c:v>44805</c:v>
                </c:pt>
                <c:pt idx="95">
                  <c:v>44806</c:v>
                </c:pt>
                <c:pt idx="96">
                  <c:v>44810</c:v>
                </c:pt>
                <c:pt idx="97">
                  <c:v>44811</c:v>
                </c:pt>
                <c:pt idx="98">
                  <c:v>44812</c:v>
                </c:pt>
                <c:pt idx="99">
                  <c:v>44813</c:v>
                </c:pt>
                <c:pt idx="100">
                  <c:v>44816</c:v>
                </c:pt>
                <c:pt idx="101">
                  <c:v>44817</c:v>
                </c:pt>
                <c:pt idx="102">
                  <c:v>44818</c:v>
                </c:pt>
                <c:pt idx="103">
                  <c:v>44819</c:v>
                </c:pt>
                <c:pt idx="104">
                  <c:v>44820</c:v>
                </c:pt>
                <c:pt idx="105">
                  <c:v>44823</c:v>
                </c:pt>
                <c:pt idx="106">
                  <c:v>44824</c:v>
                </c:pt>
                <c:pt idx="107">
                  <c:v>44825</c:v>
                </c:pt>
                <c:pt idx="108">
                  <c:v>44826</c:v>
                </c:pt>
                <c:pt idx="109">
                  <c:v>44827</c:v>
                </c:pt>
                <c:pt idx="110">
                  <c:v>44830</c:v>
                </c:pt>
                <c:pt idx="111">
                  <c:v>44831</c:v>
                </c:pt>
                <c:pt idx="112">
                  <c:v>44832</c:v>
                </c:pt>
                <c:pt idx="113">
                  <c:v>44833</c:v>
                </c:pt>
                <c:pt idx="114">
                  <c:v>44834</c:v>
                </c:pt>
                <c:pt idx="115">
                  <c:v>44837</c:v>
                </c:pt>
                <c:pt idx="116">
                  <c:v>44838</c:v>
                </c:pt>
                <c:pt idx="117">
                  <c:v>44839</c:v>
                </c:pt>
                <c:pt idx="118">
                  <c:v>44840</c:v>
                </c:pt>
                <c:pt idx="119">
                  <c:v>44841</c:v>
                </c:pt>
                <c:pt idx="120">
                  <c:v>44844</c:v>
                </c:pt>
                <c:pt idx="121">
                  <c:v>44845</c:v>
                </c:pt>
                <c:pt idx="122">
                  <c:v>44846</c:v>
                </c:pt>
                <c:pt idx="123">
                  <c:v>44847</c:v>
                </c:pt>
                <c:pt idx="124">
                  <c:v>44848</c:v>
                </c:pt>
                <c:pt idx="125">
                  <c:v>44851</c:v>
                </c:pt>
                <c:pt idx="126">
                  <c:v>44852</c:v>
                </c:pt>
                <c:pt idx="127">
                  <c:v>44853</c:v>
                </c:pt>
                <c:pt idx="128">
                  <c:v>44854</c:v>
                </c:pt>
                <c:pt idx="129">
                  <c:v>44855</c:v>
                </c:pt>
                <c:pt idx="130">
                  <c:v>44858</c:v>
                </c:pt>
                <c:pt idx="131">
                  <c:v>44859</c:v>
                </c:pt>
                <c:pt idx="132">
                  <c:v>44860</c:v>
                </c:pt>
                <c:pt idx="133">
                  <c:v>44861</c:v>
                </c:pt>
                <c:pt idx="134">
                  <c:v>44862</c:v>
                </c:pt>
                <c:pt idx="135">
                  <c:v>44865</c:v>
                </c:pt>
                <c:pt idx="136">
                  <c:v>44866</c:v>
                </c:pt>
                <c:pt idx="137">
                  <c:v>44867</c:v>
                </c:pt>
                <c:pt idx="138">
                  <c:v>44868</c:v>
                </c:pt>
                <c:pt idx="139">
                  <c:v>44869</c:v>
                </c:pt>
                <c:pt idx="140">
                  <c:v>44872</c:v>
                </c:pt>
                <c:pt idx="141">
                  <c:v>44873</c:v>
                </c:pt>
                <c:pt idx="142">
                  <c:v>44874</c:v>
                </c:pt>
                <c:pt idx="143">
                  <c:v>44875</c:v>
                </c:pt>
                <c:pt idx="144">
                  <c:v>44876</c:v>
                </c:pt>
                <c:pt idx="145">
                  <c:v>44879</c:v>
                </c:pt>
                <c:pt idx="146">
                  <c:v>44880</c:v>
                </c:pt>
                <c:pt idx="147">
                  <c:v>44881</c:v>
                </c:pt>
                <c:pt idx="148">
                  <c:v>44882</c:v>
                </c:pt>
                <c:pt idx="149">
                  <c:v>44883</c:v>
                </c:pt>
                <c:pt idx="150">
                  <c:v>44886</c:v>
                </c:pt>
                <c:pt idx="151">
                  <c:v>44887</c:v>
                </c:pt>
                <c:pt idx="152">
                  <c:v>44888</c:v>
                </c:pt>
                <c:pt idx="153">
                  <c:v>44890</c:v>
                </c:pt>
                <c:pt idx="154">
                  <c:v>44893</c:v>
                </c:pt>
                <c:pt idx="155">
                  <c:v>44894</c:v>
                </c:pt>
                <c:pt idx="156">
                  <c:v>44895</c:v>
                </c:pt>
                <c:pt idx="157">
                  <c:v>44896</c:v>
                </c:pt>
                <c:pt idx="158">
                  <c:v>44897</c:v>
                </c:pt>
                <c:pt idx="159">
                  <c:v>44900</c:v>
                </c:pt>
                <c:pt idx="160">
                  <c:v>44901</c:v>
                </c:pt>
                <c:pt idx="161">
                  <c:v>44902</c:v>
                </c:pt>
                <c:pt idx="162">
                  <c:v>44903</c:v>
                </c:pt>
                <c:pt idx="163">
                  <c:v>44904</c:v>
                </c:pt>
                <c:pt idx="164">
                  <c:v>44907</c:v>
                </c:pt>
                <c:pt idx="165">
                  <c:v>44908</c:v>
                </c:pt>
                <c:pt idx="166">
                  <c:v>44909</c:v>
                </c:pt>
                <c:pt idx="167">
                  <c:v>44910</c:v>
                </c:pt>
                <c:pt idx="168">
                  <c:v>44911</c:v>
                </c:pt>
                <c:pt idx="169">
                  <c:v>44914</c:v>
                </c:pt>
                <c:pt idx="170">
                  <c:v>44915</c:v>
                </c:pt>
                <c:pt idx="171">
                  <c:v>44916</c:v>
                </c:pt>
                <c:pt idx="172">
                  <c:v>44917</c:v>
                </c:pt>
                <c:pt idx="173">
                  <c:v>44918</c:v>
                </c:pt>
                <c:pt idx="174">
                  <c:v>44922</c:v>
                </c:pt>
                <c:pt idx="175">
                  <c:v>44923</c:v>
                </c:pt>
                <c:pt idx="176">
                  <c:v>44924</c:v>
                </c:pt>
                <c:pt idx="177">
                  <c:v>44925</c:v>
                </c:pt>
                <c:pt idx="178">
                  <c:v>44929</c:v>
                </c:pt>
                <c:pt idx="179">
                  <c:v>44930</c:v>
                </c:pt>
                <c:pt idx="180">
                  <c:v>44931</c:v>
                </c:pt>
                <c:pt idx="181">
                  <c:v>44932</c:v>
                </c:pt>
                <c:pt idx="182">
                  <c:v>44935</c:v>
                </c:pt>
                <c:pt idx="183">
                  <c:v>44936</c:v>
                </c:pt>
                <c:pt idx="184">
                  <c:v>44937</c:v>
                </c:pt>
                <c:pt idx="185">
                  <c:v>44938</c:v>
                </c:pt>
                <c:pt idx="186">
                  <c:v>44939</c:v>
                </c:pt>
                <c:pt idx="187">
                  <c:v>44943</c:v>
                </c:pt>
                <c:pt idx="188">
                  <c:v>44944</c:v>
                </c:pt>
                <c:pt idx="189">
                  <c:v>44945</c:v>
                </c:pt>
                <c:pt idx="190">
                  <c:v>44946</c:v>
                </c:pt>
                <c:pt idx="191">
                  <c:v>44949</c:v>
                </c:pt>
                <c:pt idx="192">
                  <c:v>44950</c:v>
                </c:pt>
                <c:pt idx="193">
                  <c:v>44951</c:v>
                </c:pt>
                <c:pt idx="194">
                  <c:v>44952</c:v>
                </c:pt>
                <c:pt idx="195">
                  <c:v>44953</c:v>
                </c:pt>
                <c:pt idx="196">
                  <c:v>44956</c:v>
                </c:pt>
                <c:pt idx="197">
                  <c:v>44957</c:v>
                </c:pt>
                <c:pt idx="198">
                  <c:v>44958</c:v>
                </c:pt>
                <c:pt idx="199">
                  <c:v>44959</c:v>
                </c:pt>
                <c:pt idx="200">
                  <c:v>44960</c:v>
                </c:pt>
                <c:pt idx="201">
                  <c:v>44963</c:v>
                </c:pt>
                <c:pt idx="202">
                  <c:v>44964</c:v>
                </c:pt>
                <c:pt idx="203">
                  <c:v>44965</c:v>
                </c:pt>
                <c:pt idx="204">
                  <c:v>44966</c:v>
                </c:pt>
                <c:pt idx="205">
                  <c:v>44967</c:v>
                </c:pt>
                <c:pt idx="206">
                  <c:v>44970</c:v>
                </c:pt>
                <c:pt idx="207">
                  <c:v>44971</c:v>
                </c:pt>
                <c:pt idx="208">
                  <c:v>44972</c:v>
                </c:pt>
                <c:pt idx="209">
                  <c:v>44973</c:v>
                </c:pt>
                <c:pt idx="210">
                  <c:v>44974</c:v>
                </c:pt>
                <c:pt idx="211">
                  <c:v>44978</c:v>
                </c:pt>
                <c:pt idx="212">
                  <c:v>44979</c:v>
                </c:pt>
                <c:pt idx="213">
                  <c:v>44980</c:v>
                </c:pt>
                <c:pt idx="214">
                  <c:v>44981</c:v>
                </c:pt>
                <c:pt idx="215">
                  <c:v>44984</c:v>
                </c:pt>
                <c:pt idx="216">
                  <c:v>44985</c:v>
                </c:pt>
                <c:pt idx="217">
                  <c:v>44986</c:v>
                </c:pt>
                <c:pt idx="218">
                  <c:v>44987</c:v>
                </c:pt>
                <c:pt idx="219">
                  <c:v>44988</c:v>
                </c:pt>
                <c:pt idx="220">
                  <c:v>44991</c:v>
                </c:pt>
                <c:pt idx="221">
                  <c:v>44992</c:v>
                </c:pt>
                <c:pt idx="222">
                  <c:v>44993</c:v>
                </c:pt>
                <c:pt idx="223">
                  <c:v>44994</c:v>
                </c:pt>
                <c:pt idx="224">
                  <c:v>44995</c:v>
                </c:pt>
                <c:pt idx="225">
                  <c:v>44998</c:v>
                </c:pt>
                <c:pt idx="226">
                  <c:v>44999</c:v>
                </c:pt>
                <c:pt idx="227">
                  <c:v>45000</c:v>
                </c:pt>
                <c:pt idx="228">
                  <c:v>45001</c:v>
                </c:pt>
                <c:pt idx="229">
                  <c:v>45002</c:v>
                </c:pt>
                <c:pt idx="230">
                  <c:v>45005</c:v>
                </c:pt>
                <c:pt idx="231">
                  <c:v>45006</c:v>
                </c:pt>
                <c:pt idx="232">
                  <c:v>45007</c:v>
                </c:pt>
                <c:pt idx="233">
                  <c:v>45008</c:v>
                </c:pt>
                <c:pt idx="234">
                  <c:v>45009</c:v>
                </c:pt>
                <c:pt idx="235">
                  <c:v>45012</c:v>
                </c:pt>
                <c:pt idx="236">
                  <c:v>45013</c:v>
                </c:pt>
                <c:pt idx="237">
                  <c:v>45014</c:v>
                </c:pt>
                <c:pt idx="238">
                  <c:v>45015</c:v>
                </c:pt>
                <c:pt idx="239">
                  <c:v>45016</c:v>
                </c:pt>
                <c:pt idx="240">
                  <c:v>45019</c:v>
                </c:pt>
                <c:pt idx="241">
                  <c:v>45020</c:v>
                </c:pt>
                <c:pt idx="242">
                  <c:v>45021</c:v>
                </c:pt>
                <c:pt idx="243">
                  <c:v>45022</c:v>
                </c:pt>
                <c:pt idx="244">
                  <c:v>45026</c:v>
                </c:pt>
                <c:pt idx="245">
                  <c:v>45027</c:v>
                </c:pt>
                <c:pt idx="246">
                  <c:v>45028</c:v>
                </c:pt>
                <c:pt idx="247">
                  <c:v>45029</c:v>
                </c:pt>
                <c:pt idx="248">
                  <c:v>45030</c:v>
                </c:pt>
                <c:pt idx="249">
                  <c:v>45033</c:v>
                </c:pt>
                <c:pt idx="250">
                  <c:v>45034</c:v>
                </c:pt>
                <c:pt idx="251">
                  <c:v>45035</c:v>
                </c:pt>
                <c:pt idx="252">
                  <c:v>45036</c:v>
                </c:pt>
                <c:pt idx="253">
                  <c:v>45037</c:v>
                </c:pt>
                <c:pt idx="254">
                  <c:v>45040</c:v>
                </c:pt>
                <c:pt idx="255">
                  <c:v>45041</c:v>
                </c:pt>
                <c:pt idx="256">
                  <c:v>45042</c:v>
                </c:pt>
                <c:pt idx="257">
                  <c:v>45043</c:v>
                </c:pt>
                <c:pt idx="258">
                  <c:v>45044</c:v>
                </c:pt>
                <c:pt idx="259">
                  <c:v>45047</c:v>
                </c:pt>
                <c:pt idx="260">
                  <c:v>45048</c:v>
                </c:pt>
                <c:pt idx="261">
                  <c:v>45049</c:v>
                </c:pt>
                <c:pt idx="262">
                  <c:v>45050</c:v>
                </c:pt>
                <c:pt idx="263">
                  <c:v>45051</c:v>
                </c:pt>
                <c:pt idx="264">
                  <c:v>45054</c:v>
                </c:pt>
                <c:pt idx="265">
                  <c:v>45055</c:v>
                </c:pt>
                <c:pt idx="266">
                  <c:v>45056</c:v>
                </c:pt>
                <c:pt idx="267">
                  <c:v>45057</c:v>
                </c:pt>
                <c:pt idx="268">
                  <c:v>45058</c:v>
                </c:pt>
                <c:pt idx="269">
                  <c:v>45061</c:v>
                </c:pt>
                <c:pt idx="270">
                  <c:v>45062</c:v>
                </c:pt>
                <c:pt idx="271">
                  <c:v>45063</c:v>
                </c:pt>
                <c:pt idx="272">
                  <c:v>45064</c:v>
                </c:pt>
                <c:pt idx="273">
                  <c:v>45065</c:v>
                </c:pt>
                <c:pt idx="274">
                  <c:v>45068</c:v>
                </c:pt>
                <c:pt idx="275">
                  <c:v>45069</c:v>
                </c:pt>
                <c:pt idx="276">
                  <c:v>45070</c:v>
                </c:pt>
                <c:pt idx="277">
                  <c:v>45071</c:v>
                </c:pt>
                <c:pt idx="278">
                  <c:v>45072</c:v>
                </c:pt>
                <c:pt idx="279">
                  <c:v>45076</c:v>
                </c:pt>
                <c:pt idx="280">
                  <c:v>45077</c:v>
                </c:pt>
                <c:pt idx="281">
                  <c:v>45078</c:v>
                </c:pt>
                <c:pt idx="282">
                  <c:v>45079</c:v>
                </c:pt>
                <c:pt idx="283">
                  <c:v>45082</c:v>
                </c:pt>
                <c:pt idx="284">
                  <c:v>45083</c:v>
                </c:pt>
                <c:pt idx="285">
                  <c:v>45084</c:v>
                </c:pt>
                <c:pt idx="286">
                  <c:v>45085</c:v>
                </c:pt>
                <c:pt idx="287">
                  <c:v>45086</c:v>
                </c:pt>
                <c:pt idx="288">
                  <c:v>45089</c:v>
                </c:pt>
                <c:pt idx="289">
                  <c:v>45090</c:v>
                </c:pt>
                <c:pt idx="290">
                  <c:v>45091</c:v>
                </c:pt>
                <c:pt idx="291">
                  <c:v>45092</c:v>
                </c:pt>
                <c:pt idx="292">
                  <c:v>45093</c:v>
                </c:pt>
                <c:pt idx="293">
                  <c:v>45097</c:v>
                </c:pt>
                <c:pt idx="294">
                  <c:v>45098</c:v>
                </c:pt>
                <c:pt idx="295">
                  <c:v>45099</c:v>
                </c:pt>
                <c:pt idx="296">
                  <c:v>45100</c:v>
                </c:pt>
                <c:pt idx="297">
                  <c:v>45103</c:v>
                </c:pt>
                <c:pt idx="298">
                  <c:v>45104</c:v>
                </c:pt>
                <c:pt idx="299">
                  <c:v>45105</c:v>
                </c:pt>
                <c:pt idx="300">
                  <c:v>45106</c:v>
                </c:pt>
                <c:pt idx="301">
                  <c:v>45107</c:v>
                </c:pt>
                <c:pt idx="302">
                  <c:v>45110</c:v>
                </c:pt>
                <c:pt idx="303">
                  <c:v>45112</c:v>
                </c:pt>
                <c:pt idx="304">
                  <c:v>45113</c:v>
                </c:pt>
                <c:pt idx="305">
                  <c:v>45114</c:v>
                </c:pt>
                <c:pt idx="306">
                  <c:v>45117</c:v>
                </c:pt>
                <c:pt idx="307">
                  <c:v>45118</c:v>
                </c:pt>
                <c:pt idx="308">
                  <c:v>45119</c:v>
                </c:pt>
                <c:pt idx="309">
                  <c:v>45120</c:v>
                </c:pt>
                <c:pt idx="310">
                  <c:v>45121</c:v>
                </c:pt>
                <c:pt idx="311">
                  <c:v>45124</c:v>
                </c:pt>
                <c:pt idx="312">
                  <c:v>45125</c:v>
                </c:pt>
                <c:pt idx="313">
                  <c:v>45126</c:v>
                </c:pt>
                <c:pt idx="314">
                  <c:v>45127</c:v>
                </c:pt>
                <c:pt idx="315">
                  <c:v>45128</c:v>
                </c:pt>
                <c:pt idx="316">
                  <c:v>45131</c:v>
                </c:pt>
                <c:pt idx="317">
                  <c:v>45132</c:v>
                </c:pt>
                <c:pt idx="318">
                  <c:v>45133</c:v>
                </c:pt>
                <c:pt idx="319">
                  <c:v>45134</c:v>
                </c:pt>
                <c:pt idx="320">
                  <c:v>45135</c:v>
                </c:pt>
                <c:pt idx="321">
                  <c:v>45138</c:v>
                </c:pt>
                <c:pt idx="322">
                  <c:v>45139</c:v>
                </c:pt>
                <c:pt idx="323">
                  <c:v>45140</c:v>
                </c:pt>
                <c:pt idx="324">
                  <c:v>45141</c:v>
                </c:pt>
                <c:pt idx="325">
                  <c:v>45142</c:v>
                </c:pt>
                <c:pt idx="326">
                  <c:v>45145</c:v>
                </c:pt>
                <c:pt idx="327">
                  <c:v>45146</c:v>
                </c:pt>
                <c:pt idx="328">
                  <c:v>45147</c:v>
                </c:pt>
                <c:pt idx="329">
                  <c:v>45148</c:v>
                </c:pt>
                <c:pt idx="330">
                  <c:v>45149</c:v>
                </c:pt>
                <c:pt idx="331">
                  <c:v>45152</c:v>
                </c:pt>
                <c:pt idx="332">
                  <c:v>45153</c:v>
                </c:pt>
                <c:pt idx="333">
                  <c:v>45154</c:v>
                </c:pt>
                <c:pt idx="334">
                  <c:v>45155</c:v>
                </c:pt>
                <c:pt idx="335">
                  <c:v>45156</c:v>
                </c:pt>
                <c:pt idx="336">
                  <c:v>45159</c:v>
                </c:pt>
                <c:pt idx="337">
                  <c:v>45160</c:v>
                </c:pt>
                <c:pt idx="338">
                  <c:v>45161</c:v>
                </c:pt>
                <c:pt idx="339">
                  <c:v>45162</c:v>
                </c:pt>
                <c:pt idx="340">
                  <c:v>45163</c:v>
                </c:pt>
                <c:pt idx="341">
                  <c:v>45166</c:v>
                </c:pt>
                <c:pt idx="342">
                  <c:v>45167</c:v>
                </c:pt>
                <c:pt idx="343">
                  <c:v>45168</c:v>
                </c:pt>
                <c:pt idx="344">
                  <c:v>45169</c:v>
                </c:pt>
                <c:pt idx="345">
                  <c:v>45170</c:v>
                </c:pt>
                <c:pt idx="346">
                  <c:v>45174</c:v>
                </c:pt>
                <c:pt idx="347">
                  <c:v>45175</c:v>
                </c:pt>
                <c:pt idx="348">
                  <c:v>45176</c:v>
                </c:pt>
                <c:pt idx="349">
                  <c:v>45177</c:v>
                </c:pt>
                <c:pt idx="350">
                  <c:v>45180</c:v>
                </c:pt>
                <c:pt idx="351">
                  <c:v>45181</c:v>
                </c:pt>
                <c:pt idx="352">
                  <c:v>45182</c:v>
                </c:pt>
                <c:pt idx="353">
                  <c:v>45183</c:v>
                </c:pt>
                <c:pt idx="354">
                  <c:v>45184</c:v>
                </c:pt>
                <c:pt idx="355">
                  <c:v>45187</c:v>
                </c:pt>
                <c:pt idx="356">
                  <c:v>45188</c:v>
                </c:pt>
                <c:pt idx="357">
                  <c:v>45189</c:v>
                </c:pt>
                <c:pt idx="358">
                  <c:v>45190</c:v>
                </c:pt>
                <c:pt idx="359">
                  <c:v>45191</c:v>
                </c:pt>
                <c:pt idx="360">
                  <c:v>45194</c:v>
                </c:pt>
                <c:pt idx="361">
                  <c:v>45195</c:v>
                </c:pt>
                <c:pt idx="362">
                  <c:v>45196</c:v>
                </c:pt>
                <c:pt idx="363">
                  <c:v>45197</c:v>
                </c:pt>
                <c:pt idx="364">
                  <c:v>45198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45208</c:v>
                </c:pt>
                <c:pt idx="371">
                  <c:v>45209</c:v>
                </c:pt>
                <c:pt idx="372">
                  <c:v>45210</c:v>
                </c:pt>
                <c:pt idx="373">
                  <c:v>45211</c:v>
                </c:pt>
                <c:pt idx="374">
                  <c:v>45212</c:v>
                </c:pt>
                <c:pt idx="375">
                  <c:v>45215</c:v>
                </c:pt>
                <c:pt idx="376">
                  <c:v>45216</c:v>
                </c:pt>
                <c:pt idx="377">
                  <c:v>45217</c:v>
                </c:pt>
                <c:pt idx="378">
                  <c:v>45218</c:v>
                </c:pt>
                <c:pt idx="379">
                  <c:v>45219</c:v>
                </c:pt>
                <c:pt idx="380">
                  <c:v>45222</c:v>
                </c:pt>
                <c:pt idx="381">
                  <c:v>45223</c:v>
                </c:pt>
                <c:pt idx="382">
                  <c:v>45224</c:v>
                </c:pt>
                <c:pt idx="383">
                  <c:v>45225</c:v>
                </c:pt>
                <c:pt idx="384">
                  <c:v>45226</c:v>
                </c:pt>
                <c:pt idx="385">
                  <c:v>45229</c:v>
                </c:pt>
                <c:pt idx="386">
                  <c:v>45230</c:v>
                </c:pt>
                <c:pt idx="387">
                  <c:v>45231</c:v>
                </c:pt>
                <c:pt idx="388">
                  <c:v>45232</c:v>
                </c:pt>
                <c:pt idx="389">
                  <c:v>45233</c:v>
                </c:pt>
                <c:pt idx="390">
                  <c:v>45236</c:v>
                </c:pt>
                <c:pt idx="391">
                  <c:v>45237</c:v>
                </c:pt>
                <c:pt idx="392">
                  <c:v>45238</c:v>
                </c:pt>
                <c:pt idx="393">
                  <c:v>45239</c:v>
                </c:pt>
                <c:pt idx="394">
                  <c:v>45240</c:v>
                </c:pt>
                <c:pt idx="395">
                  <c:v>45243</c:v>
                </c:pt>
                <c:pt idx="396">
                  <c:v>45244</c:v>
                </c:pt>
                <c:pt idx="397">
                  <c:v>45245</c:v>
                </c:pt>
                <c:pt idx="398">
                  <c:v>45246</c:v>
                </c:pt>
                <c:pt idx="399">
                  <c:v>45247</c:v>
                </c:pt>
                <c:pt idx="400">
                  <c:v>45250</c:v>
                </c:pt>
                <c:pt idx="401">
                  <c:v>45251</c:v>
                </c:pt>
                <c:pt idx="402">
                  <c:v>45252</c:v>
                </c:pt>
                <c:pt idx="403">
                  <c:v>45254</c:v>
                </c:pt>
                <c:pt idx="404">
                  <c:v>45257</c:v>
                </c:pt>
                <c:pt idx="405">
                  <c:v>45258</c:v>
                </c:pt>
                <c:pt idx="406">
                  <c:v>45259</c:v>
                </c:pt>
                <c:pt idx="407">
                  <c:v>45260</c:v>
                </c:pt>
                <c:pt idx="408">
                  <c:v>45261</c:v>
                </c:pt>
                <c:pt idx="409">
                  <c:v>45264</c:v>
                </c:pt>
                <c:pt idx="410">
                  <c:v>45265</c:v>
                </c:pt>
                <c:pt idx="411">
                  <c:v>45266</c:v>
                </c:pt>
                <c:pt idx="412">
                  <c:v>45267</c:v>
                </c:pt>
                <c:pt idx="413">
                  <c:v>45268</c:v>
                </c:pt>
                <c:pt idx="414">
                  <c:v>45271</c:v>
                </c:pt>
                <c:pt idx="415">
                  <c:v>45272</c:v>
                </c:pt>
                <c:pt idx="416">
                  <c:v>45273</c:v>
                </c:pt>
                <c:pt idx="417">
                  <c:v>45274</c:v>
                </c:pt>
                <c:pt idx="418">
                  <c:v>45275</c:v>
                </c:pt>
                <c:pt idx="419">
                  <c:v>45278</c:v>
                </c:pt>
                <c:pt idx="420">
                  <c:v>45279</c:v>
                </c:pt>
                <c:pt idx="421">
                  <c:v>45280</c:v>
                </c:pt>
                <c:pt idx="422">
                  <c:v>45281</c:v>
                </c:pt>
                <c:pt idx="423">
                  <c:v>45282</c:v>
                </c:pt>
                <c:pt idx="424">
                  <c:v>45286</c:v>
                </c:pt>
                <c:pt idx="425">
                  <c:v>45287</c:v>
                </c:pt>
                <c:pt idx="426">
                  <c:v>45288</c:v>
                </c:pt>
                <c:pt idx="427">
                  <c:v>45289</c:v>
                </c:pt>
                <c:pt idx="428">
                  <c:v>45293</c:v>
                </c:pt>
                <c:pt idx="429">
                  <c:v>45294</c:v>
                </c:pt>
                <c:pt idx="430">
                  <c:v>45295</c:v>
                </c:pt>
                <c:pt idx="431">
                  <c:v>45296</c:v>
                </c:pt>
                <c:pt idx="432">
                  <c:v>45299</c:v>
                </c:pt>
                <c:pt idx="433">
                  <c:v>45300</c:v>
                </c:pt>
                <c:pt idx="434">
                  <c:v>45301</c:v>
                </c:pt>
                <c:pt idx="435">
                  <c:v>45302</c:v>
                </c:pt>
                <c:pt idx="436">
                  <c:v>45303</c:v>
                </c:pt>
                <c:pt idx="437">
                  <c:v>45307</c:v>
                </c:pt>
                <c:pt idx="438">
                  <c:v>45308</c:v>
                </c:pt>
                <c:pt idx="439">
                  <c:v>45309</c:v>
                </c:pt>
                <c:pt idx="440">
                  <c:v>45310</c:v>
                </c:pt>
                <c:pt idx="441">
                  <c:v>45313</c:v>
                </c:pt>
                <c:pt idx="442">
                  <c:v>45314</c:v>
                </c:pt>
                <c:pt idx="443">
                  <c:v>45315</c:v>
                </c:pt>
                <c:pt idx="444">
                  <c:v>45316</c:v>
                </c:pt>
                <c:pt idx="445">
                  <c:v>45317</c:v>
                </c:pt>
                <c:pt idx="446">
                  <c:v>45320</c:v>
                </c:pt>
                <c:pt idx="447">
                  <c:v>45321</c:v>
                </c:pt>
                <c:pt idx="448">
                  <c:v>45322</c:v>
                </c:pt>
                <c:pt idx="449">
                  <c:v>45323</c:v>
                </c:pt>
                <c:pt idx="450">
                  <c:v>45324</c:v>
                </c:pt>
                <c:pt idx="451">
                  <c:v>45327</c:v>
                </c:pt>
                <c:pt idx="452">
                  <c:v>45328</c:v>
                </c:pt>
                <c:pt idx="453">
                  <c:v>45329</c:v>
                </c:pt>
                <c:pt idx="454">
                  <c:v>45330</c:v>
                </c:pt>
                <c:pt idx="455">
                  <c:v>45331</c:v>
                </c:pt>
                <c:pt idx="456">
                  <c:v>45334</c:v>
                </c:pt>
                <c:pt idx="457">
                  <c:v>45335</c:v>
                </c:pt>
                <c:pt idx="458">
                  <c:v>45336</c:v>
                </c:pt>
                <c:pt idx="459">
                  <c:v>45337</c:v>
                </c:pt>
                <c:pt idx="460">
                  <c:v>45338</c:v>
                </c:pt>
                <c:pt idx="461">
                  <c:v>45342</c:v>
                </c:pt>
                <c:pt idx="462">
                  <c:v>45343</c:v>
                </c:pt>
                <c:pt idx="463">
                  <c:v>45344</c:v>
                </c:pt>
                <c:pt idx="464">
                  <c:v>45345</c:v>
                </c:pt>
                <c:pt idx="465">
                  <c:v>45348</c:v>
                </c:pt>
                <c:pt idx="466">
                  <c:v>45349</c:v>
                </c:pt>
                <c:pt idx="467">
                  <c:v>45350</c:v>
                </c:pt>
                <c:pt idx="468">
                  <c:v>45351</c:v>
                </c:pt>
                <c:pt idx="469">
                  <c:v>45352</c:v>
                </c:pt>
                <c:pt idx="470">
                  <c:v>45355</c:v>
                </c:pt>
                <c:pt idx="471">
                  <c:v>45356</c:v>
                </c:pt>
                <c:pt idx="472">
                  <c:v>45357</c:v>
                </c:pt>
                <c:pt idx="473">
                  <c:v>45358</c:v>
                </c:pt>
                <c:pt idx="474">
                  <c:v>45359</c:v>
                </c:pt>
                <c:pt idx="475">
                  <c:v>45362</c:v>
                </c:pt>
                <c:pt idx="476">
                  <c:v>45363</c:v>
                </c:pt>
                <c:pt idx="477">
                  <c:v>45364</c:v>
                </c:pt>
                <c:pt idx="478">
                  <c:v>45365</c:v>
                </c:pt>
                <c:pt idx="479">
                  <c:v>45366</c:v>
                </c:pt>
                <c:pt idx="480">
                  <c:v>45369</c:v>
                </c:pt>
                <c:pt idx="481">
                  <c:v>45370</c:v>
                </c:pt>
                <c:pt idx="482">
                  <c:v>45371</c:v>
                </c:pt>
                <c:pt idx="483">
                  <c:v>45372</c:v>
                </c:pt>
                <c:pt idx="484">
                  <c:v>45373</c:v>
                </c:pt>
                <c:pt idx="485">
                  <c:v>45376</c:v>
                </c:pt>
                <c:pt idx="486">
                  <c:v>45377</c:v>
                </c:pt>
                <c:pt idx="487">
                  <c:v>45378</c:v>
                </c:pt>
                <c:pt idx="488">
                  <c:v>45379</c:v>
                </c:pt>
                <c:pt idx="489">
                  <c:v>45383</c:v>
                </c:pt>
                <c:pt idx="490">
                  <c:v>45384</c:v>
                </c:pt>
                <c:pt idx="491">
                  <c:v>45385</c:v>
                </c:pt>
                <c:pt idx="492">
                  <c:v>45386</c:v>
                </c:pt>
                <c:pt idx="493">
                  <c:v>45387</c:v>
                </c:pt>
                <c:pt idx="494">
                  <c:v>45390</c:v>
                </c:pt>
                <c:pt idx="495">
                  <c:v>45391</c:v>
                </c:pt>
                <c:pt idx="496">
                  <c:v>45392</c:v>
                </c:pt>
                <c:pt idx="497">
                  <c:v>45393</c:v>
                </c:pt>
                <c:pt idx="498">
                  <c:v>45394</c:v>
                </c:pt>
                <c:pt idx="499">
                  <c:v>45397</c:v>
                </c:pt>
                <c:pt idx="500">
                  <c:v>45398</c:v>
                </c:pt>
                <c:pt idx="501">
                  <c:v>45399</c:v>
                </c:pt>
                <c:pt idx="502">
                  <c:v>45400</c:v>
                </c:pt>
                <c:pt idx="503">
                  <c:v>45401</c:v>
                </c:pt>
                <c:pt idx="504">
                  <c:v>45404</c:v>
                </c:pt>
                <c:pt idx="505">
                  <c:v>45405</c:v>
                </c:pt>
                <c:pt idx="506">
                  <c:v>45406</c:v>
                </c:pt>
                <c:pt idx="507">
                  <c:v>45407</c:v>
                </c:pt>
                <c:pt idx="508">
                  <c:v>45408</c:v>
                </c:pt>
                <c:pt idx="509">
                  <c:v>45411</c:v>
                </c:pt>
                <c:pt idx="510">
                  <c:v>45412</c:v>
                </c:pt>
                <c:pt idx="511">
                  <c:v>45413</c:v>
                </c:pt>
                <c:pt idx="512">
                  <c:v>45414</c:v>
                </c:pt>
                <c:pt idx="513">
                  <c:v>45415</c:v>
                </c:pt>
                <c:pt idx="514">
                  <c:v>45418</c:v>
                </c:pt>
                <c:pt idx="515">
                  <c:v>45419</c:v>
                </c:pt>
                <c:pt idx="516">
                  <c:v>45420</c:v>
                </c:pt>
                <c:pt idx="517">
                  <c:v>45421</c:v>
                </c:pt>
                <c:pt idx="518">
                  <c:v>45422</c:v>
                </c:pt>
                <c:pt idx="519">
                  <c:v>45425</c:v>
                </c:pt>
                <c:pt idx="520">
                  <c:v>45426</c:v>
                </c:pt>
                <c:pt idx="521">
                  <c:v>45427</c:v>
                </c:pt>
                <c:pt idx="522">
                  <c:v>45428</c:v>
                </c:pt>
                <c:pt idx="523">
                  <c:v>45429</c:v>
                </c:pt>
                <c:pt idx="524">
                  <c:v>45432</c:v>
                </c:pt>
                <c:pt idx="525">
                  <c:v>45433</c:v>
                </c:pt>
                <c:pt idx="526">
                  <c:v>45434</c:v>
                </c:pt>
                <c:pt idx="527">
                  <c:v>45435</c:v>
                </c:pt>
                <c:pt idx="528">
                  <c:v>45436</c:v>
                </c:pt>
                <c:pt idx="529">
                  <c:v>45440</c:v>
                </c:pt>
                <c:pt idx="530">
                  <c:v>45441</c:v>
                </c:pt>
                <c:pt idx="531">
                  <c:v>45442</c:v>
                </c:pt>
                <c:pt idx="532">
                  <c:v>45443</c:v>
                </c:pt>
                <c:pt idx="533">
                  <c:v>45446</c:v>
                </c:pt>
                <c:pt idx="534">
                  <c:v>45447</c:v>
                </c:pt>
                <c:pt idx="535">
                  <c:v>45448</c:v>
                </c:pt>
                <c:pt idx="536">
                  <c:v>45449</c:v>
                </c:pt>
                <c:pt idx="537">
                  <c:v>45450</c:v>
                </c:pt>
                <c:pt idx="538">
                  <c:v>45453</c:v>
                </c:pt>
                <c:pt idx="539">
                  <c:v>45454</c:v>
                </c:pt>
                <c:pt idx="540">
                  <c:v>45455</c:v>
                </c:pt>
                <c:pt idx="541">
                  <c:v>45456</c:v>
                </c:pt>
                <c:pt idx="542">
                  <c:v>45457</c:v>
                </c:pt>
                <c:pt idx="543">
                  <c:v>45460</c:v>
                </c:pt>
                <c:pt idx="544">
                  <c:v>45461</c:v>
                </c:pt>
                <c:pt idx="545">
                  <c:v>45463</c:v>
                </c:pt>
                <c:pt idx="546">
                  <c:v>45464</c:v>
                </c:pt>
                <c:pt idx="547">
                  <c:v>45467</c:v>
                </c:pt>
                <c:pt idx="548">
                  <c:v>45468</c:v>
                </c:pt>
                <c:pt idx="549">
                  <c:v>45469</c:v>
                </c:pt>
                <c:pt idx="550">
                  <c:v>45470</c:v>
                </c:pt>
                <c:pt idx="551">
                  <c:v>45471</c:v>
                </c:pt>
                <c:pt idx="552">
                  <c:v>45474</c:v>
                </c:pt>
                <c:pt idx="553">
                  <c:v>45475</c:v>
                </c:pt>
                <c:pt idx="554">
                  <c:v>45476</c:v>
                </c:pt>
                <c:pt idx="555">
                  <c:v>45478</c:v>
                </c:pt>
                <c:pt idx="556">
                  <c:v>45481</c:v>
                </c:pt>
                <c:pt idx="557">
                  <c:v>45482</c:v>
                </c:pt>
                <c:pt idx="558">
                  <c:v>45483</c:v>
                </c:pt>
                <c:pt idx="559">
                  <c:v>45484</c:v>
                </c:pt>
                <c:pt idx="560">
                  <c:v>45485</c:v>
                </c:pt>
                <c:pt idx="561">
                  <c:v>45488</c:v>
                </c:pt>
                <c:pt idx="562">
                  <c:v>45489</c:v>
                </c:pt>
                <c:pt idx="563">
                  <c:v>45490</c:v>
                </c:pt>
                <c:pt idx="564">
                  <c:v>45491</c:v>
                </c:pt>
                <c:pt idx="565">
                  <c:v>45492</c:v>
                </c:pt>
                <c:pt idx="566">
                  <c:v>45495</c:v>
                </c:pt>
                <c:pt idx="567">
                  <c:v>45496</c:v>
                </c:pt>
                <c:pt idx="568">
                  <c:v>45497</c:v>
                </c:pt>
                <c:pt idx="569">
                  <c:v>45498</c:v>
                </c:pt>
                <c:pt idx="570">
                  <c:v>45499</c:v>
                </c:pt>
                <c:pt idx="571">
                  <c:v>45502</c:v>
                </c:pt>
                <c:pt idx="572">
                  <c:v>45503</c:v>
                </c:pt>
                <c:pt idx="573">
                  <c:v>45504</c:v>
                </c:pt>
                <c:pt idx="574">
                  <c:v>45505</c:v>
                </c:pt>
                <c:pt idx="575">
                  <c:v>45506</c:v>
                </c:pt>
                <c:pt idx="576">
                  <c:v>45509</c:v>
                </c:pt>
                <c:pt idx="577">
                  <c:v>45510</c:v>
                </c:pt>
                <c:pt idx="578">
                  <c:v>45511</c:v>
                </c:pt>
                <c:pt idx="579">
                  <c:v>45512</c:v>
                </c:pt>
                <c:pt idx="580">
                  <c:v>45513</c:v>
                </c:pt>
                <c:pt idx="581">
                  <c:v>45516</c:v>
                </c:pt>
                <c:pt idx="582">
                  <c:v>45517</c:v>
                </c:pt>
                <c:pt idx="583">
                  <c:v>45518</c:v>
                </c:pt>
                <c:pt idx="584">
                  <c:v>45519</c:v>
                </c:pt>
                <c:pt idx="585">
                  <c:v>45520</c:v>
                </c:pt>
                <c:pt idx="586">
                  <c:v>45523</c:v>
                </c:pt>
                <c:pt idx="587">
                  <c:v>45524</c:v>
                </c:pt>
                <c:pt idx="588">
                  <c:v>45525</c:v>
                </c:pt>
                <c:pt idx="589">
                  <c:v>45526</c:v>
                </c:pt>
                <c:pt idx="590">
                  <c:v>45527</c:v>
                </c:pt>
                <c:pt idx="591">
                  <c:v>45530</c:v>
                </c:pt>
                <c:pt idx="592">
                  <c:v>45531</c:v>
                </c:pt>
                <c:pt idx="593">
                  <c:v>45532</c:v>
                </c:pt>
                <c:pt idx="594">
                  <c:v>45533</c:v>
                </c:pt>
                <c:pt idx="595">
                  <c:v>45534</c:v>
                </c:pt>
                <c:pt idx="596">
                  <c:v>45538</c:v>
                </c:pt>
                <c:pt idx="597">
                  <c:v>45539</c:v>
                </c:pt>
                <c:pt idx="598">
                  <c:v>45540</c:v>
                </c:pt>
                <c:pt idx="599">
                  <c:v>45541</c:v>
                </c:pt>
                <c:pt idx="600">
                  <c:v>45544</c:v>
                </c:pt>
                <c:pt idx="601">
                  <c:v>45545</c:v>
                </c:pt>
                <c:pt idx="602">
                  <c:v>45546</c:v>
                </c:pt>
                <c:pt idx="603">
                  <c:v>45547</c:v>
                </c:pt>
                <c:pt idx="604">
                  <c:v>45548</c:v>
                </c:pt>
                <c:pt idx="605">
                  <c:v>45551</c:v>
                </c:pt>
                <c:pt idx="606">
                  <c:v>45552</c:v>
                </c:pt>
                <c:pt idx="607">
                  <c:v>45553</c:v>
                </c:pt>
                <c:pt idx="608">
                  <c:v>45554</c:v>
                </c:pt>
                <c:pt idx="609">
                  <c:v>45555</c:v>
                </c:pt>
                <c:pt idx="610">
                  <c:v>45558</c:v>
                </c:pt>
                <c:pt idx="611">
                  <c:v>45559</c:v>
                </c:pt>
              </c:numCache>
            </c:numRef>
          </c:cat>
          <c:val>
            <c:numRef>
              <c:f>'Bond pricing'!$F$78:$F$689</c:f>
              <c:numCache>
                <c:formatCode>0.0%;\(0.0%\);\-</c:formatCode>
                <c:ptCount val="612"/>
                <c:pt idx="0">
                  <c:v>8.0567285629381591E-2</c:v>
                </c:pt>
                <c:pt idx="1">
                  <c:v>8.0570253619057106E-2</c:v>
                </c:pt>
                <c:pt idx="2">
                  <c:v>8.0743985142732608E-2</c:v>
                </c:pt>
                <c:pt idx="3">
                  <c:v>8.0899895782126696E-2</c:v>
                </c:pt>
                <c:pt idx="4">
                  <c:v>8.1111956269712598E-2</c:v>
                </c:pt>
                <c:pt idx="5">
                  <c:v>8.0982769965788806E-2</c:v>
                </c:pt>
                <c:pt idx="6">
                  <c:v>8.1259044196464403E-2</c:v>
                </c:pt>
                <c:pt idx="7">
                  <c:v>8.1262453608287502E-2</c:v>
                </c:pt>
                <c:pt idx="8">
                  <c:v>8.1265878798271296E-2</c:v>
                </c:pt>
                <c:pt idx="9">
                  <c:v>8.1466726468625114E-2</c:v>
                </c:pt>
                <c:pt idx="10">
                  <c:v>8.1799645775182506E-2</c:v>
                </c:pt>
                <c:pt idx="11">
                  <c:v>8.1685663554011204E-2</c:v>
                </c:pt>
                <c:pt idx="12">
                  <c:v>8.1689378505930693E-2</c:v>
                </c:pt>
                <c:pt idx="13">
                  <c:v>8.2445887481183797E-2</c:v>
                </c:pt>
                <c:pt idx="14">
                  <c:v>8.3074953555234893E-2</c:v>
                </c:pt>
                <c:pt idx="15">
                  <c:v>8.3412392106730196E-2</c:v>
                </c:pt>
                <c:pt idx="16">
                  <c:v>8.3544083787977202E-2</c:v>
                </c:pt>
                <c:pt idx="17">
                  <c:v>8.3405810788547807E-2</c:v>
                </c:pt>
                <c:pt idx="18">
                  <c:v>8.3474053010667806E-2</c:v>
                </c:pt>
                <c:pt idx="19">
                  <c:v>8.3339741020482E-2</c:v>
                </c:pt>
                <c:pt idx="20">
                  <c:v>8.3344441058328403E-2</c:v>
                </c:pt>
                <c:pt idx="21">
                  <c:v>8.3651916010069508E-2</c:v>
                </c:pt>
                <c:pt idx="22">
                  <c:v>8.3890921803391902E-2</c:v>
                </c:pt>
                <c:pt idx="23">
                  <c:v>8.3895939517606391E-2</c:v>
                </c:pt>
                <c:pt idx="24">
                  <c:v>8.4199358307320796E-2</c:v>
                </c:pt>
                <c:pt idx="25">
                  <c:v>8.3958895533813097E-2</c:v>
                </c:pt>
                <c:pt idx="26">
                  <c:v>8.4135000278406688E-2</c:v>
                </c:pt>
                <c:pt idx="27">
                  <c:v>8.4140234754507492E-2</c:v>
                </c:pt>
                <c:pt idx="28">
                  <c:v>8.4145488030670207E-2</c:v>
                </c:pt>
                <c:pt idx="29">
                  <c:v>8.384950466463939E-2</c:v>
                </c:pt>
                <c:pt idx="30">
                  <c:v>8.3652658309642497E-2</c:v>
                </c:pt>
                <c:pt idx="31">
                  <c:v>8.41720376386101E-2</c:v>
                </c:pt>
                <c:pt idx="32">
                  <c:v>8.4177404452301902E-2</c:v>
                </c:pt>
                <c:pt idx="33">
                  <c:v>8.3734605303394508E-2</c:v>
                </c:pt>
                <c:pt idx="34">
                  <c:v>8.386326003503021E-2</c:v>
                </c:pt>
                <c:pt idx="35">
                  <c:v>8.3688692831648995E-2</c:v>
                </c:pt>
                <c:pt idx="36">
                  <c:v>8.4484691883719695E-2</c:v>
                </c:pt>
                <c:pt idx="37">
                  <c:v>8.7813532993958499E-2</c:v>
                </c:pt>
                <c:pt idx="38">
                  <c:v>8.3714995285685212E-2</c:v>
                </c:pt>
                <c:pt idx="39">
                  <c:v>8.3300857633299502E-2</c:v>
                </c:pt>
                <c:pt idx="40">
                  <c:v>8.3655646850568199E-2</c:v>
                </c:pt>
                <c:pt idx="41">
                  <c:v>8.3790284781842986E-2</c:v>
                </c:pt>
                <c:pt idx="42">
                  <c:v>8.3434690408607307E-2</c:v>
                </c:pt>
                <c:pt idx="43">
                  <c:v>8.4277299051368604E-2</c:v>
                </c:pt>
                <c:pt idx="44">
                  <c:v>8.4283033953038003E-2</c:v>
                </c:pt>
                <c:pt idx="45">
                  <c:v>8.4028750346705094E-2</c:v>
                </c:pt>
                <c:pt idx="46">
                  <c:v>8.416443791103051E-2</c:v>
                </c:pt>
                <c:pt idx="47">
                  <c:v>8.4583770901880101E-2</c:v>
                </c:pt>
                <c:pt idx="48">
                  <c:v>8.4867463475007801E-2</c:v>
                </c:pt>
                <c:pt idx="49">
                  <c:v>8.5966686456946703E-2</c:v>
                </c:pt>
                <c:pt idx="50">
                  <c:v>8.4879795974474898E-2</c:v>
                </c:pt>
                <c:pt idx="51">
                  <c:v>8.4885992971308499E-2</c:v>
                </c:pt>
                <c:pt idx="52">
                  <c:v>8.4359398076956305E-2</c:v>
                </c:pt>
                <c:pt idx="53">
                  <c:v>8.6829717642544602E-2</c:v>
                </c:pt>
                <c:pt idx="54">
                  <c:v>8.8249982357741993E-2</c:v>
                </c:pt>
                <c:pt idx="55">
                  <c:v>8.6039115783103901E-2</c:v>
                </c:pt>
                <c:pt idx="56">
                  <c:v>8.5454342854290988E-2</c:v>
                </c:pt>
                <c:pt idx="57">
                  <c:v>9.0289574199201098E-2</c:v>
                </c:pt>
                <c:pt idx="58">
                  <c:v>8.8996939846004999E-2</c:v>
                </c:pt>
                <c:pt idx="59">
                  <c:v>9.2018274136395295E-2</c:v>
                </c:pt>
                <c:pt idx="60">
                  <c:v>9.2919031785852799E-2</c:v>
                </c:pt>
                <c:pt idx="61">
                  <c:v>9.3580276268228707E-2</c:v>
                </c:pt>
                <c:pt idx="62">
                  <c:v>9.1140951245646404E-2</c:v>
                </c:pt>
                <c:pt idx="63">
                  <c:v>8.9552179448529598E-2</c:v>
                </c:pt>
                <c:pt idx="64">
                  <c:v>0.104337077394465</c:v>
                </c:pt>
                <c:pt idx="65">
                  <c:v>0.10394433098313399</c:v>
                </c:pt>
                <c:pt idx="66">
                  <c:v>9.2912375490820001E-2</c:v>
                </c:pt>
                <c:pt idx="67">
                  <c:v>9.2923267461496109E-2</c:v>
                </c:pt>
                <c:pt idx="68">
                  <c:v>9.3594768224207703E-2</c:v>
                </c:pt>
                <c:pt idx="69">
                  <c:v>0.10390906107423299</c:v>
                </c:pt>
                <c:pt idx="70">
                  <c:v>9.6206942671207288E-2</c:v>
                </c:pt>
                <c:pt idx="71">
                  <c:v>9.0310324782657894E-2</c:v>
                </c:pt>
                <c:pt idx="72">
                  <c:v>9.0234767352054407E-2</c:v>
                </c:pt>
                <c:pt idx="73">
                  <c:v>0.101733682770179</c:v>
                </c:pt>
                <c:pt idx="74">
                  <c:v>0.10944235909067</c:v>
                </c:pt>
                <c:pt idx="75">
                  <c:v>0.109462327197451</c:v>
                </c:pt>
                <c:pt idx="76">
                  <c:v>0.109522498484589</c:v>
                </c:pt>
                <c:pt idx="77">
                  <c:v>8.6317718275023103E-2</c:v>
                </c:pt>
                <c:pt idx="78">
                  <c:v>9.8931482887473193E-2</c:v>
                </c:pt>
                <c:pt idx="79">
                  <c:v>0.100315117078243</c:v>
                </c:pt>
                <c:pt idx="80">
                  <c:v>9.931703344912951E-2</c:v>
                </c:pt>
                <c:pt idx="81">
                  <c:v>9.7079812400616902E-2</c:v>
                </c:pt>
                <c:pt idx="82">
                  <c:v>9.6504328496432007E-2</c:v>
                </c:pt>
                <c:pt idx="83">
                  <c:v>9.6514815673851298E-2</c:v>
                </c:pt>
                <c:pt idx="84">
                  <c:v>9.6525331435156791E-2</c:v>
                </c:pt>
                <c:pt idx="85">
                  <c:v>9.7332732653147694E-2</c:v>
                </c:pt>
                <c:pt idx="86">
                  <c:v>9.7365744516809197E-2</c:v>
                </c:pt>
                <c:pt idx="87">
                  <c:v>9.7376807486146008E-2</c:v>
                </c:pt>
                <c:pt idx="88">
                  <c:v>9.7387900060186508E-2</c:v>
                </c:pt>
                <c:pt idx="89">
                  <c:v>9.7399022297580989E-2</c:v>
                </c:pt>
                <c:pt idx="90">
                  <c:v>9.7410174257157089E-2</c:v>
                </c:pt>
                <c:pt idx="91">
                  <c:v>9.7443809059898912E-2</c:v>
                </c:pt>
                <c:pt idx="92">
                  <c:v>9.7455080500016805E-2</c:v>
                </c:pt>
                <c:pt idx="93">
                  <c:v>9.7394180265225797E-2</c:v>
                </c:pt>
                <c:pt idx="94">
                  <c:v>9.7466381959117804E-2</c:v>
                </c:pt>
                <c:pt idx="95">
                  <c:v>9.7477713497099008E-2</c:v>
                </c:pt>
                <c:pt idx="96">
                  <c:v>9.7523341642145212E-2</c:v>
                </c:pt>
                <c:pt idx="97">
                  <c:v>9.7504988088862293E-2</c:v>
                </c:pt>
                <c:pt idx="98">
                  <c:v>9.7516486016269305E-2</c:v>
                </c:pt>
                <c:pt idx="99">
                  <c:v>9.7528014420812686E-2</c:v>
                </c:pt>
                <c:pt idx="100">
                  <c:v>9.7562783111261805E-2</c:v>
                </c:pt>
                <c:pt idx="101">
                  <c:v>9.7784020279482908E-2</c:v>
                </c:pt>
                <c:pt idx="102">
                  <c:v>9.7795810601573996E-2</c:v>
                </c:pt>
                <c:pt idx="103">
                  <c:v>9.7807631956922894E-2</c:v>
                </c:pt>
                <c:pt idx="104">
                  <c:v>0.10005064342518001</c:v>
                </c:pt>
                <c:pt idx="105">
                  <c:v>0.100089874110253</c:v>
                </c:pt>
                <c:pt idx="106">
                  <c:v>9.9557124921294995E-2</c:v>
                </c:pt>
                <c:pt idx="107">
                  <c:v>9.9570016694079791E-2</c:v>
                </c:pt>
                <c:pt idx="108">
                  <c:v>9.9916733970248708E-2</c:v>
                </c:pt>
                <c:pt idx="109">
                  <c:v>9.9929866571745407E-2</c:v>
                </c:pt>
                <c:pt idx="110">
                  <c:v>9.9969465228808604E-2</c:v>
                </c:pt>
                <c:pt idx="111">
                  <c:v>0.101663547330741</c:v>
                </c:pt>
                <c:pt idx="112">
                  <c:v>0.101677732995757</c:v>
                </c:pt>
                <c:pt idx="113">
                  <c:v>9.95526408963643E-2</c:v>
                </c:pt>
                <c:pt idx="114">
                  <c:v>0.100327892272273</c:v>
                </c:pt>
                <c:pt idx="115">
                  <c:v>0.100368684992323</c:v>
                </c:pt>
                <c:pt idx="116">
                  <c:v>9.9618611060850515E-2</c:v>
                </c:pt>
                <c:pt idx="117">
                  <c:v>0.101162777209823</c:v>
                </c:pt>
                <c:pt idx="118">
                  <c:v>0.10117692024918699</c:v>
                </c:pt>
                <c:pt idx="119">
                  <c:v>9.9658597915134012E-2</c:v>
                </c:pt>
                <c:pt idx="120">
                  <c:v>0.102779211577628</c:v>
                </c:pt>
                <c:pt idx="121">
                  <c:v>0.10591851999815299</c:v>
                </c:pt>
                <c:pt idx="122">
                  <c:v>0.10593537695337901</c:v>
                </c:pt>
                <c:pt idx="123">
                  <c:v>0.104774439778996</c:v>
                </c:pt>
                <c:pt idx="124">
                  <c:v>0.10754999288072301</c:v>
                </c:pt>
                <c:pt idx="125">
                  <c:v>0.10444778657765999</c:v>
                </c:pt>
                <c:pt idx="126">
                  <c:v>0.10368140337072999</c:v>
                </c:pt>
                <c:pt idx="127">
                  <c:v>0.10923559762938301</c:v>
                </c:pt>
                <c:pt idx="128">
                  <c:v>0.107657585159357</c:v>
                </c:pt>
                <c:pt idx="129">
                  <c:v>0.110882380828938</c:v>
                </c:pt>
                <c:pt idx="130">
                  <c:v>0.111346750415918</c:v>
                </c:pt>
                <c:pt idx="131">
                  <c:v>0.111366967265878</c:v>
                </c:pt>
                <c:pt idx="132">
                  <c:v>0.11017407162399601</c:v>
                </c:pt>
                <c:pt idx="133">
                  <c:v>0.110597619124121</c:v>
                </c:pt>
                <c:pt idx="134">
                  <c:v>0.117597680362757</c:v>
                </c:pt>
                <c:pt idx="135">
                  <c:v>0.11757690076391601</c:v>
                </c:pt>
                <c:pt idx="136">
                  <c:v>0.11514438615785201</c:v>
                </c:pt>
                <c:pt idx="137">
                  <c:v>0.113552659871483</c:v>
                </c:pt>
                <c:pt idx="138">
                  <c:v>0.113574372056365</c:v>
                </c:pt>
                <c:pt idx="139">
                  <c:v>0.11277592533000601</c:v>
                </c:pt>
                <c:pt idx="140">
                  <c:v>0.111613212236399</c:v>
                </c:pt>
                <c:pt idx="141">
                  <c:v>0.113272300509179</c:v>
                </c:pt>
                <c:pt idx="142">
                  <c:v>0.112883207473641</c:v>
                </c:pt>
                <c:pt idx="143">
                  <c:v>0.113727740074545</c:v>
                </c:pt>
                <c:pt idx="144">
                  <c:v>0.112926462536984</c:v>
                </c:pt>
                <c:pt idx="145">
                  <c:v>0.112991714475856</c:v>
                </c:pt>
                <c:pt idx="146">
                  <c:v>0.11383878432428199</c:v>
                </c:pt>
                <c:pt idx="147">
                  <c:v>0.11303546326733099</c:v>
                </c:pt>
                <c:pt idx="148">
                  <c:v>0.113883554617785</c:v>
                </c:pt>
                <c:pt idx="149">
                  <c:v>0.11515141551621801</c:v>
                </c:pt>
                <c:pt idx="150">
                  <c:v>0.11984120731981801</c:v>
                </c:pt>
                <c:pt idx="151">
                  <c:v>0.119867167296687</c:v>
                </c:pt>
                <c:pt idx="152">
                  <c:v>0.116512266507919</c:v>
                </c:pt>
                <c:pt idx="153">
                  <c:v>0.11405363953678099</c:v>
                </c:pt>
                <c:pt idx="154">
                  <c:v>0.114122374060504</c:v>
                </c:pt>
                <c:pt idx="155">
                  <c:v>0.11414538929564599</c:v>
                </c:pt>
                <c:pt idx="156">
                  <c:v>0.113336331077981</c:v>
                </c:pt>
                <c:pt idx="157">
                  <c:v>0.11335897726356099</c:v>
                </c:pt>
                <c:pt idx="158">
                  <c:v>0.11379784391648301</c:v>
                </c:pt>
                <c:pt idx="159">
                  <c:v>0.11261851165648799</c:v>
                </c:pt>
                <c:pt idx="160">
                  <c:v>0.11264094018467001</c:v>
                </c:pt>
                <c:pt idx="161">
                  <c:v>0.114364874788855</c:v>
                </c:pt>
                <c:pt idx="162">
                  <c:v>0.114388381998436</c:v>
                </c:pt>
                <c:pt idx="163">
                  <c:v>0.11229289278417501</c:v>
                </c:pt>
                <c:pt idx="164">
                  <c:v>0.11444936756382401</c:v>
                </c:pt>
                <c:pt idx="165">
                  <c:v>0.114473122391577</c:v>
                </c:pt>
                <c:pt idx="166">
                  <c:v>0.111989269197589</c:v>
                </c:pt>
                <c:pt idx="167">
                  <c:v>0.11368147647389099</c:v>
                </c:pt>
                <c:pt idx="168">
                  <c:v>0.114124437581481</c:v>
                </c:pt>
                <c:pt idx="169">
                  <c:v>0.11293720638697501</c:v>
                </c:pt>
                <c:pt idx="170">
                  <c:v>0.11379915895343799</c:v>
                </c:pt>
                <c:pt idx="171">
                  <c:v>0.113822856020312</c:v>
                </c:pt>
                <c:pt idx="172">
                  <c:v>0.11300682987730699</c:v>
                </c:pt>
                <c:pt idx="173">
                  <c:v>0.11303014359423001</c:v>
                </c:pt>
                <c:pt idx="174">
                  <c:v>0.11312393114276199</c:v>
                </c:pt>
                <c:pt idx="175">
                  <c:v>0.11399024910927601</c:v>
                </c:pt>
                <c:pt idx="176">
                  <c:v>0.11401438013588301</c:v>
                </c:pt>
                <c:pt idx="177">
                  <c:v>0.11403856597180599</c:v>
                </c:pt>
                <c:pt idx="178">
                  <c:v>0.114111453605638</c:v>
                </c:pt>
                <c:pt idx="179">
                  <c:v>0.113712622481022</c:v>
                </c:pt>
                <c:pt idx="180">
                  <c:v>0.11416032174416299</c:v>
                </c:pt>
                <c:pt idx="181">
                  <c:v>0.112915850141872</c:v>
                </c:pt>
                <c:pt idx="182">
                  <c:v>0.110883500688536</c:v>
                </c:pt>
                <c:pt idx="183">
                  <c:v>0.11090622519339099</c:v>
                </c:pt>
                <c:pt idx="184">
                  <c:v>0.110929002153257</c:v>
                </c:pt>
                <c:pt idx="185">
                  <c:v>0.108862363312714</c:v>
                </c:pt>
                <c:pt idx="186">
                  <c:v>0.108883993174097</c:v>
                </c:pt>
                <c:pt idx="187">
                  <c:v>0.10647989998938</c:v>
                </c:pt>
                <c:pt idx="188">
                  <c:v>0.106371367018028</c:v>
                </c:pt>
                <c:pt idx="189">
                  <c:v>0.106391719186473</c:v>
                </c:pt>
                <c:pt idx="190">
                  <c:v>0.106412119605743</c:v>
                </c:pt>
                <c:pt idx="191">
                  <c:v>0.10577523433151001</c:v>
                </c:pt>
                <c:pt idx="192">
                  <c:v>9.8066092411494804E-2</c:v>
                </c:pt>
                <c:pt idx="193">
                  <c:v>9.8081617041202704E-2</c:v>
                </c:pt>
                <c:pt idx="194">
                  <c:v>9.6897640758121795E-2</c:v>
                </c:pt>
                <c:pt idx="195">
                  <c:v>9.6912514975181899E-2</c:v>
                </c:pt>
                <c:pt idx="196">
                  <c:v>9.6557872310677306E-2</c:v>
                </c:pt>
                <c:pt idx="197">
                  <c:v>9.7692610831710699E-2</c:v>
                </c:pt>
                <c:pt idx="198">
                  <c:v>9.6572656211138211E-2</c:v>
                </c:pt>
                <c:pt idx="199">
                  <c:v>9.8191399496028606E-2</c:v>
                </c:pt>
                <c:pt idx="200">
                  <c:v>9.8207242386302199E-2</c:v>
                </c:pt>
                <c:pt idx="201">
                  <c:v>9.6647150672255891E-2</c:v>
                </c:pt>
                <c:pt idx="202">
                  <c:v>9.7867802411123611E-2</c:v>
                </c:pt>
                <c:pt idx="203">
                  <c:v>9.8675018000975903E-2</c:v>
                </c:pt>
                <c:pt idx="204">
                  <c:v>9.7496393085428693E-2</c:v>
                </c:pt>
                <c:pt idx="205">
                  <c:v>9.7512020840118896E-2</c:v>
                </c:pt>
                <c:pt idx="206">
                  <c:v>9.8367897781007407E-2</c:v>
                </c:pt>
                <c:pt idx="207">
                  <c:v>9.8384188060095495E-2</c:v>
                </c:pt>
                <c:pt idx="208">
                  <c:v>9.8400519585207694E-2</c:v>
                </c:pt>
                <c:pt idx="209">
                  <c:v>9.8416892453475513E-2</c:v>
                </c:pt>
                <c:pt idx="210">
                  <c:v>9.8430109215135106E-2</c:v>
                </c:pt>
                <c:pt idx="211">
                  <c:v>9.8483335993289303E-2</c:v>
                </c:pt>
                <c:pt idx="212">
                  <c:v>0.101149839522923</c:v>
                </c:pt>
                <c:pt idx="213">
                  <c:v>0.10116481872886901</c:v>
                </c:pt>
                <c:pt idx="214">
                  <c:v>0.101179837116201</c:v>
                </c:pt>
                <c:pt idx="215">
                  <c:v>0.10020336639735899</c:v>
                </c:pt>
                <c:pt idx="216">
                  <c:v>9.8970498375095098E-2</c:v>
                </c:pt>
                <c:pt idx="217">
                  <c:v>0.10026190604599999</c:v>
                </c:pt>
                <c:pt idx="218">
                  <c:v>9.9026255584423503E-2</c:v>
                </c:pt>
                <c:pt idx="219">
                  <c:v>0.10029140828106801</c:v>
                </c:pt>
                <c:pt idx="220">
                  <c:v>0.101363146222241</c:v>
                </c:pt>
                <c:pt idx="221">
                  <c:v>0.103514196125212</c:v>
                </c:pt>
                <c:pt idx="222">
                  <c:v>0.10319595019151301</c:v>
                </c:pt>
                <c:pt idx="223">
                  <c:v>0.102459892128342</c:v>
                </c:pt>
                <c:pt idx="224">
                  <c:v>0.104338203588527</c:v>
                </c:pt>
                <c:pt idx="225">
                  <c:v>0.103784117219614</c:v>
                </c:pt>
                <c:pt idx="226">
                  <c:v>0.10380131999296401</c:v>
                </c:pt>
                <c:pt idx="227">
                  <c:v>0.105509023559963</c:v>
                </c:pt>
                <c:pt idx="228">
                  <c:v>0.10444346387271</c:v>
                </c:pt>
                <c:pt idx="229">
                  <c:v>0.105545675705233</c:v>
                </c:pt>
                <c:pt idx="230">
                  <c:v>0.10222135257380201</c:v>
                </c:pt>
                <c:pt idx="231">
                  <c:v>0.10725913351742801</c:v>
                </c:pt>
                <c:pt idx="232">
                  <c:v>0.107862333205762</c:v>
                </c:pt>
                <c:pt idx="233">
                  <c:v>0.107882303268276</c:v>
                </c:pt>
                <c:pt idx="234">
                  <c:v>0.10742100482467899</c:v>
                </c:pt>
                <c:pt idx="235">
                  <c:v>0.10573170328972401</c:v>
                </c:pt>
                <c:pt idx="236">
                  <c:v>0.104046787506286</c:v>
                </c:pt>
                <c:pt idx="237">
                  <c:v>0.10240509661123999</c:v>
                </c:pt>
                <c:pt idx="238">
                  <c:v>0.103946599736436</c:v>
                </c:pt>
                <c:pt idx="239">
                  <c:v>0.10397893296522399</c:v>
                </c:pt>
                <c:pt idx="240">
                  <c:v>0.104136581074183</c:v>
                </c:pt>
                <c:pt idx="241">
                  <c:v>0.102557766437933</c:v>
                </c:pt>
                <c:pt idx="242">
                  <c:v>0.103321613734109</c:v>
                </c:pt>
                <c:pt idx="243">
                  <c:v>0.10310130878724599</c:v>
                </c:pt>
                <c:pt idx="244">
                  <c:v>0.103171826299126</c:v>
                </c:pt>
                <c:pt idx="245">
                  <c:v>0.103325942513722</c:v>
                </c:pt>
                <c:pt idx="246">
                  <c:v>0.10262822549037301</c:v>
                </c:pt>
                <c:pt idx="247">
                  <c:v>0.103259316600537</c:v>
                </c:pt>
                <c:pt idx="248">
                  <c:v>0.10266321694441499</c:v>
                </c:pt>
                <c:pt idx="249">
                  <c:v>0.102750176466144</c:v>
                </c:pt>
                <c:pt idx="250">
                  <c:v>0.102767895930769</c:v>
                </c:pt>
                <c:pt idx="251">
                  <c:v>0.102785660719705</c:v>
                </c:pt>
                <c:pt idx="252">
                  <c:v>0.10355703032916899</c:v>
                </c:pt>
                <c:pt idx="253">
                  <c:v>0.10374704100559401</c:v>
                </c:pt>
                <c:pt idx="254">
                  <c:v>0.10414698915673799</c:v>
                </c:pt>
                <c:pt idx="255">
                  <c:v>0.10292751911096901</c:v>
                </c:pt>
                <c:pt idx="256">
                  <c:v>0.102945625837982</c:v>
                </c:pt>
                <c:pt idx="257">
                  <c:v>0.104203650763592</c:v>
                </c:pt>
                <c:pt idx="258">
                  <c:v>0.104222633482923</c:v>
                </c:pt>
                <c:pt idx="259">
                  <c:v>0.10427986980607001</c:v>
                </c:pt>
                <c:pt idx="260">
                  <c:v>0.104576268094908</c:v>
                </c:pt>
                <c:pt idx="261">
                  <c:v>0.104630364046499</c:v>
                </c:pt>
                <c:pt idx="262">
                  <c:v>0.10464983492372699</c:v>
                </c:pt>
                <c:pt idx="263">
                  <c:v>0.10463461457108099</c:v>
                </c:pt>
                <c:pt idx="264">
                  <c:v>0.103547410276534</c:v>
                </c:pt>
                <c:pt idx="265">
                  <c:v>0.10318526190808999</c:v>
                </c:pt>
                <c:pt idx="266">
                  <c:v>0.10441939045885601</c:v>
                </c:pt>
                <c:pt idx="267">
                  <c:v>0.10450865105978799</c:v>
                </c:pt>
                <c:pt idx="268">
                  <c:v>0.104632942367897</c:v>
                </c:pt>
                <c:pt idx="269">
                  <c:v>0.104762399339296</c:v>
                </c:pt>
                <c:pt idx="270">
                  <c:v>0.10471245876947499</c:v>
                </c:pt>
                <c:pt idx="271">
                  <c:v>0.104977494445604</c:v>
                </c:pt>
                <c:pt idx="272">
                  <c:v>0.104997708129429</c:v>
                </c:pt>
                <c:pt idx="273">
                  <c:v>0.10501797263688201</c:v>
                </c:pt>
                <c:pt idx="274">
                  <c:v>0.10441236507901501</c:v>
                </c:pt>
                <c:pt idx="275">
                  <c:v>0.104432399232191</c:v>
                </c:pt>
                <c:pt idx="276">
                  <c:v>0.104452483998674</c:v>
                </c:pt>
                <c:pt idx="277">
                  <c:v>0.10408665770193901</c:v>
                </c:pt>
                <c:pt idx="278">
                  <c:v>0.104492805873383</c:v>
                </c:pt>
                <c:pt idx="279">
                  <c:v>0.10369482433764</c:v>
                </c:pt>
                <c:pt idx="280">
                  <c:v>0.10605616900821201</c:v>
                </c:pt>
                <c:pt idx="281">
                  <c:v>0.106150228100551</c:v>
                </c:pt>
                <c:pt idx="282">
                  <c:v>0.106171749011546</c:v>
                </c:pt>
                <c:pt idx="283">
                  <c:v>0.107127068533483</c:v>
                </c:pt>
                <c:pt idx="284">
                  <c:v>0.107149396082831</c:v>
                </c:pt>
                <c:pt idx="285">
                  <c:v>0.107171779088871</c:v>
                </c:pt>
                <c:pt idx="286">
                  <c:v>0.10541282414886301</c:v>
                </c:pt>
                <c:pt idx="287">
                  <c:v>0.10278278055710199</c:v>
                </c:pt>
                <c:pt idx="288">
                  <c:v>0.10372428454851701</c:v>
                </c:pt>
                <c:pt idx="289">
                  <c:v>0.10155980821270801</c:v>
                </c:pt>
                <c:pt idx="290">
                  <c:v>0.10112261888298001</c:v>
                </c:pt>
                <c:pt idx="291">
                  <c:v>0.10556310877236699</c:v>
                </c:pt>
                <c:pt idx="292">
                  <c:v>0.10558479438484999</c:v>
                </c:pt>
                <c:pt idx="293">
                  <c:v>0.10123535243282999</c:v>
                </c:pt>
                <c:pt idx="294">
                  <c:v>0.101254312755583</c:v>
                </c:pt>
                <c:pt idx="295">
                  <c:v>0.10085072719718599</c:v>
                </c:pt>
                <c:pt idx="296">
                  <c:v>0.10086949999412999</c:v>
                </c:pt>
                <c:pt idx="297">
                  <c:v>0.10092611282384199</c:v>
                </c:pt>
                <c:pt idx="298">
                  <c:v>0.100945082329696</c:v>
                </c:pt>
                <c:pt idx="299">
                  <c:v>0.104951111612108</c:v>
                </c:pt>
                <c:pt idx="300">
                  <c:v>0.10497290300685901</c:v>
                </c:pt>
                <c:pt idx="301">
                  <c:v>0.10231459274433</c:v>
                </c:pt>
                <c:pt idx="302">
                  <c:v>0.105060621293752</c:v>
                </c:pt>
                <c:pt idx="303">
                  <c:v>0.101987654833208</c:v>
                </c:pt>
                <c:pt idx="304">
                  <c:v>0.10243577065698099</c:v>
                </c:pt>
                <c:pt idx="305">
                  <c:v>0.103350824425072</c:v>
                </c:pt>
                <c:pt idx="306">
                  <c:v>0.10521627831117501</c:v>
                </c:pt>
                <c:pt idx="307">
                  <c:v>0.10523874072876101</c:v>
                </c:pt>
                <c:pt idx="308">
                  <c:v>0.103025304699268</c:v>
                </c:pt>
                <c:pt idx="309">
                  <c:v>0.104379363116738</c:v>
                </c:pt>
                <c:pt idx="310">
                  <c:v>9.9034084463841501E-2</c:v>
                </c:pt>
                <c:pt idx="311">
                  <c:v>0.100870062549585</c:v>
                </c:pt>
                <c:pt idx="312">
                  <c:v>0.10448994190385501</c:v>
                </c:pt>
                <c:pt idx="313">
                  <c:v>0.103607013134146</c:v>
                </c:pt>
                <c:pt idx="314">
                  <c:v>0.10092934954810101</c:v>
                </c:pt>
                <c:pt idx="315">
                  <c:v>0.10365048170935599</c:v>
                </c:pt>
                <c:pt idx="316">
                  <c:v>0.10147638970629901</c:v>
                </c:pt>
                <c:pt idx="317">
                  <c:v>0.10373808967706299</c:v>
                </c:pt>
                <c:pt idx="318">
                  <c:v>0.10151725195632</c:v>
                </c:pt>
                <c:pt idx="319">
                  <c:v>0.101537763031741</c:v>
                </c:pt>
                <c:pt idx="320">
                  <c:v>0.10380438726876501</c:v>
                </c:pt>
                <c:pt idx="321">
                  <c:v>0.10188703638739</c:v>
                </c:pt>
                <c:pt idx="322">
                  <c:v>9.8922344779756505E-2</c:v>
                </c:pt>
                <c:pt idx="323">
                  <c:v>0.10207562282807199</c:v>
                </c:pt>
                <c:pt idx="324">
                  <c:v>0.102096766933059</c:v>
                </c:pt>
                <c:pt idx="325">
                  <c:v>0.10211796600706201</c:v>
                </c:pt>
                <c:pt idx="326">
                  <c:v>0.103092598572963</c:v>
                </c:pt>
                <c:pt idx="327">
                  <c:v>0.10220331492132101</c:v>
                </c:pt>
                <c:pt idx="328">
                  <c:v>0.102224791041306</c:v>
                </c:pt>
                <c:pt idx="329">
                  <c:v>0.10224632301455</c:v>
                </c:pt>
                <c:pt idx="330">
                  <c:v>0.102267910990381</c:v>
                </c:pt>
                <c:pt idx="331">
                  <c:v>0.10324832354341</c:v>
                </c:pt>
                <c:pt idx="332">
                  <c:v>0.104189857924689</c:v>
                </c:pt>
                <c:pt idx="333">
                  <c:v>0.105616994141827</c:v>
                </c:pt>
                <c:pt idx="334">
                  <c:v>0.10608251829852501</c:v>
                </c:pt>
                <c:pt idx="335">
                  <c:v>0.10610324810187001</c:v>
                </c:pt>
                <c:pt idx="336">
                  <c:v>0.10709801969851201</c:v>
                </c:pt>
                <c:pt idx="337">
                  <c:v>0.107119603429105</c:v>
                </c:pt>
                <c:pt idx="338">
                  <c:v>0.107141243393653</c:v>
                </c:pt>
                <c:pt idx="339">
                  <c:v>0.10716293973716801</c:v>
                </c:pt>
                <c:pt idx="340">
                  <c:v>0.10718469260519101</c:v>
                </c:pt>
                <c:pt idx="341">
                  <c:v>0.10725029181979201</c:v>
                </c:pt>
                <c:pt idx="342">
                  <c:v>0.10558728230400601</c:v>
                </c:pt>
                <c:pt idx="343">
                  <c:v>0.10545877607793701</c:v>
                </c:pt>
                <c:pt idx="344">
                  <c:v>0.106691787195641</c:v>
                </c:pt>
                <c:pt idx="345">
                  <c:v>0.10690299884568499</c:v>
                </c:pt>
                <c:pt idx="346">
                  <c:v>0.10755626237610799</c:v>
                </c:pt>
                <c:pt idx="347">
                  <c:v>0.107805412585396</c:v>
                </c:pt>
                <c:pt idx="348">
                  <c:v>0.10782811787039</c:v>
                </c:pt>
                <c:pt idx="349">
                  <c:v>0.10679324047036</c:v>
                </c:pt>
                <c:pt idx="350">
                  <c:v>0.10932626954080799</c:v>
                </c:pt>
                <c:pt idx="351">
                  <c:v>0.109731944374795</c:v>
                </c:pt>
                <c:pt idx="352">
                  <c:v>0.10960341495956699</c:v>
                </c:pt>
                <c:pt idx="353">
                  <c:v>0.110892052991422</c:v>
                </c:pt>
                <c:pt idx="354">
                  <c:v>0.110917274821257</c:v>
                </c:pt>
                <c:pt idx="355">
                  <c:v>0.11099332743084001</c:v>
                </c:pt>
                <c:pt idx="356">
                  <c:v>0.10978834513609399</c:v>
                </c:pt>
                <c:pt idx="357">
                  <c:v>0.10962111147258299</c:v>
                </c:pt>
                <c:pt idx="358">
                  <c:v>0.10964571411043099</c:v>
                </c:pt>
                <c:pt idx="359">
                  <c:v>0.109555134640567</c:v>
                </c:pt>
                <c:pt idx="360">
                  <c:v>0.109744760128841</c:v>
                </c:pt>
                <c:pt idx="361">
                  <c:v>0.11178052941901501</c:v>
                </c:pt>
                <c:pt idx="362">
                  <c:v>0.111768117428864</c:v>
                </c:pt>
                <c:pt idx="363">
                  <c:v>0.112845711664378</c:v>
                </c:pt>
                <c:pt idx="364">
                  <c:v>0.112833964299691</c:v>
                </c:pt>
                <c:pt idx="365">
                  <c:v>0.113777869532507</c:v>
                </c:pt>
                <c:pt idx="366">
                  <c:v>0.11345292458686201</c:v>
                </c:pt>
                <c:pt idx="367">
                  <c:v>0.11391282609162401</c:v>
                </c:pt>
                <c:pt idx="368">
                  <c:v>0.114413468379005</c:v>
                </c:pt>
                <c:pt idx="369">
                  <c:v>0.1140876841834</c:v>
                </c:pt>
                <c:pt idx="370">
                  <c:v>0.114173641195725</c:v>
                </c:pt>
                <c:pt idx="371">
                  <c:v>0.115112021328691</c:v>
                </c:pt>
                <c:pt idx="372">
                  <c:v>0.11423130889268202</c:v>
                </c:pt>
                <c:pt idx="373">
                  <c:v>0.11418117994944801</c:v>
                </c:pt>
                <c:pt idx="374">
                  <c:v>0.11417058206296798</c:v>
                </c:pt>
                <c:pt idx="375">
                  <c:v>0.11409929278122799</c:v>
                </c:pt>
                <c:pt idx="376">
                  <c:v>0.11393022890424299</c:v>
                </c:pt>
                <c:pt idx="377">
                  <c:v>0.11435603765298699</c:v>
                </c:pt>
                <c:pt idx="378">
                  <c:v>0.114623942346741</c:v>
                </c:pt>
                <c:pt idx="379">
                  <c:v>0.11529104186867099</c:v>
                </c:pt>
                <c:pt idx="380">
                  <c:v>0.115222016619986</c:v>
                </c:pt>
                <c:pt idx="381">
                  <c:v>0.115452298132888</c:v>
                </c:pt>
                <c:pt idx="382">
                  <c:v>0.11552287324294901</c:v>
                </c:pt>
                <c:pt idx="383">
                  <c:v>0.11555351454615501</c:v>
                </c:pt>
                <c:pt idx="384">
                  <c:v>0.115584233389445</c:v>
                </c:pt>
                <c:pt idx="385">
                  <c:v>0.114073587845401</c:v>
                </c:pt>
                <c:pt idx="386">
                  <c:v>0.11551417717780099</c:v>
                </c:pt>
                <c:pt idx="387">
                  <c:v>0.115627453499612</c:v>
                </c:pt>
                <c:pt idx="388">
                  <c:v>0.113533488777269</c:v>
                </c:pt>
                <c:pt idx="389">
                  <c:v>0.113083686301801</c:v>
                </c:pt>
                <c:pt idx="390">
                  <c:v>0.113011697780512</c:v>
                </c:pt>
                <c:pt idx="391">
                  <c:v>0.11332125698183299</c:v>
                </c:pt>
                <c:pt idx="392">
                  <c:v>0.113631585560678</c:v>
                </c:pt>
                <c:pt idx="393">
                  <c:v>0.11330040946939601</c:v>
                </c:pt>
                <c:pt idx="394">
                  <c:v>0.113932691593397</c:v>
                </c:pt>
                <c:pt idx="395">
                  <c:v>0.114023724125818</c:v>
                </c:pt>
                <c:pt idx="396">
                  <c:v>0.11316822434224599</c:v>
                </c:pt>
                <c:pt idx="397">
                  <c:v>0.11315788731506199</c:v>
                </c:pt>
                <c:pt idx="398">
                  <c:v>0.11294633104137701</c:v>
                </c:pt>
                <c:pt idx="399">
                  <c:v>0.11297617229578601</c:v>
                </c:pt>
                <c:pt idx="400">
                  <c:v>0.11141615106476699</c:v>
                </c:pt>
                <c:pt idx="401">
                  <c:v>0.110402683960946</c:v>
                </c:pt>
                <c:pt idx="402">
                  <c:v>0.110350750511857</c:v>
                </c:pt>
                <c:pt idx="403">
                  <c:v>0.10936638861980401</c:v>
                </c:pt>
                <c:pt idx="404">
                  <c:v>0.10956931780957299</c:v>
                </c:pt>
                <c:pt idx="405">
                  <c:v>0.11036000744967801</c:v>
                </c:pt>
                <c:pt idx="406">
                  <c:v>0.106432019291729</c:v>
                </c:pt>
                <c:pt idx="407">
                  <c:v>0.106060497605798</c:v>
                </c:pt>
                <c:pt idx="408">
                  <c:v>0.105055223351462</c:v>
                </c:pt>
                <c:pt idx="409">
                  <c:v>0.105605243325623</c:v>
                </c:pt>
                <c:pt idx="410">
                  <c:v>0.107264753579521</c:v>
                </c:pt>
                <c:pt idx="411">
                  <c:v>0.103791478443028</c:v>
                </c:pt>
                <c:pt idx="412">
                  <c:v>0.10381523478011699</c:v>
                </c:pt>
                <c:pt idx="413">
                  <c:v>0.107504576588969</c:v>
                </c:pt>
                <c:pt idx="414">
                  <c:v>0.107183517197716</c:v>
                </c:pt>
                <c:pt idx="415">
                  <c:v>0.10712986970131899</c:v>
                </c:pt>
                <c:pt idx="416">
                  <c:v>0.10759889379235499</c:v>
                </c:pt>
                <c:pt idx="417">
                  <c:v>0.10132971468959401</c:v>
                </c:pt>
                <c:pt idx="418">
                  <c:v>0.10672753272339901</c:v>
                </c:pt>
                <c:pt idx="419">
                  <c:v>0.100037584738491</c:v>
                </c:pt>
                <c:pt idx="420">
                  <c:v>0.10005891121100101</c:v>
                </c:pt>
                <c:pt idx="421">
                  <c:v>0.108073513225554</c:v>
                </c:pt>
                <c:pt idx="422">
                  <c:v>0.107089587779579</c:v>
                </c:pt>
                <c:pt idx="423">
                  <c:v>0.10812925844415201</c:v>
                </c:pt>
                <c:pt idx="424">
                  <c:v>0.10824164675078</c:v>
                </c:pt>
                <c:pt idx="425">
                  <c:v>0.102221116881811</c:v>
                </c:pt>
                <c:pt idx="426">
                  <c:v>0.103245092384425</c:v>
                </c:pt>
                <c:pt idx="427">
                  <c:v>9.8296068834876293E-2</c:v>
                </c:pt>
                <c:pt idx="428">
                  <c:v>9.8357440801604204E-2</c:v>
                </c:pt>
                <c:pt idx="429">
                  <c:v>9.8378015842174898E-2</c:v>
                </c:pt>
                <c:pt idx="430">
                  <c:v>9.8398650030303597E-2</c:v>
                </c:pt>
                <c:pt idx="431">
                  <c:v>9.7924121433271907E-2</c:v>
                </c:pt>
                <c:pt idx="432">
                  <c:v>9.7410507266228893E-2</c:v>
                </c:pt>
                <c:pt idx="433">
                  <c:v>9.7430563873194695E-2</c:v>
                </c:pt>
                <c:pt idx="434">
                  <c:v>9.7450678756399012E-2</c:v>
                </c:pt>
                <c:pt idx="435">
                  <c:v>9.74708520883244E-2</c:v>
                </c:pt>
                <c:pt idx="436">
                  <c:v>9.7491084042173201E-2</c:v>
                </c:pt>
                <c:pt idx="437">
                  <c:v>9.6577557216239396E-2</c:v>
                </c:pt>
                <c:pt idx="438">
                  <c:v>9.65972625357846E-2</c:v>
                </c:pt>
                <c:pt idx="439">
                  <c:v>9.6617025711774801E-2</c:v>
                </c:pt>
                <c:pt idx="440">
                  <c:v>9.6636846916824004E-2</c:v>
                </c:pt>
                <c:pt idx="441">
                  <c:v>9.6696660443348612E-2</c:v>
                </c:pt>
                <c:pt idx="442">
                  <c:v>9.6217528791346887E-2</c:v>
                </c:pt>
                <c:pt idx="443">
                  <c:v>9.6237226285917299E-2</c:v>
                </c:pt>
                <c:pt idx="444">
                  <c:v>9.6256981933741895E-2</c:v>
                </c:pt>
                <c:pt idx="445">
                  <c:v>9.6276795909650006E-2</c:v>
                </c:pt>
                <c:pt idx="446">
                  <c:v>9.6336589565256509E-2</c:v>
                </c:pt>
                <c:pt idx="447">
                  <c:v>9.6356638616605608E-2</c:v>
                </c:pt>
                <c:pt idx="448">
                  <c:v>9.6274425126707197E-2</c:v>
                </c:pt>
                <c:pt idx="449">
                  <c:v>9.2881890557051608E-2</c:v>
                </c:pt>
                <c:pt idx="450">
                  <c:v>9.2899112072660911E-2</c:v>
                </c:pt>
                <c:pt idx="451">
                  <c:v>9.2951095160640693E-2</c:v>
                </c:pt>
                <c:pt idx="452">
                  <c:v>9.2968529572164199E-2</c:v>
                </c:pt>
                <c:pt idx="453">
                  <c:v>9.2986017610735092E-2</c:v>
                </c:pt>
                <c:pt idx="454">
                  <c:v>9.3003559438954303E-2</c:v>
                </c:pt>
                <c:pt idx="455">
                  <c:v>9.3021155220118099E-2</c:v>
                </c:pt>
                <c:pt idx="456">
                  <c:v>9.307426792470791E-2</c:v>
                </c:pt>
                <c:pt idx="457">
                  <c:v>9.3092081164601992E-2</c:v>
                </c:pt>
                <c:pt idx="458">
                  <c:v>9.3109949184450591E-2</c:v>
                </c:pt>
                <c:pt idx="459">
                  <c:v>9.3127872151788707E-2</c:v>
                </c:pt>
                <c:pt idx="460">
                  <c:v>9.3145850234870903E-2</c:v>
                </c:pt>
                <c:pt idx="461">
                  <c:v>9.3203244942768104E-2</c:v>
                </c:pt>
                <c:pt idx="462">
                  <c:v>9.3217711678065793E-2</c:v>
                </c:pt>
                <c:pt idx="463">
                  <c:v>9.3232225912459402E-2</c:v>
                </c:pt>
                <c:pt idx="464">
                  <c:v>9.3028421414449392E-2</c:v>
                </c:pt>
                <c:pt idx="465">
                  <c:v>9.4554483576084009E-2</c:v>
                </c:pt>
                <c:pt idx="466">
                  <c:v>9.4244442447295698E-2</c:v>
                </c:pt>
                <c:pt idx="467">
                  <c:v>9.4211130112727998E-2</c:v>
                </c:pt>
                <c:pt idx="468">
                  <c:v>9.4096282472342502E-2</c:v>
                </c:pt>
                <c:pt idx="469">
                  <c:v>9.3662402773732598E-2</c:v>
                </c:pt>
                <c:pt idx="470">
                  <c:v>9.4751913056793702E-2</c:v>
                </c:pt>
                <c:pt idx="471">
                  <c:v>9.4136958114979394E-2</c:v>
                </c:pt>
                <c:pt idx="472">
                  <c:v>9.4206022194567099E-2</c:v>
                </c:pt>
                <c:pt idx="473">
                  <c:v>9.4139869907407109E-2</c:v>
                </c:pt>
                <c:pt idx="474">
                  <c:v>9.3315436007084307E-2</c:v>
                </c:pt>
                <c:pt idx="475">
                  <c:v>9.2349220318958009E-2</c:v>
                </c:pt>
                <c:pt idx="476">
                  <c:v>9.2929220928349487E-2</c:v>
                </c:pt>
                <c:pt idx="477">
                  <c:v>9.2628346259265304E-2</c:v>
                </c:pt>
                <c:pt idx="478">
                  <c:v>9.2315007677905903E-2</c:v>
                </c:pt>
                <c:pt idx="479">
                  <c:v>9.1677847791345607E-2</c:v>
                </c:pt>
                <c:pt idx="480">
                  <c:v>9.0609717861612996E-2</c:v>
                </c:pt>
                <c:pt idx="481">
                  <c:v>8.9919585839187896E-2</c:v>
                </c:pt>
                <c:pt idx="482">
                  <c:v>8.8032748880172901E-2</c:v>
                </c:pt>
                <c:pt idx="483">
                  <c:v>8.8617987870979409E-2</c:v>
                </c:pt>
                <c:pt idx="484">
                  <c:v>8.8087736228080096E-2</c:v>
                </c:pt>
                <c:pt idx="485">
                  <c:v>8.8673285221413711E-2</c:v>
                </c:pt>
                <c:pt idx="486">
                  <c:v>8.8239415525148412E-2</c:v>
                </c:pt>
                <c:pt idx="487">
                  <c:v>8.6802260485715793E-2</c:v>
                </c:pt>
                <c:pt idx="488">
                  <c:v>8.7012360845945907E-2</c:v>
                </c:pt>
                <c:pt idx="489">
                  <c:v>8.8297618467241601E-2</c:v>
                </c:pt>
                <c:pt idx="490">
                  <c:v>8.7132632271264596E-2</c:v>
                </c:pt>
                <c:pt idx="491">
                  <c:v>8.6901848232183207E-2</c:v>
                </c:pt>
                <c:pt idx="492">
                  <c:v>8.6625846028614201E-2</c:v>
                </c:pt>
                <c:pt idx="493">
                  <c:v>8.8089710753253794E-2</c:v>
                </c:pt>
                <c:pt idx="494">
                  <c:v>8.8624611552392998E-2</c:v>
                </c:pt>
                <c:pt idx="495">
                  <c:v>8.7835543897589602E-2</c:v>
                </c:pt>
                <c:pt idx="496">
                  <c:v>8.6084763851084101E-2</c:v>
                </c:pt>
                <c:pt idx="497">
                  <c:v>8.5930541883733488E-2</c:v>
                </c:pt>
                <c:pt idx="498">
                  <c:v>8.6920617512037099E-2</c:v>
                </c:pt>
                <c:pt idx="499">
                  <c:v>8.5410767098228493E-2</c:v>
                </c:pt>
                <c:pt idx="500">
                  <c:v>8.7072205112801393E-2</c:v>
                </c:pt>
                <c:pt idx="501">
                  <c:v>8.7510465640545293E-2</c:v>
                </c:pt>
                <c:pt idx="502">
                  <c:v>8.7401667459948693E-2</c:v>
                </c:pt>
                <c:pt idx="503">
                  <c:v>8.678229661145441E-2</c:v>
                </c:pt>
                <c:pt idx="504">
                  <c:v>8.6798886169063505E-2</c:v>
                </c:pt>
                <c:pt idx="505">
                  <c:v>8.73139221429243E-2</c:v>
                </c:pt>
                <c:pt idx="506">
                  <c:v>8.6796225140212513E-2</c:v>
                </c:pt>
                <c:pt idx="507">
                  <c:v>8.6778253519185902E-2</c:v>
                </c:pt>
                <c:pt idx="508">
                  <c:v>8.8114560133766201E-2</c:v>
                </c:pt>
                <c:pt idx="509">
                  <c:v>8.8005066714279698E-2</c:v>
                </c:pt>
                <c:pt idx="510">
                  <c:v>8.7287239104616193E-2</c:v>
                </c:pt>
                <c:pt idx="511">
                  <c:v>8.7429182514148801E-2</c:v>
                </c:pt>
                <c:pt idx="512">
                  <c:v>8.5518370020260998E-2</c:v>
                </c:pt>
                <c:pt idx="513">
                  <c:v>8.7314484013411894E-2</c:v>
                </c:pt>
                <c:pt idx="514">
                  <c:v>8.8131187969949398E-2</c:v>
                </c:pt>
                <c:pt idx="515">
                  <c:v>8.7033720429207498E-2</c:v>
                </c:pt>
                <c:pt idx="516">
                  <c:v>8.6013720577614305E-2</c:v>
                </c:pt>
                <c:pt idx="517">
                  <c:v>8.5625082508852299E-2</c:v>
                </c:pt>
                <c:pt idx="518">
                  <c:v>8.6060950848966408E-2</c:v>
                </c:pt>
                <c:pt idx="519">
                  <c:v>8.6030907723096406E-2</c:v>
                </c:pt>
                <c:pt idx="520">
                  <c:v>8.5695568609505307E-2</c:v>
                </c:pt>
                <c:pt idx="521">
                  <c:v>8.5157386719860104E-2</c:v>
                </c:pt>
                <c:pt idx="522">
                  <c:v>8.6772479049698606E-2</c:v>
                </c:pt>
                <c:pt idx="523">
                  <c:v>8.6589030565714611E-2</c:v>
                </c:pt>
                <c:pt idx="524">
                  <c:v>8.6326609806528704E-2</c:v>
                </c:pt>
                <c:pt idx="525">
                  <c:v>8.5921272583102101E-2</c:v>
                </c:pt>
                <c:pt idx="526">
                  <c:v>8.6217848486907001E-2</c:v>
                </c:pt>
                <c:pt idx="527">
                  <c:v>8.6826903248331408E-2</c:v>
                </c:pt>
                <c:pt idx="528">
                  <c:v>8.6326462218164507E-2</c:v>
                </c:pt>
                <c:pt idx="529">
                  <c:v>8.666529502104639E-2</c:v>
                </c:pt>
                <c:pt idx="530">
                  <c:v>8.6398631644861099E-2</c:v>
                </c:pt>
                <c:pt idx="531">
                  <c:v>8.5827333152690796E-2</c:v>
                </c:pt>
                <c:pt idx="532">
                  <c:v>8.5379880949570594E-2</c:v>
                </c:pt>
                <c:pt idx="533">
                  <c:v>8.5492625454418006E-2</c:v>
                </c:pt>
                <c:pt idx="534">
                  <c:v>8.5529701304717209E-2</c:v>
                </c:pt>
                <c:pt idx="535">
                  <c:v>8.5485156508343096E-2</c:v>
                </c:pt>
                <c:pt idx="536">
                  <c:v>8.6052228204670497E-2</c:v>
                </c:pt>
                <c:pt idx="537">
                  <c:v>8.7751429458848798E-2</c:v>
                </c:pt>
                <c:pt idx="538">
                  <c:v>8.63512992227808E-2</c:v>
                </c:pt>
                <c:pt idx="539">
                  <c:v>8.5965049701297702E-2</c:v>
                </c:pt>
                <c:pt idx="540">
                  <c:v>8.5517960451781394E-2</c:v>
                </c:pt>
                <c:pt idx="541">
                  <c:v>8.544294716580611E-2</c:v>
                </c:pt>
                <c:pt idx="542">
                  <c:v>8.6627104336051197E-2</c:v>
                </c:pt>
                <c:pt idx="543">
                  <c:v>8.7001602692948307E-2</c:v>
                </c:pt>
                <c:pt idx="544">
                  <c:v>8.5810451093885298E-2</c:v>
                </c:pt>
                <c:pt idx="545">
                  <c:v>8.63981729964199E-2</c:v>
                </c:pt>
                <c:pt idx="546">
                  <c:v>8.6384663356673788E-2</c:v>
                </c:pt>
                <c:pt idx="547">
                  <c:v>8.64274962799432E-2</c:v>
                </c:pt>
                <c:pt idx="548">
                  <c:v>8.6532665066992198E-2</c:v>
                </c:pt>
                <c:pt idx="549">
                  <c:v>8.6765682151079812E-2</c:v>
                </c:pt>
                <c:pt idx="550">
                  <c:v>8.6167259744174593E-2</c:v>
                </c:pt>
                <c:pt idx="551">
                  <c:v>8.1151262386409503E-2</c:v>
                </c:pt>
                <c:pt idx="552">
                  <c:v>8.1170802333068101E-2</c:v>
                </c:pt>
                <c:pt idx="553">
                  <c:v>8.1235440413435112E-2</c:v>
                </c:pt>
                <c:pt idx="554">
                  <c:v>8.0564253553684698E-2</c:v>
                </c:pt>
                <c:pt idx="555">
                  <c:v>8.1246825514379992E-2</c:v>
                </c:pt>
                <c:pt idx="556">
                  <c:v>8.1306655029998398E-2</c:v>
                </c:pt>
                <c:pt idx="557">
                  <c:v>8.1279949621504491E-2</c:v>
                </c:pt>
                <c:pt idx="558">
                  <c:v>8.1257604968516403E-2</c:v>
                </c:pt>
                <c:pt idx="559">
                  <c:v>8.1287953074415609E-2</c:v>
                </c:pt>
                <c:pt idx="560">
                  <c:v>8.1252425224679389E-2</c:v>
                </c:pt>
                <c:pt idx="561">
                  <c:v>8.1291085456095896E-2</c:v>
                </c:pt>
                <c:pt idx="562">
                  <c:v>8.1334970680914498E-2</c:v>
                </c:pt>
                <c:pt idx="563">
                  <c:v>8.1343611832411095E-2</c:v>
                </c:pt>
                <c:pt idx="564">
                  <c:v>8.1325750089318388E-2</c:v>
                </c:pt>
                <c:pt idx="565">
                  <c:v>8.1352155036338802E-2</c:v>
                </c:pt>
                <c:pt idx="566">
                  <c:v>8.1382964544560898E-2</c:v>
                </c:pt>
                <c:pt idx="567">
                  <c:v>8.1445194151684497E-2</c:v>
                </c:pt>
                <c:pt idx="568">
                  <c:v>8.1538744131674404E-2</c:v>
                </c:pt>
                <c:pt idx="569">
                  <c:v>8.1387428945906407E-2</c:v>
                </c:pt>
                <c:pt idx="570">
                  <c:v>8.1440994788055998E-2</c:v>
                </c:pt>
                <c:pt idx="571">
                  <c:v>8.15040732454511E-2</c:v>
                </c:pt>
                <c:pt idx="572">
                  <c:v>7.8854251230319597E-2</c:v>
                </c:pt>
                <c:pt idx="573">
                  <c:v>7.8483386732735E-2</c:v>
                </c:pt>
                <c:pt idx="574">
                  <c:v>7.8829653064765207E-2</c:v>
                </c:pt>
                <c:pt idx="575">
                  <c:v>7.9156980822839604E-2</c:v>
                </c:pt>
                <c:pt idx="576">
                  <c:v>7.9177813179018605E-2</c:v>
                </c:pt>
                <c:pt idx="577">
                  <c:v>7.9184828090453796E-2</c:v>
                </c:pt>
                <c:pt idx="578">
                  <c:v>7.9191878603304997E-2</c:v>
                </c:pt>
                <c:pt idx="579">
                  <c:v>7.9198964841525998E-2</c:v>
                </c:pt>
                <c:pt idx="580">
                  <c:v>7.9206086929685796E-2</c:v>
                </c:pt>
                <c:pt idx="581">
                  <c:v>7.9227669548811802E-2</c:v>
                </c:pt>
                <c:pt idx="582">
                  <c:v>7.9234936294873493E-2</c:v>
                </c:pt>
                <c:pt idx="583">
                  <c:v>7.9242239523094699E-2</c:v>
                </c:pt>
                <c:pt idx="584">
                  <c:v>7.9249579361821101E-2</c:v>
                </c:pt>
                <c:pt idx="585">
                  <c:v>7.8547681664896202E-2</c:v>
                </c:pt>
                <c:pt idx="586">
                  <c:v>7.8557082753291707E-2</c:v>
                </c:pt>
                <c:pt idx="587">
                  <c:v>7.8560269930212104E-2</c:v>
                </c:pt>
                <c:pt idx="588">
                  <c:v>7.8563483994983002E-2</c:v>
                </c:pt>
                <c:pt idx="589">
                  <c:v>7.85667250367246E-2</c:v>
                </c:pt>
                <c:pt idx="590">
                  <c:v>7.85699931449928E-2</c:v>
                </c:pt>
                <c:pt idx="591">
                  <c:v>7.8579960771100008E-2</c:v>
                </c:pt>
                <c:pt idx="592">
                  <c:v>7.8583338049831503E-2</c:v>
                </c:pt>
                <c:pt idx="593">
                  <c:v>7.8586742849490493E-2</c:v>
                </c:pt>
                <c:pt idx="594">
                  <c:v>7.859017526230079E-2</c:v>
                </c:pt>
                <c:pt idx="595">
                  <c:v>7.8593635380939594E-2</c:v>
                </c:pt>
                <c:pt idx="596">
                  <c:v>7.8604182905470402E-2</c:v>
                </c:pt>
                <c:pt idx="597">
                  <c:v>7.5747086218863696E-2</c:v>
                </c:pt>
                <c:pt idx="598">
                  <c:v>7.5747779188122297E-2</c:v>
                </c:pt>
                <c:pt idx="599">
                  <c:v>7.5748493038740997E-2</c:v>
                </c:pt>
                <c:pt idx="600">
                  <c:v>7.5750760568552802E-2</c:v>
                </c:pt>
                <c:pt idx="601">
                  <c:v>7.5751558636129299E-2</c:v>
                </c:pt>
                <c:pt idx="602">
                  <c:v>7.5752377932555001E-2</c:v>
                </c:pt>
                <c:pt idx="603">
                  <c:v>7.5753218528372301E-2</c:v>
                </c:pt>
                <c:pt idx="604">
                  <c:v>7.5754080494478598E-2</c:v>
                </c:pt>
                <c:pt idx="605">
                  <c:v>7.5756795328844509E-2</c:v>
                </c:pt>
                <c:pt idx="606">
                  <c:v>7.5905616608711798E-2</c:v>
                </c:pt>
                <c:pt idx="607">
                  <c:v>7.5301136526722198E-2</c:v>
                </c:pt>
                <c:pt idx="608">
                  <c:v>7.5241547781788598E-2</c:v>
                </c:pt>
                <c:pt idx="609">
                  <c:v>7.5242022800510802E-2</c:v>
                </c:pt>
                <c:pt idx="610">
                  <c:v>7.5160017458074699E-2</c:v>
                </c:pt>
                <c:pt idx="611">
                  <c:v>7.50722202780678E-2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F-4D4E-A9CA-D5AA75EDF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160607"/>
        <c:axId val="1495161855"/>
      </c:lineChart>
      <c:dateAx>
        <c:axId val="1495160607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1495161855"/>
        <c:crosses val="autoZero"/>
        <c:auto val="1"/>
        <c:lblOffset val="100"/>
        <c:baseTimeUnit val="days"/>
      </c:dateAx>
      <c:valAx>
        <c:axId val="1495161855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;\(0.0%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'Income statment'!$A$143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rgbClr val="263238"/>
              </a:solidFill>
              <a:round/>
            </a:ln>
            <a:effectLst/>
          </c:spPr>
          <c:marker>
            <c:symbol val="none"/>
          </c:marker>
          <c:cat>
            <c:strRef>
              <c:f>'Income statment'!$B$142:$O$142</c:f>
              <c:strCach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'Income statment'!$B$143:$O$143</c:f>
              <c:numCache>
                <c:formatCode>0%</c:formatCode>
                <c:ptCount val="14"/>
                <c:pt idx="0">
                  <c:v>0</c:v>
                </c:pt>
                <c:pt idx="1">
                  <c:v>0.13213205515968629</c:v>
                </c:pt>
                <c:pt idx="2">
                  <c:v>0.70319989955933715</c:v>
                </c:pt>
                <c:pt idx="3">
                  <c:v>0.31641480819078827</c:v>
                </c:pt>
                <c:pt idx="4">
                  <c:v>0.13675052897529771</c:v>
                </c:pt>
                <c:pt idx="5">
                  <c:v>0.1044332516679578</c:v>
                </c:pt>
                <c:pt idx="6">
                  <c:v>8.8034271045210222E-2</c:v>
                </c:pt>
                <c:pt idx="7">
                  <c:v>7.5329935146691618E-2</c:v>
                </c:pt>
                <c:pt idx="8">
                  <c:v>6.1122924417281066E-2</c:v>
                </c:pt>
                <c:pt idx="9">
                  <c:v>5.7067480918810753E-2</c:v>
                </c:pt>
                <c:pt idx="10">
                  <c:v>5.2936037198283881E-2</c:v>
                </c:pt>
                <c:pt idx="11">
                  <c:v>4.986498553314056E-2</c:v>
                </c:pt>
                <c:pt idx="12">
                  <c:v>4.8063438342381026E-2</c:v>
                </c:pt>
                <c:pt idx="13">
                  <c:v>4.6690692184762295E-2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B5-4865-8EA9-E2D53FF1EBBD}"/>
            </c:ext>
          </c:extLst>
        </c:ser>
        <c:ser>
          <c:idx val="1"/>
          <c:order val="1"/>
          <c:tx>
            <c:strRef>
              <c:f>'Income statment'!$A$144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rgbClr val="79909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'Income statment'!$B$142:$O$142</c:f>
              <c:strCach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'Income statment'!$B$144:$O$144</c:f>
              <c:numCache>
                <c:formatCode>0%</c:formatCode>
                <c:ptCount val="14"/>
                <c:pt idx="0">
                  <c:v>0</c:v>
                </c:pt>
                <c:pt idx="1">
                  <c:v>0.14479638009049767</c:v>
                </c:pt>
                <c:pt idx="2">
                  <c:v>0.48616600790513842</c:v>
                </c:pt>
                <c:pt idx="3">
                  <c:v>0.31914893617021267</c:v>
                </c:pt>
                <c:pt idx="4">
                  <c:v>0.19837670870080082</c:v>
                </c:pt>
                <c:pt idx="5">
                  <c:v>0.11018550818706174</c:v>
                </c:pt>
                <c:pt idx="6">
                  <c:v>9.3671754314874622E-2</c:v>
                </c:pt>
                <c:pt idx="7">
                  <c:v>8.0872872956726072E-2</c:v>
                </c:pt>
                <c:pt idx="8">
                  <c:v>6.656458043993374E-2</c:v>
                </c:pt>
                <c:pt idx="9">
                  <c:v>6.2460682352069918E-2</c:v>
                </c:pt>
                <c:pt idx="10">
                  <c:v>5.8280890178985745E-2</c:v>
                </c:pt>
                <c:pt idx="11">
                  <c:v>5.5167333944924124E-2</c:v>
                </c:pt>
                <c:pt idx="12">
                  <c:v>5.3330088786312402E-2</c:v>
                </c:pt>
                <c:pt idx="13">
                  <c:v>5.1924145645685815E-2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B5-4865-8EA9-E2D53FF1E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160607"/>
        <c:axId val="1495161855"/>
        <c:extLst/>
      </c:lineChart>
      <c:catAx>
        <c:axId val="1495160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1495161855"/>
        <c:crosses val="autoZero"/>
        <c:auto val="1"/>
        <c:lblAlgn val="ctr"/>
        <c:lblOffset val="100"/>
        <c:noMultiLvlLbl val="0"/>
      </c:catAx>
      <c:valAx>
        <c:axId val="149516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'BS and debt'!$A$79</c:f>
              <c:strCache>
                <c:ptCount val="1"/>
                <c:pt idx="0">
                  <c:v>Net debt/EBITDA</c:v>
                </c:pt>
              </c:strCache>
            </c:strRef>
          </c:tx>
          <c:spPr>
            <a:solidFill>
              <a:srgbClr val="2632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04040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'BS and debt'!$B$78:$O$78</c:f>
              <c:strCach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2024E</c:v>
                </c:pt>
                <c:pt idx="5">
                  <c:v>2025E</c:v>
                </c:pt>
                <c:pt idx="6">
                  <c:v>2026E</c:v>
                </c:pt>
                <c:pt idx="7">
                  <c:v>2027E</c:v>
                </c:pt>
                <c:pt idx="8">
                  <c:v>2028E</c:v>
                </c:pt>
                <c:pt idx="9">
                  <c:v>2029E</c:v>
                </c:pt>
                <c:pt idx="10">
                  <c:v>2030E</c:v>
                </c:pt>
                <c:pt idx="11">
                  <c:v>2031E</c:v>
                </c:pt>
                <c:pt idx="12">
                  <c:v>2032E</c:v>
                </c:pt>
                <c:pt idx="13">
                  <c:v>2033E</c:v>
                </c:pt>
              </c:strCache>
            </c:strRef>
          </c:cat>
          <c:val>
            <c:numRef>
              <c:f>'BS and debt'!$B$79:$O$79</c:f>
              <c:numCache>
                <c:formatCode>#,##0.0</c:formatCode>
                <c:ptCount val="14"/>
                <c:pt idx="0">
                  <c:v>2</c:v>
                </c:pt>
                <c:pt idx="1">
                  <c:v>1.56</c:v>
                </c:pt>
                <c:pt idx="2">
                  <c:v>1.9713479318734797</c:v>
                </c:pt>
                <c:pt idx="3">
                  <c:v>2.5429798165137614</c:v>
                </c:pt>
                <c:pt idx="4">
                  <c:v>2.4023452591690013</c:v>
                </c:pt>
                <c:pt idx="5">
                  <c:v>2.1871957565837832</c:v>
                </c:pt>
                <c:pt idx="6">
                  <c:v>1.9779484660626958</c:v>
                </c:pt>
                <c:pt idx="7">
                  <c:v>1.7843786619548172</c:v>
                </c:pt>
                <c:pt idx="8">
                  <c:v>1.6027452773012643</c:v>
                </c:pt>
                <c:pt idx="9">
                  <c:v>1.4159504276527075</c:v>
                </c:pt>
                <c:pt idx="10">
                  <c:v>1.2279509379863622</c:v>
                </c:pt>
                <c:pt idx="11">
                  <c:v>1.0388174804147741</c:v>
                </c:pt>
                <c:pt idx="12">
                  <c:v>0.86903683005519783</c:v>
                </c:pt>
                <c:pt idx="13">
                  <c:v>0.71928182439223265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5-4F33-B2A2-A491159F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501656"/>
        <c:axId val="436497392"/>
      </c:barChart>
      <c:catAx>
        <c:axId val="436501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95959"/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436497392"/>
        <c:crosses val="autoZero"/>
        <c:auto val="1"/>
        <c:lblAlgn val="ctr"/>
        <c:lblOffset val="100"/>
        <c:noMultiLvlLbl val="0"/>
      </c:catAx>
      <c:valAx>
        <c:axId val="43649739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43650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'BS and debt'!$E$84</c:f>
              <c:strCache>
                <c:ptCount val="1"/>
                <c:pt idx="0">
                  <c:v>Listed Bond</c:v>
                </c:pt>
              </c:strCache>
            </c:strRef>
          </c:tx>
          <c:spPr>
            <a:solidFill>
              <a:srgbClr val="2632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'BS and debt'!$F$83:$K$83</c:f>
              <c:strCache>
                <c:ptCount val="6"/>
                <c:pt idx="0">
                  <c:v>2024E</c:v>
                </c:pt>
                <c:pt idx="1">
                  <c:v>2025E</c:v>
                </c:pt>
                <c:pt idx="2">
                  <c:v>2026E</c:v>
                </c:pt>
                <c:pt idx="3">
                  <c:v>2027E</c:v>
                </c:pt>
                <c:pt idx="4">
                  <c:v>2028E</c:v>
                </c:pt>
                <c:pt idx="5">
                  <c:v>2029E</c:v>
                </c:pt>
              </c:strCache>
            </c:strRef>
          </c:cat>
          <c:val>
            <c:numRef>
              <c:f>'BS and debt'!$F$84:$K$84</c:f>
              <c:numCache>
                <c:formatCode>General</c:formatCode>
                <c:ptCount val="6"/>
                <c:pt idx="3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6-476A-8876-8B65B738C694}"/>
            </c:ext>
          </c:extLst>
        </c:ser>
        <c:ser>
          <c:idx val="1"/>
          <c:order val="1"/>
          <c:tx>
            <c:strRef>
              <c:f>'BS and debt'!$E$85</c:f>
              <c:strCache>
                <c:ptCount val="1"/>
                <c:pt idx="0">
                  <c:v>JPM A</c:v>
                </c:pt>
              </c:strCache>
            </c:strRef>
          </c:tx>
          <c:spPr>
            <a:solidFill>
              <a:srgbClr val="799098"/>
            </a:solidFill>
            <a:ln>
              <a:noFill/>
            </a:ln>
            <a:effectLst/>
          </c:spPr>
          <c:invertIfNegative val="0"/>
          <c:cat>
            <c:strRef>
              <c:f>'BS and debt'!$F$83:$K$83</c:f>
              <c:strCache>
                <c:ptCount val="6"/>
                <c:pt idx="0">
                  <c:v>2024E</c:v>
                </c:pt>
                <c:pt idx="1">
                  <c:v>2025E</c:v>
                </c:pt>
                <c:pt idx="2">
                  <c:v>2026E</c:v>
                </c:pt>
                <c:pt idx="3">
                  <c:v>2027E</c:v>
                </c:pt>
                <c:pt idx="4">
                  <c:v>2028E</c:v>
                </c:pt>
                <c:pt idx="5">
                  <c:v>2029E</c:v>
                </c:pt>
              </c:strCache>
            </c:strRef>
          </c:cat>
          <c:val>
            <c:numRef>
              <c:f>'BS and debt'!$F$85:$K$85</c:f>
              <c:numCache>
                <c:formatCode>General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6-476A-8876-8B65B738C694}"/>
            </c:ext>
          </c:extLst>
        </c:ser>
        <c:ser>
          <c:idx val="2"/>
          <c:order val="2"/>
          <c:tx>
            <c:strRef>
              <c:f>'BS and debt'!$E$86</c:f>
              <c:strCache>
                <c:ptCount val="1"/>
                <c:pt idx="0">
                  <c:v>JPM B</c:v>
                </c:pt>
              </c:strCache>
            </c:strRef>
          </c:tx>
          <c:spPr>
            <a:solidFill>
              <a:srgbClr val="F9663E"/>
            </a:solidFill>
            <a:ln>
              <a:noFill/>
            </a:ln>
            <a:effectLst/>
          </c:spPr>
          <c:invertIfNegative val="0"/>
          <c:cat>
            <c:strRef>
              <c:f>'BS and debt'!$F$83:$K$83</c:f>
              <c:strCache>
                <c:ptCount val="6"/>
                <c:pt idx="0">
                  <c:v>2024E</c:v>
                </c:pt>
                <c:pt idx="1">
                  <c:v>2025E</c:v>
                </c:pt>
                <c:pt idx="2">
                  <c:v>2026E</c:v>
                </c:pt>
                <c:pt idx="3">
                  <c:v>2027E</c:v>
                </c:pt>
                <c:pt idx="4">
                  <c:v>2028E</c:v>
                </c:pt>
                <c:pt idx="5">
                  <c:v>2029E</c:v>
                </c:pt>
              </c:strCache>
            </c:strRef>
          </c:cat>
          <c:val>
            <c:numRef>
              <c:f>'BS and debt'!$F$86:$K$86</c:f>
              <c:numCache>
                <c:formatCode>General</c:formatCode>
                <c:ptCount val="6"/>
                <c:pt idx="1">
                  <c:v>9.3333333333333339</c:v>
                </c:pt>
                <c:pt idx="2">
                  <c:v>9.3333333333333339</c:v>
                </c:pt>
                <c:pt idx="3">
                  <c:v>9.3333333333333339</c:v>
                </c:pt>
                <c:pt idx="4">
                  <c:v>9.3333333333333339</c:v>
                </c:pt>
                <c:pt idx="5">
                  <c:v>9.3333333333333339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C6-476A-8876-8B65B738C694}"/>
            </c:ext>
          </c:extLst>
        </c:ser>
        <c:ser>
          <c:idx val="3"/>
          <c:order val="3"/>
          <c:tx>
            <c:strRef>
              <c:f>'BS and debt'!$E$87</c:f>
              <c:strCache>
                <c:ptCount val="1"/>
                <c:pt idx="0">
                  <c:v>Tanzania</c:v>
                </c:pt>
              </c:strCache>
            </c:strRef>
          </c:tx>
          <c:spPr>
            <a:solidFill>
              <a:srgbClr val="C7FE02"/>
            </a:solidFill>
            <a:ln>
              <a:noFill/>
            </a:ln>
            <a:effectLst/>
          </c:spPr>
          <c:invertIfNegative val="0"/>
          <c:cat>
            <c:strRef>
              <c:f>'BS and debt'!$F$83:$K$83</c:f>
              <c:strCache>
                <c:ptCount val="6"/>
                <c:pt idx="0">
                  <c:v>2024E</c:v>
                </c:pt>
                <c:pt idx="1">
                  <c:v>2025E</c:v>
                </c:pt>
                <c:pt idx="2">
                  <c:v>2026E</c:v>
                </c:pt>
                <c:pt idx="3">
                  <c:v>2027E</c:v>
                </c:pt>
                <c:pt idx="4">
                  <c:v>2028E</c:v>
                </c:pt>
                <c:pt idx="5">
                  <c:v>2029E</c:v>
                </c:pt>
              </c:strCache>
            </c:strRef>
          </c:cat>
          <c:val>
            <c:numRef>
              <c:f>'BS and debt'!$F$87:$K$87</c:f>
              <c:numCache>
                <c:formatCode>General</c:formatCode>
                <c:ptCount val="6"/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C6-476A-8876-8B65B738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495160607"/>
        <c:axId val="1495161855"/>
      </c:barChart>
      <c:catAx>
        <c:axId val="1495160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1495161855"/>
        <c:crosses val="autoZero"/>
        <c:auto val="1"/>
        <c:lblAlgn val="ctr"/>
        <c:lblOffset val="100"/>
        <c:noMultiLvlLbl val="0"/>
      </c:catAx>
      <c:valAx>
        <c:axId val="14951618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tx>
            <c:strRef>
              <c:f>Analysis!$B$3</c:f>
              <c:strCache>
                <c:ptCount val="1"/>
                <c:pt idx="0">
                  <c:v>2024E Rev</c:v>
                </c:pt>
              </c:strCache>
            </c:strRef>
          </c:tx>
          <c:dPt>
            <c:idx val="0"/>
            <c:bubble3D val="0"/>
            <c:spPr>
              <a:solidFill>
                <a:srgbClr val="26323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2-4C42-89B0-C96EAFF36FDB}"/>
              </c:ext>
            </c:extLst>
          </c:dPt>
          <c:dPt>
            <c:idx val="1"/>
            <c:bubble3D val="0"/>
            <c:spPr>
              <a:solidFill>
                <a:srgbClr val="799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2-4C42-89B0-C96EAFF36FDB}"/>
              </c:ext>
            </c:extLst>
          </c:dPt>
          <c:dPt>
            <c:idx val="2"/>
            <c:bubble3D val="0"/>
            <c:spPr>
              <a:solidFill>
                <a:srgbClr val="F966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2-4C42-89B0-C96EAFF36FDB}"/>
              </c:ext>
            </c:extLst>
          </c:dPt>
          <c:dPt>
            <c:idx val="3"/>
            <c:bubble3D val="0"/>
            <c:spPr>
              <a:solidFill>
                <a:srgbClr val="C7FE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2-4C42-89B0-C96EAFF36FDB}"/>
              </c:ext>
            </c:extLst>
          </c:dPt>
          <c:dPt>
            <c:idx val="4"/>
            <c:bubble3D val="0"/>
            <c:spPr>
              <a:solidFill>
                <a:srgbClr val="00CA9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22-4C42-89B0-C96EAFF36FDB}"/>
              </c:ext>
            </c:extLst>
          </c:dPt>
          <c:dPt>
            <c:idx val="5"/>
            <c:bubble3D val="0"/>
            <c:spPr>
              <a:solidFill>
                <a:srgbClr val="465A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22-4C42-89B0-C96EAFF36FDB}"/>
              </c:ext>
            </c:extLst>
          </c:dPt>
          <c:dPt>
            <c:idx val="6"/>
            <c:bubble3D val="0"/>
            <c:spPr>
              <a:solidFill>
                <a:srgbClr val="B0BE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22-4C42-89B0-C96EAFF36FDB}"/>
              </c:ext>
            </c:extLst>
          </c:dPt>
          <c:dPt>
            <c:idx val="7"/>
            <c:bubble3D val="0"/>
            <c:spPr>
              <a:solidFill>
                <a:srgbClr val="F1937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722-4C42-89B0-C96EAFF36FDB}"/>
              </c:ext>
            </c:extLst>
          </c:dPt>
          <c:dPt>
            <c:idx val="8"/>
            <c:bubble3D val="0"/>
            <c:spPr>
              <a:solidFill>
                <a:srgbClr val="E3F9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722-4C42-89B0-C96EAFF36FDB}"/>
              </c:ext>
            </c:extLst>
          </c:dPt>
          <c:dPt>
            <c:idx val="9"/>
            <c:bubble3D val="0"/>
            <c:spPr>
              <a:solidFill>
                <a:srgbClr val="80D4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722-4C42-89B0-C96EAFF36FD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722-4C42-89B0-C96EAFF36F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22-4C42-89B0-C96EAFF36FD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722-4C42-89B0-C96EAFF36FD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4D4D4D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6722-4C42-89B0-C96EAFF36F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D4D4D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Analysis!$A$4:$A$9</c:f>
              <c:strCache>
                <c:ptCount val="6"/>
                <c:pt idx="0">
                  <c:v>Madagascar</c:v>
                </c:pt>
                <c:pt idx="1">
                  <c:v>Togo</c:v>
                </c:pt>
                <c:pt idx="2">
                  <c:v>Tanzania</c:v>
                </c:pt>
                <c:pt idx="3">
                  <c:v>Senegal</c:v>
                </c:pt>
                <c:pt idx="4">
                  <c:v>Uganda</c:v>
                </c:pt>
                <c:pt idx="5">
                  <c:v>Mauritius</c:v>
                </c:pt>
              </c:strCache>
            </c:strRef>
          </c:cat>
          <c:val>
            <c:numRef>
              <c:f>Analysis!$B$4:$B$9</c:f>
              <c:numCache>
                <c:formatCode>#,##0</c:formatCode>
                <c:ptCount val="6"/>
                <c:pt idx="0">
                  <c:v>369.11461493073796</c:v>
                </c:pt>
                <c:pt idx="1">
                  <c:v>218.9033856269595</c:v>
                </c:pt>
                <c:pt idx="2">
                  <c:v>357.02315343313046</c:v>
                </c:pt>
                <c:pt idx="3">
                  <c:v>135.32526000000001</c:v>
                </c:pt>
                <c:pt idx="4">
                  <c:v>13.072236</c:v>
                </c:pt>
                <c:pt idx="5">
                  <c:v>8.7148240000000001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722-4C42-89B0-C96EAFF3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263238"/>
            </a:solidFill>
          </c:spPr>
          <c:dPt>
            <c:idx val="0"/>
            <c:bubble3D val="0"/>
            <c:spPr>
              <a:solidFill>
                <a:srgbClr val="26323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68-4F57-8F4F-1F966744F314}"/>
              </c:ext>
            </c:extLst>
          </c:dPt>
          <c:dPt>
            <c:idx val="1"/>
            <c:bubble3D val="0"/>
            <c:spPr>
              <a:solidFill>
                <a:srgbClr val="465A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2FC-419B-8F95-9BD3A8AE568D}"/>
              </c:ext>
            </c:extLst>
          </c:dPt>
          <c:dPt>
            <c:idx val="2"/>
            <c:bubble3D val="0"/>
            <c:spPr>
              <a:solidFill>
                <a:srgbClr val="617D8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2FC-419B-8F95-9BD3A8AE568D}"/>
              </c:ext>
            </c:extLst>
          </c:dPt>
          <c:dPt>
            <c:idx val="3"/>
            <c:bubble3D val="0"/>
            <c:spPr>
              <a:solidFill>
                <a:srgbClr val="91A4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2FC-419B-8F95-9BD3A8AE568D}"/>
              </c:ext>
            </c:extLst>
          </c:dPt>
          <c:dPt>
            <c:idx val="4"/>
            <c:bubble3D val="0"/>
            <c:spPr>
              <a:solidFill>
                <a:srgbClr val="CFD8D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2FC-419B-8F95-9BD3A8AE568D}"/>
              </c:ext>
            </c:extLst>
          </c:dPt>
          <c:dPt>
            <c:idx val="5"/>
            <c:bubble3D val="0"/>
            <c:spPr>
              <a:solidFill>
                <a:srgbClr val="F2F2F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2FC-419B-8F95-9BD3A8AE568D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B2FC-419B-8F95-9BD3A8AE568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B2FC-419B-8F95-9BD3A8AE568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Roboto" pitchFamily="2" charset="0"/>
                      <a:ea typeface="Roboto" pitchFamily="2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2FC-419B-8F95-9BD3A8AE56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Analysis!$A$13:$A$16</c:f>
              <c:strCache>
                <c:ptCount val="4"/>
                <c:pt idx="0">
                  <c:v>Mobile &amp; Fixed</c:v>
                </c:pt>
                <c:pt idx="1">
                  <c:v>Infrastructure</c:v>
                </c:pt>
                <c:pt idx="2">
                  <c:v>Digital &amp; Mobile Financial</c:v>
                </c:pt>
                <c:pt idx="3">
                  <c:v>Other</c:v>
                </c:pt>
              </c:strCache>
            </c:strRef>
          </c:cat>
          <c:val>
            <c:numRef>
              <c:f>Analysis!$B$13:$B$16</c:f>
              <c:numCache>
                <c:formatCode>General</c:formatCode>
                <c:ptCount val="4"/>
                <c:pt idx="0">
                  <c:v>66</c:v>
                </c:pt>
                <c:pt idx="1">
                  <c:v>12</c:v>
                </c:pt>
                <c:pt idx="2">
                  <c:v>15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C-419B-8F95-9BD3A8AE5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63238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90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9C-45AE-BDBF-517135C6058A}"/>
              </c:ext>
            </c:extLst>
          </c:dPt>
          <c:dPt>
            <c:idx val="2"/>
            <c:invertIfNegative val="0"/>
            <c:bubble3D val="0"/>
            <c:spPr>
              <a:solidFill>
                <a:srgbClr val="F9663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9C-45AE-BDBF-517135C6058A}"/>
              </c:ext>
            </c:extLst>
          </c:dPt>
          <c:dPt>
            <c:idx val="3"/>
            <c:invertIfNegative val="0"/>
            <c:bubble3D val="0"/>
            <c:spPr>
              <a:solidFill>
                <a:srgbClr val="C7FE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9C-45AE-BDBF-517135C60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04040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Analysis!$A$23:$A$26</c:f>
              <c:strCache>
                <c:ptCount val="4"/>
                <c:pt idx="0">
                  <c:v>Madagascar</c:v>
                </c:pt>
                <c:pt idx="1">
                  <c:v>Togo</c:v>
                </c:pt>
                <c:pt idx="2">
                  <c:v>Tanzania</c:v>
                </c:pt>
                <c:pt idx="3">
                  <c:v>Senegal</c:v>
                </c:pt>
              </c:strCache>
            </c:strRef>
          </c:cat>
          <c:val>
            <c:numRef>
              <c:f>Analysis!$B$23:$B$26</c:f>
              <c:numCache>
                <c:formatCode>0%</c:formatCode>
                <c:ptCount val="4"/>
                <c:pt idx="0">
                  <c:v>0.43689320388349512</c:v>
                </c:pt>
                <c:pt idx="1">
                  <c:v>0.58441373415016384</c:v>
                </c:pt>
                <c:pt idx="2">
                  <c:v>0.26078428140504722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5-4F33-B2A2-A491159F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36501656"/>
        <c:axId val="436497392"/>
      </c:barChart>
      <c:catAx>
        <c:axId val="43650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595959"/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436497392"/>
        <c:crosses val="autoZero"/>
        <c:auto val="1"/>
        <c:lblAlgn val="ctr"/>
        <c:lblOffset val="100"/>
        <c:noMultiLvlLbl val="0"/>
      </c:catAx>
      <c:valAx>
        <c:axId val="4364973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50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Analysis!$B$48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rgbClr val="2632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rgbClr val="4D4D4D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Analysis!$A$49:$A$52</c:f>
              <c:strCache>
                <c:ptCount val="4"/>
                <c:pt idx="0">
                  <c:v>Madagascar</c:v>
                </c:pt>
                <c:pt idx="1">
                  <c:v>Togo</c:v>
                </c:pt>
                <c:pt idx="2">
                  <c:v>Tanzania</c:v>
                </c:pt>
                <c:pt idx="3">
                  <c:v>Senegal</c:v>
                </c:pt>
              </c:strCache>
            </c:strRef>
          </c:cat>
          <c:val>
            <c:numRef>
              <c:f>Analysis!$B$49:$B$52</c:f>
              <c:numCache>
                <c:formatCode>0%</c:formatCode>
                <c:ptCount val="4"/>
                <c:pt idx="0">
                  <c:v>0.66600000000000004</c:v>
                </c:pt>
                <c:pt idx="1">
                  <c:v>0.87</c:v>
                </c:pt>
                <c:pt idx="2">
                  <c:v>1.224</c:v>
                </c:pt>
                <c:pt idx="3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7-4986-8373-DD0E19E8F0E7}"/>
            </c:ext>
          </c:extLst>
        </c:ser>
        <c:ser>
          <c:idx val="1"/>
          <c:order val="1"/>
          <c:tx>
            <c:strRef>
              <c:f>Analysis!$C$48</c:f>
              <c:strCache>
                <c:ptCount val="1"/>
                <c:pt idx="0">
                  <c:v>Mobile data</c:v>
                </c:pt>
              </c:strCache>
            </c:strRef>
          </c:tx>
          <c:spPr>
            <a:solidFill>
              <a:srgbClr val="79909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4D4D4D"/>
                    </a:solidFill>
                    <a:latin typeface="Roboto" pitchFamily="2" charset="0"/>
                    <a:ea typeface="Roboto" pitchFamily="2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Analysis!$A$49:$A$52</c:f>
              <c:strCache>
                <c:ptCount val="4"/>
                <c:pt idx="0">
                  <c:v>Madagascar</c:v>
                </c:pt>
                <c:pt idx="1">
                  <c:v>Togo</c:v>
                </c:pt>
                <c:pt idx="2">
                  <c:v>Tanzania</c:v>
                </c:pt>
                <c:pt idx="3">
                  <c:v>Senegal</c:v>
                </c:pt>
              </c:strCache>
            </c:strRef>
          </c:cat>
          <c:val>
            <c:numRef>
              <c:f>Analysis!$C$49:$C$52</c:f>
              <c:numCache>
                <c:formatCode>0%</c:formatCode>
                <c:ptCount val="4"/>
                <c:pt idx="0">
                  <c:v>0.379</c:v>
                </c:pt>
                <c:pt idx="1">
                  <c:v>0.64900000000000002</c:v>
                </c:pt>
                <c:pt idx="2">
                  <c:v>0.63700000000000001</c:v>
                </c:pt>
                <c:pt idx="3">
                  <c:v>1.161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7-4986-8373-DD0E19E8F0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30"/>
        <c:axId val="1495160607"/>
        <c:axId val="1495161855"/>
      </c:barChart>
      <c:catAx>
        <c:axId val="149516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1495161855"/>
        <c:crosses val="autoZero"/>
        <c:auto val="1"/>
        <c:lblAlgn val="ctr"/>
        <c:lblOffset val="100"/>
        <c:noMultiLvlLbl val="0"/>
      </c:catAx>
      <c:valAx>
        <c:axId val="149516185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49516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Roboto" pitchFamily="2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YTW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'Bond pricing'!$F$3</c:f>
              <c:strCache>
                <c:ptCount val="1"/>
                <c:pt idx="0">
                  <c:v>AXIAN Group USD420m Feb 2027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'Bond pricing'!$E$4:$E$689</c:f>
              <c:numCache>
                <c:formatCode>d\-mmm\-yy</c:formatCode>
                <c:ptCount val="686"/>
                <c:pt idx="0">
                  <c:v>44561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44571</c:v>
                </c:pt>
                <c:pt idx="7">
                  <c:v>44572</c:v>
                </c:pt>
                <c:pt idx="8">
                  <c:v>44573</c:v>
                </c:pt>
                <c:pt idx="9">
                  <c:v>44574</c:v>
                </c:pt>
                <c:pt idx="10">
                  <c:v>44575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44673</c:v>
                </c:pt>
                <c:pt idx="78">
                  <c:v>44676</c:v>
                </c:pt>
                <c:pt idx="79">
                  <c:v>44677</c:v>
                </c:pt>
                <c:pt idx="80">
                  <c:v>44678</c:v>
                </c:pt>
                <c:pt idx="81">
                  <c:v>44679</c:v>
                </c:pt>
                <c:pt idx="82">
                  <c:v>44680</c:v>
                </c:pt>
                <c:pt idx="83">
                  <c:v>44683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44882</c:v>
                </c:pt>
                <c:pt idx="223">
                  <c:v>44883</c:v>
                </c:pt>
                <c:pt idx="224">
                  <c:v>44886</c:v>
                </c:pt>
                <c:pt idx="225">
                  <c:v>44887</c:v>
                </c:pt>
                <c:pt idx="226">
                  <c:v>44888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44922</c:v>
                </c:pt>
                <c:pt idx="249">
                  <c:v>44923</c:v>
                </c:pt>
                <c:pt idx="250">
                  <c:v>44924</c:v>
                </c:pt>
                <c:pt idx="251">
                  <c:v>44925</c:v>
                </c:pt>
                <c:pt idx="252">
                  <c:v>44929</c:v>
                </c:pt>
                <c:pt idx="253">
                  <c:v>44930</c:v>
                </c:pt>
                <c:pt idx="254">
                  <c:v>44931</c:v>
                </c:pt>
                <c:pt idx="255">
                  <c:v>44932</c:v>
                </c:pt>
                <c:pt idx="256">
                  <c:v>44935</c:v>
                </c:pt>
                <c:pt idx="257">
                  <c:v>44936</c:v>
                </c:pt>
                <c:pt idx="258">
                  <c:v>44937</c:v>
                </c:pt>
                <c:pt idx="259">
                  <c:v>44938</c:v>
                </c:pt>
                <c:pt idx="260">
                  <c:v>44939</c:v>
                </c:pt>
                <c:pt idx="261">
                  <c:v>44943</c:v>
                </c:pt>
                <c:pt idx="262">
                  <c:v>44944</c:v>
                </c:pt>
                <c:pt idx="263">
                  <c:v>44945</c:v>
                </c:pt>
                <c:pt idx="264">
                  <c:v>44946</c:v>
                </c:pt>
                <c:pt idx="265">
                  <c:v>44949</c:v>
                </c:pt>
                <c:pt idx="266">
                  <c:v>44950</c:v>
                </c:pt>
                <c:pt idx="267">
                  <c:v>44951</c:v>
                </c:pt>
                <c:pt idx="268">
                  <c:v>44952</c:v>
                </c:pt>
                <c:pt idx="269">
                  <c:v>44953</c:v>
                </c:pt>
                <c:pt idx="270">
                  <c:v>44956</c:v>
                </c:pt>
                <c:pt idx="271">
                  <c:v>44957</c:v>
                </c:pt>
                <c:pt idx="272">
                  <c:v>44958</c:v>
                </c:pt>
                <c:pt idx="273">
                  <c:v>44959</c:v>
                </c:pt>
                <c:pt idx="274">
                  <c:v>44960</c:v>
                </c:pt>
                <c:pt idx="275">
                  <c:v>44963</c:v>
                </c:pt>
                <c:pt idx="276">
                  <c:v>44964</c:v>
                </c:pt>
                <c:pt idx="277">
                  <c:v>44965</c:v>
                </c:pt>
                <c:pt idx="278">
                  <c:v>44966</c:v>
                </c:pt>
                <c:pt idx="279">
                  <c:v>44967</c:v>
                </c:pt>
                <c:pt idx="280">
                  <c:v>44970</c:v>
                </c:pt>
                <c:pt idx="281">
                  <c:v>44971</c:v>
                </c:pt>
                <c:pt idx="282">
                  <c:v>44972</c:v>
                </c:pt>
                <c:pt idx="283">
                  <c:v>44973</c:v>
                </c:pt>
                <c:pt idx="284">
                  <c:v>44974</c:v>
                </c:pt>
                <c:pt idx="285">
                  <c:v>44978</c:v>
                </c:pt>
                <c:pt idx="286">
                  <c:v>44979</c:v>
                </c:pt>
                <c:pt idx="287">
                  <c:v>44980</c:v>
                </c:pt>
                <c:pt idx="288">
                  <c:v>44981</c:v>
                </c:pt>
                <c:pt idx="289">
                  <c:v>44984</c:v>
                </c:pt>
                <c:pt idx="290">
                  <c:v>44985</c:v>
                </c:pt>
                <c:pt idx="291">
                  <c:v>44986</c:v>
                </c:pt>
                <c:pt idx="292">
                  <c:v>44987</c:v>
                </c:pt>
                <c:pt idx="293">
                  <c:v>44988</c:v>
                </c:pt>
                <c:pt idx="294">
                  <c:v>44991</c:v>
                </c:pt>
                <c:pt idx="295">
                  <c:v>44992</c:v>
                </c:pt>
                <c:pt idx="296">
                  <c:v>44993</c:v>
                </c:pt>
                <c:pt idx="297">
                  <c:v>44994</c:v>
                </c:pt>
                <c:pt idx="298">
                  <c:v>44995</c:v>
                </c:pt>
                <c:pt idx="299">
                  <c:v>44998</c:v>
                </c:pt>
                <c:pt idx="300">
                  <c:v>44999</c:v>
                </c:pt>
                <c:pt idx="301">
                  <c:v>45000</c:v>
                </c:pt>
                <c:pt idx="302">
                  <c:v>45001</c:v>
                </c:pt>
                <c:pt idx="303">
                  <c:v>45002</c:v>
                </c:pt>
                <c:pt idx="304">
                  <c:v>45005</c:v>
                </c:pt>
                <c:pt idx="305">
                  <c:v>45006</c:v>
                </c:pt>
                <c:pt idx="306">
                  <c:v>45007</c:v>
                </c:pt>
                <c:pt idx="307">
                  <c:v>45008</c:v>
                </c:pt>
                <c:pt idx="308">
                  <c:v>45009</c:v>
                </c:pt>
                <c:pt idx="309">
                  <c:v>45012</c:v>
                </c:pt>
                <c:pt idx="310">
                  <c:v>45013</c:v>
                </c:pt>
                <c:pt idx="311">
                  <c:v>45014</c:v>
                </c:pt>
                <c:pt idx="312">
                  <c:v>45015</c:v>
                </c:pt>
                <c:pt idx="313">
                  <c:v>45016</c:v>
                </c:pt>
                <c:pt idx="314">
                  <c:v>45019</c:v>
                </c:pt>
                <c:pt idx="315">
                  <c:v>45020</c:v>
                </c:pt>
                <c:pt idx="316">
                  <c:v>45021</c:v>
                </c:pt>
                <c:pt idx="317">
                  <c:v>45022</c:v>
                </c:pt>
                <c:pt idx="318">
                  <c:v>45026</c:v>
                </c:pt>
                <c:pt idx="319">
                  <c:v>45027</c:v>
                </c:pt>
                <c:pt idx="320">
                  <c:v>45028</c:v>
                </c:pt>
                <c:pt idx="321">
                  <c:v>45029</c:v>
                </c:pt>
                <c:pt idx="322">
                  <c:v>45030</c:v>
                </c:pt>
                <c:pt idx="323">
                  <c:v>45033</c:v>
                </c:pt>
                <c:pt idx="324">
                  <c:v>45034</c:v>
                </c:pt>
                <c:pt idx="325">
                  <c:v>45035</c:v>
                </c:pt>
                <c:pt idx="326">
                  <c:v>45036</c:v>
                </c:pt>
                <c:pt idx="327">
                  <c:v>45037</c:v>
                </c:pt>
                <c:pt idx="328">
                  <c:v>45040</c:v>
                </c:pt>
                <c:pt idx="329">
                  <c:v>45041</c:v>
                </c:pt>
                <c:pt idx="330">
                  <c:v>45042</c:v>
                </c:pt>
                <c:pt idx="331">
                  <c:v>45043</c:v>
                </c:pt>
                <c:pt idx="332">
                  <c:v>45044</c:v>
                </c:pt>
                <c:pt idx="333">
                  <c:v>45047</c:v>
                </c:pt>
                <c:pt idx="334">
                  <c:v>45048</c:v>
                </c:pt>
                <c:pt idx="335">
                  <c:v>45049</c:v>
                </c:pt>
                <c:pt idx="336">
                  <c:v>45050</c:v>
                </c:pt>
                <c:pt idx="337">
                  <c:v>45051</c:v>
                </c:pt>
                <c:pt idx="338">
                  <c:v>45054</c:v>
                </c:pt>
                <c:pt idx="339">
                  <c:v>45055</c:v>
                </c:pt>
                <c:pt idx="340">
                  <c:v>45056</c:v>
                </c:pt>
                <c:pt idx="341">
                  <c:v>45057</c:v>
                </c:pt>
                <c:pt idx="342">
                  <c:v>45058</c:v>
                </c:pt>
                <c:pt idx="343">
                  <c:v>45061</c:v>
                </c:pt>
                <c:pt idx="344">
                  <c:v>45062</c:v>
                </c:pt>
                <c:pt idx="345">
                  <c:v>45063</c:v>
                </c:pt>
                <c:pt idx="346">
                  <c:v>45064</c:v>
                </c:pt>
                <c:pt idx="347">
                  <c:v>45065</c:v>
                </c:pt>
                <c:pt idx="348">
                  <c:v>45068</c:v>
                </c:pt>
                <c:pt idx="349">
                  <c:v>45069</c:v>
                </c:pt>
                <c:pt idx="350">
                  <c:v>45070</c:v>
                </c:pt>
                <c:pt idx="351">
                  <c:v>45071</c:v>
                </c:pt>
                <c:pt idx="352">
                  <c:v>45072</c:v>
                </c:pt>
                <c:pt idx="353">
                  <c:v>45076</c:v>
                </c:pt>
                <c:pt idx="354">
                  <c:v>45077</c:v>
                </c:pt>
                <c:pt idx="355">
                  <c:v>45078</c:v>
                </c:pt>
                <c:pt idx="356">
                  <c:v>45079</c:v>
                </c:pt>
                <c:pt idx="357">
                  <c:v>45082</c:v>
                </c:pt>
                <c:pt idx="358">
                  <c:v>45083</c:v>
                </c:pt>
                <c:pt idx="359">
                  <c:v>45084</c:v>
                </c:pt>
                <c:pt idx="360">
                  <c:v>45085</c:v>
                </c:pt>
                <c:pt idx="361">
                  <c:v>45086</c:v>
                </c:pt>
                <c:pt idx="362">
                  <c:v>45089</c:v>
                </c:pt>
                <c:pt idx="363">
                  <c:v>45090</c:v>
                </c:pt>
                <c:pt idx="364">
                  <c:v>45091</c:v>
                </c:pt>
                <c:pt idx="365">
                  <c:v>45092</c:v>
                </c:pt>
                <c:pt idx="366">
                  <c:v>45093</c:v>
                </c:pt>
                <c:pt idx="367">
                  <c:v>45097</c:v>
                </c:pt>
                <c:pt idx="368">
                  <c:v>45098</c:v>
                </c:pt>
                <c:pt idx="369">
                  <c:v>45099</c:v>
                </c:pt>
                <c:pt idx="370">
                  <c:v>45100</c:v>
                </c:pt>
                <c:pt idx="371">
                  <c:v>45103</c:v>
                </c:pt>
                <c:pt idx="372">
                  <c:v>45104</c:v>
                </c:pt>
                <c:pt idx="373">
                  <c:v>45105</c:v>
                </c:pt>
                <c:pt idx="374">
                  <c:v>45106</c:v>
                </c:pt>
                <c:pt idx="375">
                  <c:v>45107</c:v>
                </c:pt>
                <c:pt idx="376">
                  <c:v>45110</c:v>
                </c:pt>
                <c:pt idx="377">
                  <c:v>45112</c:v>
                </c:pt>
                <c:pt idx="378">
                  <c:v>45113</c:v>
                </c:pt>
                <c:pt idx="379">
                  <c:v>45114</c:v>
                </c:pt>
                <c:pt idx="380">
                  <c:v>45117</c:v>
                </c:pt>
                <c:pt idx="381">
                  <c:v>45118</c:v>
                </c:pt>
                <c:pt idx="382">
                  <c:v>45119</c:v>
                </c:pt>
                <c:pt idx="383">
                  <c:v>45120</c:v>
                </c:pt>
                <c:pt idx="384">
                  <c:v>45121</c:v>
                </c:pt>
                <c:pt idx="385">
                  <c:v>45124</c:v>
                </c:pt>
                <c:pt idx="386">
                  <c:v>45125</c:v>
                </c:pt>
                <c:pt idx="387">
                  <c:v>45126</c:v>
                </c:pt>
                <c:pt idx="388">
                  <c:v>45127</c:v>
                </c:pt>
                <c:pt idx="389">
                  <c:v>45128</c:v>
                </c:pt>
                <c:pt idx="390">
                  <c:v>45131</c:v>
                </c:pt>
                <c:pt idx="391">
                  <c:v>45132</c:v>
                </c:pt>
                <c:pt idx="392">
                  <c:v>45133</c:v>
                </c:pt>
                <c:pt idx="393">
                  <c:v>45134</c:v>
                </c:pt>
                <c:pt idx="394">
                  <c:v>45135</c:v>
                </c:pt>
                <c:pt idx="395">
                  <c:v>45138</c:v>
                </c:pt>
                <c:pt idx="396">
                  <c:v>45139</c:v>
                </c:pt>
                <c:pt idx="397">
                  <c:v>45140</c:v>
                </c:pt>
                <c:pt idx="398">
                  <c:v>45141</c:v>
                </c:pt>
                <c:pt idx="399">
                  <c:v>45142</c:v>
                </c:pt>
                <c:pt idx="400">
                  <c:v>45145</c:v>
                </c:pt>
                <c:pt idx="401">
                  <c:v>45146</c:v>
                </c:pt>
                <c:pt idx="402">
                  <c:v>45147</c:v>
                </c:pt>
                <c:pt idx="403">
                  <c:v>45148</c:v>
                </c:pt>
                <c:pt idx="404">
                  <c:v>45149</c:v>
                </c:pt>
                <c:pt idx="405">
                  <c:v>45152</c:v>
                </c:pt>
                <c:pt idx="406">
                  <c:v>45153</c:v>
                </c:pt>
                <c:pt idx="407">
                  <c:v>45154</c:v>
                </c:pt>
                <c:pt idx="408">
                  <c:v>45155</c:v>
                </c:pt>
                <c:pt idx="409">
                  <c:v>45156</c:v>
                </c:pt>
                <c:pt idx="410">
                  <c:v>45159</c:v>
                </c:pt>
                <c:pt idx="411">
                  <c:v>45160</c:v>
                </c:pt>
                <c:pt idx="412">
                  <c:v>45161</c:v>
                </c:pt>
                <c:pt idx="413">
                  <c:v>45162</c:v>
                </c:pt>
                <c:pt idx="414">
                  <c:v>45163</c:v>
                </c:pt>
                <c:pt idx="415">
                  <c:v>45166</c:v>
                </c:pt>
                <c:pt idx="416">
                  <c:v>45167</c:v>
                </c:pt>
                <c:pt idx="417">
                  <c:v>45168</c:v>
                </c:pt>
                <c:pt idx="418">
                  <c:v>45169</c:v>
                </c:pt>
                <c:pt idx="419">
                  <c:v>45170</c:v>
                </c:pt>
                <c:pt idx="420">
                  <c:v>45174</c:v>
                </c:pt>
                <c:pt idx="421">
                  <c:v>45175</c:v>
                </c:pt>
                <c:pt idx="422">
                  <c:v>45176</c:v>
                </c:pt>
                <c:pt idx="423">
                  <c:v>45177</c:v>
                </c:pt>
                <c:pt idx="424">
                  <c:v>45180</c:v>
                </c:pt>
                <c:pt idx="425">
                  <c:v>45181</c:v>
                </c:pt>
                <c:pt idx="426">
                  <c:v>45182</c:v>
                </c:pt>
                <c:pt idx="427">
                  <c:v>45183</c:v>
                </c:pt>
                <c:pt idx="428">
                  <c:v>45184</c:v>
                </c:pt>
                <c:pt idx="429">
                  <c:v>45187</c:v>
                </c:pt>
                <c:pt idx="430">
                  <c:v>45188</c:v>
                </c:pt>
                <c:pt idx="431">
                  <c:v>45189</c:v>
                </c:pt>
                <c:pt idx="432">
                  <c:v>45190</c:v>
                </c:pt>
                <c:pt idx="433">
                  <c:v>45191</c:v>
                </c:pt>
                <c:pt idx="434">
                  <c:v>45194</c:v>
                </c:pt>
                <c:pt idx="435">
                  <c:v>45195</c:v>
                </c:pt>
                <c:pt idx="436">
                  <c:v>45196</c:v>
                </c:pt>
                <c:pt idx="437">
                  <c:v>45197</c:v>
                </c:pt>
                <c:pt idx="438">
                  <c:v>45198</c:v>
                </c:pt>
                <c:pt idx="439">
                  <c:v>45201</c:v>
                </c:pt>
                <c:pt idx="440">
                  <c:v>45202</c:v>
                </c:pt>
                <c:pt idx="441">
                  <c:v>45203</c:v>
                </c:pt>
                <c:pt idx="442">
                  <c:v>45204</c:v>
                </c:pt>
                <c:pt idx="443">
                  <c:v>45205</c:v>
                </c:pt>
                <c:pt idx="444">
                  <c:v>45208</c:v>
                </c:pt>
                <c:pt idx="445">
                  <c:v>45209</c:v>
                </c:pt>
                <c:pt idx="446">
                  <c:v>45210</c:v>
                </c:pt>
                <c:pt idx="447">
                  <c:v>45211</c:v>
                </c:pt>
                <c:pt idx="448">
                  <c:v>45212</c:v>
                </c:pt>
                <c:pt idx="449">
                  <c:v>45215</c:v>
                </c:pt>
                <c:pt idx="450">
                  <c:v>45216</c:v>
                </c:pt>
                <c:pt idx="451">
                  <c:v>45217</c:v>
                </c:pt>
                <c:pt idx="452">
                  <c:v>45218</c:v>
                </c:pt>
                <c:pt idx="453">
                  <c:v>45219</c:v>
                </c:pt>
                <c:pt idx="454">
                  <c:v>45222</c:v>
                </c:pt>
                <c:pt idx="455">
                  <c:v>45223</c:v>
                </c:pt>
                <c:pt idx="456">
                  <c:v>45224</c:v>
                </c:pt>
                <c:pt idx="457">
                  <c:v>45225</c:v>
                </c:pt>
                <c:pt idx="458">
                  <c:v>45226</c:v>
                </c:pt>
                <c:pt idx="459">
                  <c:v>45229</c:v>
                </c:pt>
                <c:pt idx="460">
                  <c:v>45230</c:v>
                </c:pt>
                <c:pt idx="461">
                  <c:v>45231</c:v>
                </c:pt>
                <c:pt idx="462">
                  <c:v>45232</c:v>
                </c:pt>
                <c:pt idx="463">
                  <c:v>45233</c:v>
                </c:pt>
                <c:pt idx="464">
                  <c:v>45236</c:v>
                </c:pt>
                <c:pt idx="465">
                  <c:v>45237</c:v>
                </c:pt>
                <c:pt idx="466">
                  <c:v>45238</c:v>
                </c:pt>
                <c:pt idx="467">
                  <c:v>45239</c:v>
                </c:pt>
                <c:pt idx="468">
                  <c:v>45240</c:v>
                </c:pt>
                <c:pt idx="469">
                  <c:v>45243</c:v>
                </c:pt>
                <c:pt idx="470">
                  <c:v>45244</c:v>
                </c:pt>
                <c:pt idx="471">
                  <c:v>45245</c:v>
                </c:pt>
                <c:pt idx="472">
                  <c:v>45246</c:v>
                </c:pt>
                <c:pt idx="473">
                  <c:v>45247</c:v>
                </c:pt>
                <c:pt idx="474">
                  <c:v>45250</c:v>
                </c:pt>
                <c:pt idx="475">
                  <c:v>45251</c:v>
                </c:pt>
                <c:pt idx="476">
                  <c:v>45252</c:v>
                </c:pt>
                <c:pt idx="477">
                  <c:v>45254</c:v>
                </c:pt>
                <c:pt idx="478">
                  <c:v>45257</c:v>
                </c:pt>
                <c:pt idx="479">
                  <c:v>45258</c:v>
                </c:pt>
                <c:pt idx="480">
                  <c:v>45259</c:v>
                </c:pt>
                <c:pt idx="481">
                  <c:v>45260</c:v>
                </c:pt>
                <c:pt idx="482">
                  <c:v>45261</c:v>
                </c:pt>
                <c:pt idx="483">
                  <c:v>45264</c:v>
                </c:pt>
                <c:pt idx="484">
                  <c:v>45265</c:v>
                </c:pt>
                <c:pt idx="485">
                  <c:v>45266</c:v>
                </c:pt>
                <c:pt idx="486">
                  <c:v>45267</c:v>
                </c:pt>
                <c:pt idx="487">
                  <c:v>45268</c:v>
                </c:pt>
                <c:pt idx="488">
                  <c:v>45271</c:v>
                </c:pt>
                <c:pt idx="489">
                  <c:v>45272</c:v>
                </c:pt>
                <c:pt idx="490">
                  <c:v>45273</c:v>
                </c:pt>
                <c:pt idx="491">
                  <c:v>45274</c:v>
                </c:pt>
                <c:pt idx="492">
                  <c:v>45275</c:v>
                </c:pt>
                <c:pt idx="493">
                  <c:v>45278</c:v>
                </c:pt>
                <c:pt idx="494">
                  <c:v>45279</c:v>
                </c:pt>
                <c:pt idx="495">
                  <c:v>45280</c:v>
                </c:pt>
                <c:pt idx="496">
                  <c:v>45281</c:v>
                </c:pt>
                <c:pt idx="497">
                  <c:v>45282</c:v>
                </c:pt>
                <c:pt idx="498">
                  <c:v>45286</c:v>
                </c:pt>
                <c:pt idx="499">
                  <c:v>45287</c:v>
                </c:pt>
                <c:pt idx="500">
                  <c:v>45288</c:v>
                </c:pt>
                <c:pt idx="501">
                  <c:v>45289</c:v>
                </c:pt>
                <c:pt idx="502">
                  <c:v>45293</c:v>
                </c:pt>
                <c:pt idx="503">
                  <c:v>45294</c:v>
                </c:pt>
                <c:pt idx="504">
                  <c:v>45295</c:v>
                </c:pt>
                <c:pt idx="505">
                  <c:v>45296</c:v>
                </c:pt>
                <c:pt idx="506">
                  <c:v>45299</c:v>
                </c:pt>
                <c:pt idx="507">
                  <c:v>45300</c:v>
                </c:pt>
                <c:pt idx="508">
                  <c:v>45301</c:v>
                </c:pt>
                <c:pt idx="509">
                  <c:v>45302</c:v>
                </c:pt>
                <c:pt idx="510">
                  <c:v>45303</c:v>
                </c:pt>
                <c:pt idx="511">
                  <c:v>45307</c:v>
                </c:pt>
                <c:pt idx="512">
                  <c:v>45308</c:v>
                </c:pt>
                <c:pt idx="513">
                  <c:v>45309</c:v>
                </c:pt>
                <c:pt idx="514">
                  <c:v>45310</c:v>
                </c:pt>
                <c:pt idx="515">
                  <c:v>45313</c:v>
                </c:pt>
                <c:pt idx="516">
                  <c:v>45314</c:v>
                </c:pt>
                <c:pt idx="517">
                  <c:v>45315</c:v>
                </c:pt>
                <c:pt idx="518">
                  <c:v>45316</c:v>
                </c:pt>
                <c:pt idx="519">
                  <c:v>45317</c:v>
                </c:pt>
                <c:pt idx="520">
                  <c:v>45320</c:v>
                </c:pt>
                <c:pt idx="521">
                  <c:v>45321</c:v>
                </c:pt>
                <c:pt idx="522">
                  <c:v>45322</c:v>
                </c:pt>
                <c:pt idx="523">
                  <c:v>45323</c:v>
                </c:pt>
                <c:pt idx="524">
                  <c:v>45324</c:v>
                </c:pt>
                <c:pt idx="525">
                  <c:v>45327</c:v>
                </c:pt>
                <c:pt idx="526">
                  <c:v>45328</c:v>
                </c:pt>
                <c:pt idx="527">
                  <c:v>45329</c:v>
                </c:pt>
                <c:pt idx="528">
                  <c:v>45330</c:v>
                </c:pt>
                <c:pt idx="529">
                  <c:v>45331</c:v>
                </c:pt>
                <c:pt idx="530">
                  <c:v>45334</c:v>
                </c:pt>
                <c:pt idx="531">
                  <c:v>45335</c:v>
                </c:pt>
                <c:pt idx="532">
                  <c:v>45336</c:v>
                </c:pt>
                <c:pt idx="533">
                  <c:v>45337</c:v>
                </c:pt>
                <c:pt idx="534">
                  <c:v>45338</c:v>
                </c:pt>
                <c:pt idx="535">
                  <c:v>45342</c:v>
                </c:pt>
                <c:pt idx="536">
                  <c:v>45343</c:v>
                </c:pt>
                <c:pt idx="537">
                  <c:v>45344</c:v>
                </c:pt>
                <c:pt idx="538">
                  <c:v>45345</c:v>
                </c:pt>
                <c:pt idx="539">
                  <c:v>45348</c:v>
                </c:pt>
                <c:pt idx="540">
                  <c:v>45349</c:v>
                </c:pt>
                <c:pt idx="541">
                  <c:v>45350</c:v>
                </c:pt>
                <c:pt idx="542">
                  <c:v>45351</c:v>
                </c:pt>
                <c:pt idx="543">
                  <c:v>45352</c:v>
                </c:pt>
                <c:pt idx="544">
                  <c:v>45355</c:v>
                </c:pt>
                <c:pt idx="545">
                  <c:v>45356</c:v>
                </c:pt>
                <c:pt idx="546">
                  <c:v>45357</c:v>
                </c:pt>
                <c:pt idx="547">
                  <c:v>45358</c:v>
                </c:pt>
                <c:pt idx="548">
                  <c:v>45359</c:v>
                </c:pt>
                <c:pt idx="549">
                  <c:v>45362</c:v>
                </c:pt>
                <c:pt idx="550">
                  <c:v>45363</c:v>
                </c:pt>
                <c:pt idx="551">
                  <c:v>45364</c:v>
                </c:pt>
                <c:pt idx="552">
                  <c:v>45365</c:v>
                </c:pt>
                <c:pt idx="553">
                  <c:v>45366</c:v>
                </c:pt>
                <c:pt idx="554">
                  <c:v>45369</c:v>
                </c:pt>
                <c:pt idx="555">
                  <c:v>45370</c:v>
                </c:pt>
                <c:pt idx="556">
                  <c:v>45371</c:v>
                </c:pt>
                <c:pt idx="557">
                  <c:v>45372</c:v>
                </c:pt>
                <c:pt idx="558">
                  <c:v>45373</c:v>
                </c:pt>
                <c:pt idx="559">
                  <c:v>45376</c:v>
                </c:pt>
                <c:pt idx="560">
                  <c:v>45377</c:v>
                </c:pt>
                <c:pt idx="561">
                  <c:v>45378</c:v>
                </c:pt>
                <c:pt idx="562">
                  <c:v>45379</c:v>
                </c:pt>
                <c:pt idx="563">
                  <c:v>45383</c:v>
                </c:pt>
                <c:pt idx="564">
                  <c:v>45384</c:v>
                </c:pt>
                <c:pt idx="565">
                  <c:v>45385</c:v>
                </c:pt>
                <c:pt idx="566">
                  <c:v>45386</c:v>
                </c:pt>
                <c:pt idx="567">
                  <c:v>45387</c:v>
                </c:pt>
                <c:pt idx="568">
                  <c:v>45390</c:v>
                </c:pt>
                <c:pt idx="569">
                  <c:v>45391</c:v>
                </c:pt>
                <c:pt idx="570">
                  <c:v>45392</c:v>
                </c:pt>
                <c:pt idx="571">
                  <c:v>45393</c:v>
                </c:pt>
                <c:pt idx="572">
                  <c:v>45394</c:v>
                </c:pt>
                <c:pt idx="573">
                  <c:v>45397</c:v>
                </c:pt>
                <c:pt idx="574">
                  <c:v>45398</c:v>
                </c:pt>
                <c:pt idx="575">
                  <c:v>45399</c:v>
                </c:pt>
                <c:pt idx="576">
                  <c:v>45400</c:v>
                </c:pt>
                <c:pt idx="577">
                  <c:v>45401</c:v>
                </c:pt>
                <c:pt idx="578">
                  <c:v>45404</c:v>
                </c:pt>
                <c:pt idx="579">
                  <c:v>45405</c:v>
                </c:pt>
                <c:pt idx="580">
                  <c:v>45406</c:v>
                </c:pt>
                <c:pt idx="581">
                  <c:v>45407</c:v>
                </c:pt>
                <c:pt idx="582">
                  <c:v>45408</c:v>
                </c:pt>
                <c:pt idx="583">
                  <c:v>45411</c:v>
                </c:pt>
                <c:pt idx="584">
                  <c:v>45412</c:v>
                </c:pt>
                <c:pt idx="585">
                  <c:v>45413</c:v>
                </c:pt>
                <c:pt idx="586">
                  <c:v>45414</c:v>
                </c:pt>
                <c:pt idx="587">
                  <c:v>45415</c:v>
                </c:pt>
                <c:pt idx="588">
                  <c:v>45418</c:v>
                </c:pt>
                <c:pt idx="589">
                  <c:v>45419</c:v>
                </c:pt>
                <c:pt idx="590">
                  <c:v>45420</c:v>
                </c:pt>
                <c:pt idx="591">
                  <c:v>45421</c:v>
                </c:pt>
                <c:pt idx="592">
                  <c:v>45422</c:v>
                </c:pt>
                <c:pt idx="593">
                  <c:v>45425</c:v>
                </c:pt>
                <c:pt idx="594">
                  <c:v>45426</c:v>
                </c:pt>
                <c:pt idx="595">
                  <c:v>45427</c:v>
                </c:pt>
                <c:pt idx="596">
                  <c:v>45428</c:v>
                </c:pt>
                <c:pt idx="597">
                  <c:v>45429</c:v>
                </c:pt>
                <c:pt idx="598">
                  <c:v>45432</c:v>
                </c:pt>
                <c:pt idx="599">
                  <c:v>45433</c:v>
                </c:pt>
                <c:pt idx="600">
                  <c:v>45434</c:v>
                </c:pt>
                <c:pt idx="601">
                  <c:v>45435</c:v>
                </c:pt>
                <c:pt idx="602">
                  <c:v>45436</c:v>
                </c:pt>
                <c:pt idx="603">
                  <c:v>45440</c:v>
                </c:pt>
                <c:pt idx="604">
                  <c:v>45441</c:v>
                </c:pt>
                <c:pt idx="605">
                  <c:v>45442</c:v>
                </c:pt>
                <c:pt idx="606">
                  <c:v>45443</c:v>
                </c:pt>
                <c:pt idx="607">
                  <c:v>45446</c:v>
                </c:pt>
                <c:pt idx="608">
                  <c:v>45447</c:v>
                </c:pt>
                <c:pt idx="609">
                  <c:v>45448</c:v>
                </c:pt>
                <c:pt idx="610">
                  <c:v>45449</c:v>
                </c:pt>
                <c:pt idx="611">
                  <c:v>45450</c:v>
                </c:pt>
                <c:pt idx="612">
                  <c:v>45453</c:v>
                </c:pt>
                <c:pt idx="613">
                  <c:v>45454</c:v>
                </c:pt>
                <c:pt idx="614">
                  <c:v>45455</c:v>
                </c:pt>
                <c:pt idx="615">
                  <c:v>45456</c:v>
                </c:pt>
                <c:pt idx="616">
                  <c:v>45457</c:v>
                </c:pt>
                <c:pt idx="617">
                  <c:v>45460</c:v>
                </c:pt>
                <c:pt idx="618">
                  <c:v>45461</c:v>
                </c:pt>
                <c:pt idx="619">
                  <c:v>45463</c:v>
                </c:pt>
                <c:pt idx="620">
                  <c:v>45464</c:v>
                </c:pt>
                <c:pt idx="621">
                  <c:v>45467</c:v>
                </c:pt>
                <c:pt idx="622">
                  <c:v>45468</c:v>
                </c:pt>
                <c:pt idx="623">
                  <c:v>45469</c:v>
                </c:pt>
                <c:pt idx="624">
                  <c:v>45470</c:v>
                </c:pt>
                <c:pt idx="625">
                  <c:v>45471</c:v>
                </c:pt>
                <c:pt idx="626">
                  <c:v>45474</c:v>
                </c:pt>
                <c:pt idx="627">
                  <c:v>45475</c:v>
                </c:pt>
                <c:pt idx="628">
                  <c:v>45476</c:v>
                </c:pt>
                <c:pt idx="629">
                  <c:v>45478</c:v>
                </c:pt>
                <c:pt idx="630">
                  <c:v>45481</c:v>
                </c:pt>
                <c:pt idx="631">
                  <c:v>45482</c:v>
                </c:pt>
                <c:pt idx="632">
                  <c:v>45483</c:v>
                </c:pt>
                <c:pt idx="633">
                  <c:v>45484</c:v>
                </c:pt>
                <c:pt idx="634">
                  <c:v>45485</c:v>
                </c:pt>
                <c:pt idx="635">
                  <c:v>45488</c:v>
                </c:pt>
                <c:pt idx="636">
                  <c:v>45489</c:v>
                </c:pt>
                <c:pt idx="637">
                  <c:v>45490</c:v>
                </c:pt>
                <c:pt idx="638">
                  <c:v>45491</c:v>
                </c:pt>
                <c:pt idx="639">
                  <c:v>45492</c:v>
                </c:pt>
                <c:pt idx="640">
                  <c:v>45495</c:v>
                </c:pt>
                <c:pt idx="641">
                  <c:v>45496</c:v>
                </c:pt>
                <c:pt idx="642">
                  <c:v>45497</c:v>
                </c:pt>
                <c:pt idx="643">
                  <c:v>45498</c:v>
                </c:pt>
                <c:pt idx="644">
                  <c:v>45499</c:v>
                </c:pt>
                <c:pt idx="645">
                  <c:v>45502</c:v>
                </c:pt>
                <c:pt idx="646">
                  <c:v>45503</c:v>
                </c:pt>
                <c:pt idx="647">
                  <c:v>45504</c:v>
                </c:pt>
                <c:pt idx="648">
                  <c:v>45505</c:v>
                </c:pt>
                <c:pt idx="649">
                  <c:v>45506</c:v>
                </c:pt>
                <c:pt idx="650">
                  <c:v>45509</c:v>
                </c:pt>
                <c:pt idx="651">
                  <c:v>45510</c:v>
                </c:pt>
                <c:pt idx="652">
                  <c:v>45511</c:v>
                </c:pt>
                <c:pt idx="653">
                  <c:v>45512</c:v>
                </c:pt>
                <c:pt idx="654">
                  <c:v>45513</c:v>
                </c:pt>
                <c:pt idx="655">
                  <c:v>45516</c:v>
                </c:pt>
                <c:pt idx="656">
                  <c:v>45517</c:v>
                </c:pt>
                <c:pt idx="657">
                  <c:v>45518</c:v>
                </c:pt>
                <c:pt idx="658">
                  <c:v>45519</c:v>
                </c:pt>
                <c:pt idx="659">
                  <c:v>45520</c:v>
                </c:pt>
                <c:pt idx="660">
                  <c:v>45523</c:v>
                </c:pt>
                <c:pt idx="661">
                  <c:v>45524</c:v>
                </c:pt>
                <c:pt idx="662">
                  <c:v>45525</c:v>
                </c:pt>
                <c:pt idx="663">
                  <c:v>45526</c:v>
                </c:pt>
                <c:pt idx="664">
                  <c:v>45527</c:v>
                </c:pt>
                <c:pt idx="665">
                  <c:v>45530</c:v>
                </c:pt>
                <c:pt idx="666">
                  <c:v>45531</c:v>
                </c:pt>
                <c:pt idx="667">
                  <c:v>45532</c:v>
                </c:pt>
                <c:pt idx="668">
                  <c:v>45533</c:v>
                </c:pt>
                <c:pt idx="669">
                  <c:v>45534</c:v>
                </c:pt>
                <c:pt idx="670">
                  <c:v>45538</c:v>
                </c:pt>
                <c:pt idx="671">
                  <c:v>45539</c:v>
                </c:pt>
                <c:pt idx="672">
                  <c:v>45540</c:v>
                </c:pt>
                <c:pt idx="673">
                  <c:v>45541</c:v>
                </c:pt>
                <c:pt idx="674">
                  <c:v>45544</c:v>
                </c:pt>
                <c:pt idx="675">
                  <c:v>45545</c:v>
                </c:pt>
                <c:pt idx="676">
                  <c:v>45546</c:v>
                </c:pt>
                <c:pt idx="677">
                  <c:v>45547</c:v>
                </c:pt>
                <c:pt idx="678">
                  <c:v>45548</c:v>
                </c:pt>
                <c:pt idx="679">
                  <c:v>45551</c:v>
                </c:pt>
                <c:pt idx="680">
                  <c:v>45552</c:v>
                </c:pt>
                <c:pt idx="681">
                  <c:v>45553</c:v>
                </c:pt>
                <c:pt idx="682">
                  <c:v>45554</c:v>
                </c:pt>
                <c:pt idx="683">
                  <c:v>45555</c:v>
                </c:pt>
                <c:pt idx="684">
                  <c:v>45558</c:v>
                </c:pt>
                <c:pt idx="685">
                  <c:v>45559</c:v>
                </c:pt>
              </c:numCache>
            </c:numRef>
          </c:cat>
          <c:val>
            <c:numRef>
              <c:f>'Bond pricing'!$F$4:$F$689</c:f>
              <c:numCache>
                <c:formatCode>0.0%;\(0.0%\);\-</c:formatCode>
                <c:ptCount val="686"/>
                <c:pt idx="74">
                  <c:v>8.0567285629381591E-2</c:v>
                </c:pt>
                <c:pt idx="75">
                  <c:v>8.0570253619057106E-2</c:v>
                </c:pt>
                <c:pt idx="76">
                  <c:v>8.0743985142732608E-2</c:v>
                </c:pt>
                <c:pt idx="77">
                  <c:v>8.0899895782126696E-2</c:v>
                </c:pt>
                <c:pt idx="78">
                  <c:v>8.1111956269712598E-2</c:v>
                </c:pt>
                <c:pt idx="79">
                  <c:v>8.0982769965788806E-2</c:v>
                </c:pt>
                <c:pt idx="80">
                  <c:v>8.1259044196464403E-2</c:v>
                </c:pt>
                <c:pt idx="81">
                  <c:v>8.1262453608287502E-2</c:v>
                </c:pt>
                <c:pt idx="82">
                  <c:v>8.1265878798271296E-2</c:v>
                </c:pt>
                <c:pt idx="83">
                  <c:v>8.1466726468625114E-2</c:v>
                </c:pt>
                <c:pt idx="84">
                  <c:v>8.1799645775182506E-2</c:v>
                </c:pt>
                <c:pt idx="85">
                  <c:v>8.1685663554011204E-2</c:v>
                </c:pt>
                <c:pt idx="86">
                  <c:v>8.1689378505930693E-2</c:v>
                </c:pt>
                <c:pt idx="87">
                  <c:v>8.2445887481183797E-2</c:v>
                </c:pt>
                <c:pt idx="88">
                  <c:v>8.3074953555234893E-2</c:v>
                </c:pt>
                <c:pt idx="89">
                  <c:v>8.3412392106730196E-2</c:v>
                </c:pt>
                <c:pt idx="90">
                  <c:v>8.3544083787977202E-2</c:v>
                </c:pt>
                <c:pt idx="91">
                  <c:v>8.3405810788547807E-2</c:v>
                </c:pt>
                <c:pt idx="92">
                  <c:v>8.3474053010667806E-2</c:v>
                </c:pt>
                <c:pt idx="93">
                  <c:v>8.3339741020482E-2</c:v>
                </c:pt>
                <c:pt idx="94">
                  <c:v>8.3344441058328403E-2</c:v>
                </c:pt>
                <c:pt idx="95">
                  <c:v>8.3651916010069508E-2</c:v>
                </c:pt>
                <c:pt idx="96">
                  <c:v>8.3890921803391902E-2</c:v>
                </c:pt>
                <c:pt idx="97">
                  <c:v>8.3895939517606391E-2</c:v>
                </c:pt>
                <c:pt idx="98">
                  <c:v>8.4199358307320796E-2</c:v>
                </c:pt>
                <c:pt idx="99">
                  <c:v>8.3958895533813097E-2</c:v>
                </c:pt>
                <c:pt idx="100">
                  <c:v>8.4135000278406688E-2</c:v>
                </c:pt>
                <c:pt idx="101">
                  <c:v>8.4140234754507492E-2</c:v>
                </c:pt>
                <c:pt idx="102">
                  <c:v>8.4145488030670207E-2</c:v>
                </c:pt>
                <c:pt idx="103">
                  <c:v>8.384950466463939E-2</c:v>
                </c:pt>
                <c:pt idx="104">
                  <c:v>8.3652658309642497E-2</c:v>
                </c:pt>
                <c:pt idx="105">
                  <c:v>8.41720376386101E-2</c:v>
                </c:pt>
                <c:pt idx="106">
                  <c:v>8.4177404452301902E-2</c:v>
                </c:pt>
                <c:pt idx="107">
                  <c:v>8.3734605303394508E-2</c:v>
                </c:pt>
                <c:pt idx="108">
                  <c:v>8.386326003503021E-2</c:v>
                </c:pt>
                <c:pt idx="109">
                  <c:v>8.3688692831648995E-2</c:v>
                </c:pt>
                <c:pt idx="110">
                  <c:v>8.4484691883719695E-2</c:v>
                </c:pt>
                <c:pt idx="111">
                  <c:v>8.7813532993958499E-2</c:v>
                </c:pt>
                <c:pt idx="112">
                  <c:v>8.3714995285685212E-2</c:v>
                </c:pt>
                <c:pt idx="113">
                  <c:v>8.3300857633299502E-2</c:v>
                </c:pt>
                <c:pt idx="114">
                  <c:v>8.3655646850568199E-2</c:v>
                </c:pt>
                <c:pt idx="115">
                  <c:v>8.3790284781842986E-2</c:v>
                </c:pt>
                <c:pt idx="116">
                  <c:v>8.3434690408607307E-2</c:v>
                </c:pt>
                <c:pt idx="117">
                  <c:v>8.4277299051368604E-2</c:v>
                </c:pt>
                <c:pt idx="118">
                  <c:v>8.4283033953038003E-2</c:v>
                </c:pt>
                <c:pt idx="119">
                  <c:v>8.4028750346705094E-2</c:v>
                </c:pt>
                <c:pt idx="120">
                  <c:v>8.416443791103051E-2</c:v>
                </c:pt>
                <c:pt idx="121">
                  <c:v>8.4583770901880101E-2</c:v>
                </c:pt>
                <c:pt idx="122">
                  <c:v>8.4867463475007801E-2</c:v>
                </c:pt>
                <c:pt idx="123">
                  <c:v>8.5966686456946703E-2</c:v>
                </c:pt>
                <c:pt idx="124">
                  <c:v>8.4879795974474898E-2</c:v>
                </c:pt>
                <c:pt idx="125">
                  <c:v>8.4885992971308499E-2</c:v>
                </c:pt>
                <c:pt idx="126">
                  <c:v>8.4359398076956305E-2</c:v>
                </c:pt>
                <c:pt idx="127">
                  <c:v>8.6829717642544602E-2</c:v>
                </c:pt>
                <c:pt idx="128">
                  <c:v>8.8249982357741993E-2</c:v>
                </c:pt>
                <c:pt idx="129">
                  <c:v>8.6039115783103901E-2</c:v>
                </c:pt>
                <c:pt idx="130">
                  <c:v>8.5454342854290988E-2</c:v>
                </c:pt>
                <c:pt idx="131">
                  <c:v>9.0289574199201098E-2</c:v>
                </c:pt>
                <c:pt idx="132">
                  <c:v>8.8996939846004999E-2</c:v>
                </c:pt>
                <c:pt idx="133">
                  <c:v>9.2018274136395295E-2</c:v>
                </c:pt>
                <c:pt idx="134">
                  <c:v>9.2919031785852799E-2</c:v>
                </c:pt>
                <c:pt idx="135">
                  <c:v>9.3580276268228707E-2</c:v>
                </c:pt>
                <c:pt idx="136">
                  <c:v>9.1140951245646404E-2</c:v>
                </c:pt>
                <c:pt idx="137">
                  <c:v>8.9552179448529598E-2</c:v>
                </c:pt>
                <c:pt idx="138">
                  <c:v>0.104337077394465</c:v>
                </c:pt>
                <c:pt idx="139">
                  <c:v>0.10394433098313399</c:v>
                </c:pt>
                <c:pt idx="140">
                  <c:v>9.2912375490820001E-2</c:v>
                </c:pt>
                <c:pt idx="141">
                  <c:v>9.2923267461496109E-2</c:v>
                </c:pt>
                <c:pt idx="142">
                  <c:v>9.3594768224207703E-2</c:v>
                </c:pt>
                <c:pt idx="143">
                  <c:v>0.10390906107423299</c:v>
                </c:pt>
                <c:pt idx="144">
                  <c:v>9.6206942671207288E-2</c:v>
                </c:pt>
                <c:pt idx="145">
                  <c:v>9.0310324782657894E-2</c:v>
                </c:pt>
                <c:pt idx="146">
                  <c:v>9.0234767352054407E-2</c:v>
                </c:pt>
                <c:pt idx="147">
                  <c:v>0.101733682770179</c:v>
                </c:pt>
                <c:pt idx="148">
                  <c:v>0.10944235909067</c:v>
                </c:pt>
                <c:pt idx="149">
                  <c:v>0.109462327197451</c:v>
                </c:pt>
                <c:pt idx="150">
                  <c:v>0.109522498484589</c:v>
                </c:pt>
                <c:pt idx="151">
                  <c:v>8.6317718275023103E-2</c:v>
                </c:pt>
                <c:pt idx="152">
                  <c:v>9.8931482887473193E-2</c:v>
                </c:pt>
                <c:pt idx="153">
                  <c:v>0.100315117078243</c:v>
                </c:pt>
                <c:pt idx="154">
                  <c:v>9.931703344912951E-2</c:v>
                </c:pt>
                <c:pt idx="155">
                  <c:v>9.7079812400616902E-2</c:v>
                </c:pt>
                <c:pt idx="156">
                  <c:v>9.6504328496432007E-2</c:v>
                </c:pt>
                <c:pt idx="157">
                  <c:v>9.6514815673851298E-2</c:v>
                </c:pt>
                <c:pt idx="158">
                  <c:v>9.6525331435156791E-2</c:v>
                </c:pt>
                <c:pt idx="159">
                  <c:v>9.7332732653147694E-2</c:v>
                </c:pt>
                <c:pt idx="160">
                  <c:v>9.7365744516809197E-2</c:v>
                </c:pt>
                <c:pt idx="161">
                  <c:v>9.7376807486146008E-2</c:v>
                </c:pt>
                <c:pt idx="162">
                  <c:v>9.7387900060186508E-2</c:v>
                </c:pt>
                <c:pt idx="163">
                  <c:v>9.7399022297580989E-2</c:v>
                </c:pt>
                <c:pt idx="164">
                  <c:v>9.7410174257157089E-2</c:v>
                </c:pt>
                <c:pt idx="165">
                  <c:v>9.7443809059898912E-2</c:v>
                </c:pt>
                <c:pt idx="166">
                  <c:v>9.7455080500016805E-2</c:v>
                </c:pt>
                <c:pt idx="167">
                  <c:v>9.7394180265225797E-2</c:v>
                </c:pt>
                <c:pt idx="168">
                  <c:v>9.7466381959117804E-2</c:v>
                </c:pt>
                <c:pt idx="169">
                  <c:v>9.7477713497099008E-2</c:v>
                </c:pt>
                <c:pt idx="170">
                  <c:v>9.7523341642145212E-2</c:v>
                </c:pt>
                <c:pt idx="171">
                  <c:v>9.7504988088862293E-2</c:v>
                </c:pt>
                <c:pt idx="172">
                  <c:v>9.7516486016269305E-2</c:v>
                </c:pt>
                <c:pt idx="173">
                  <c:v>9.7528014420812686E-2</c:v>
                </c:pt>
                <c:pt idx="174">
                  <c:v>9.7562783111261805E-2</c:v>
                </c:pt>
                <c:pt idx="175">
                  <c:v>9.7784020279482908E-2</c:v>
                </c:pt>
                <c:pt idx="176">
                  <c:v>9.7795810601573996E-2</c:v>
                </c:pt>
                <c:pt idx="177">
                  <c:v>9.7807631956922894E-2</c:v>
                </c:pt>
                <c:pt idx="178">
                  <c:v>0.10005064342518001</c:v>
                </c:pt>
                <c:pt idx="179">
                  <c:v>0.100089874110253</c:v>
                </c:pt>
                <c:pt idx="180">
                  <c:v>9.9557124921294995E-2</c:v>
                </c:pt>
                <c:pt idx="181">
                  <c:v>9.9570016694079791E-2</c:v>
                </c:pt>
                <c:pt idx="182">
                  <c:v>9.9916733970248708E-2</c:v>
                </c:pt>
                <c:pt idx="183">
                  <c:v>9.9929866571745407E-2</c:v>
                </c:pt>
                <c:pt idx="184">
                  <c:v>9.9969465228808604E-2</c:v>
                </c:pt>
                <c:pt idx="185">
                  <c:v>0.101663547330741</c:v>
                </c:pt>
                <c:pt idx="186">
                  <c:v>0.101677732995757</c:v>
                </c:pt>
                <c:pt idx="187">
                  <c:v>9.95526408963643E-2</c:v>
                </c:pt>
                <c:pt idx="188">
                  <c:v>0.100327892272273</c:v>
                </c:pt>
                <c:pt idx="189">
                  <c:v>0.100368684992323</c:v>
                </c:pt>
                <c:pt idx="190">
                  <c:v>9.9618611060850515E-2</c:v>
                </c:pt>
                <c:pt idx="191">
                  <c:v>0.101162777209823</c:v>
                </c:pt>
                <c:pt idx="192">
                  <c:v>0.10117692024918699</c:v>
                </c:pt>
                <c:pt idx="193">
                  <c:v>9.9658597915134012E-2</c:v>
                </c:pt>
                <c:pt idx="194">
                  <c:v>0.102779211577628</c:v>
                </c:pt>
                <c:pt idx="195">
                  <c:v>0.10591851999815299</c:v>
                </c:pt>
                <c:pt idx="196">
                  <c:v>0.10593537695337901</c:v>
                </c:pt>
                <c:pt idx="197">
                  <c:v>0.104774439778996</c:v>
                </c:pt>
                <c:pt idx="198">
                  <c:v>0.10754999288072301</c:v>
                </c:pt>
                <c:pt idx="199">
                  <c:v>0.10444778657765999</c:v>
                </c:pt>
                <c:pt idx="200">
                  <c:v>0.10368140337072999</c:v>
                </c:pt>
                <c:pt idx="201">
                  <c:v>0.10923559762938301</c:v>
                </c:pt>
                <c:pt idx="202">
                  <c:v>0.107657585159357</c:v>
                </c:pt>
                <c:pt idx="203">
                  <c:v>0.110882380828938</c:v>
                </c:pt>
                <c:pt idx="204">
                  <c:v>0.111346750415918</c:v>
                </c:pt>
                <c:pt idx="205">
                  <c:v>0.111366967265878</c:v>
                </c:pt>
                <c:pt idx="206">
                  <c:v>0.11017407162399601</c:v>
                </c:pt>
                <c:pt idx="207">
                  <c:v>0.110597619124121</c:v>
                </c:pt>
                <c:pt idx="208">
                  <c:v>0.117597680362757</c:v>
                </c:pt>
                <c:pt idx="209">
                  <c:v>0.11757690076391601</c:v>
                </c:pt>
                <c:pt idx="210">
                  <c:v>0.11514438615785201</c:v>
                </c:pt>
                <c:pt idx="211">
                  <c:v>0.113552659871483</c:v>
                </c:pt>
                <c:pt idx="212">
                  <c:v>0.113574372056365</c:v>
                </c:pt>
                <c:pt idx="213">
                  <c:v>0.11277592533000601</c:v>
                </c:pt>
                <c:pt idx="214">
                  <c:v>0.111613212236399</c:v>
                </c:pt>
                <c:pt idx="215">
                  <c:v>0.113272300509179</c:v>
                </c:pt>
                <c:pt idx="216">
                  <c:v>0.112883207473641</c:v>
                </c:pt>
                <c:pt idx="217">
                  <c:v>0.113727740074545</c:v>
                </c:pt>
                <c:pt idx="218">
                  <c:v>0.112926462536984</c:v>
                </c:pt>
                <c:pt idx="219">
                  <c:v>0.112991714475856</c:v>
                </c:pt>
                <c:pt idx="220">
                  <c:v>0.11383878432428199</c:v>
                </c:pt>
                <c:pt idx="221">
                  <c:v>0.11303546326733099</c:v>
                </c:pt>
                <c:pt idx="222">
                  <c:v>0.113883554617785</c:v>
                </c:pt>
                <c:pt idx="223">
                  <c:v>0.11515141551621801</c:v>
                </c:pt>
                <c:pt idx="224">
                  <c:v>0.11984120731981801</c:v>
                </c:pt>
                <c:pt idx="225">
                  <c:v>0.119867167296687</c:v>
                </c:pt>
                <c:pt idx="226">
                  <c:v>0.116512266507919</c:v>
                </c:pt>
                <c:pt idx="227">
                  <c:v>0.11405363953678099</c:v>
                </c:pt>
                <c:pt idx="228">
                  <c:v>0.114122374060504</c:v>
                </c:pt>
                <c:pt idx="229">
                  <c:v>0.11414538929564599</c:v>
                </c:pt>
                <c:pt idx="230">
                  <c:v>0.113336331077981</c:v>
                </c:pt>
                <c:pt idx="231">
                  <c:v>0.11335897726356099</c:v>
                </c:pt>
                <c:pt idx="232">
                  <c:v>0.11379784391648301</c:v>
                </c:pt>
                <c:pt idx="233">
                  <c:v>0.11261851165648799</c:v>
                </c:pt>
                <c:pt idx="234">
                  <c:v>0.11264094018467001</c:v>
                </c:pt>
                <c:pt idx="235">
                  <c:v>0.114364874788855</c:v>
                </c:pt>
                <c:pt idx="236">
                  <c:v>0.114388381998436</c:v>
                </c:pt>
                <c:pt idx="237">
                  <c:v>0.11229289278417501</c:v>
                </c:pt>
                <c:pt idx="238">
                  <c:v>0.11444936756382401</c:v>
                </c:pt>
                <c:pt idx="239">
                  <c:v>0.114473122391577</c:v>
                </c:pt>
                <c:pt idx="240">
                  <c:v>0.111989269197589</c:v>
                </c:pt>
                <c:pt idx="241">
                  <c:v>0.11368147647389099</c:v>
                </c:pt>
                <c:pt idx="242">
                  <c:v>0.114124437581481</c:v>
                </c:pt>
                <c:pt idx="243">
                  <c:v>0.11293720638697501</c:v>
                </c:pt>
                <c:pt idx="244">
                  <c:v>0.11379915895343799</c:v>
                </c:pt>
                <c:pt idx="245">
                  <c:v>0.113822856020312</c:v>
                </c:pt>
                <c:pt idx="246">
                  <c:v>0.11300682987730699</c:v>
                </c:pt>
                <c:pt idx="247">
                  <c:v>0.11303014359423001</c:v>
                </c:pt>
                <c:pt idx="248">
                  <c:v>0.11312393114276199</c:v>
                </c:pt>
                <c:pt idx="249">
                  <c:v>0.11399024910927601</c:v>
                </c:pt>
                <c:pt idx="250">
                  <c:v>0.11401438013588301</c:v>
                </c:pt>
                <c:pt idx="251">
                  <c:v>0.11403856597180599</c:v>
                </c:pt>
                <c:pt idx="252">
                  <c:v>0.114111453605638</c:v>
                </c:pt>
                <c:pt idx="253">
                  <c:v>0.113712622481022</c:v>
                </c:pt>
                <c:pt idx="254">
                  <c:v>0.11416032174416299</c:v>
                </c:pt>
                <c:pt idx="255">
                  <c:v>0.112915850141872</c:v>
                </c:pt>
                <c:pt idx="256">
                  <c:v>0.110883500688536</c:v>
                </c:pt>
                <c:pt idx="257">
                  <c:v>0.11090622519339099</c:v>
                </c:pt>
                <c:pt idx="258">
                  <c:v>0.110929002153257</c:v>
                </c:pt>
                <c:pt idx="259">
                  <c:v>0.108862363312714</c:v>
                </c:pt>
                <c:pt idx="260">
                  <c:v>0.108883993174097</c:v>
                </c:pt>
                <c:pt idx="261">
                  <c:v>0.10647989998938</c:v>
                </c:pt>
                <c:pt idx="262">
                  <c:v>0.106371367018028</c:v>
                </c:pt>
                <c:pt idx="263">
                  <c:v>0.106391719186473</c:v>
                </c:pt>
                <c:pt idx="264">
                  <c:v>0.106412119605743</c:v>
                </c:pt>
                <c:pt idx="265">
                  <c:v>0.10577523433151001</c:v>
                </c:pt>
                <c:pt idx="266">
                  <c:v>9.8066092411494804E-2</c:v>
                </c:pt>
                <c:pt idx="267">
                  <c:v>9.8081617041202704E-2</c:v>
                </c:pt>
                <c:pt idx="268">
                  <c:v>9.6897640758121795E-2</c:v>
                </c:pt>
                <c:pt idx="269">
                  <c:v>9.6912514975181899E-2</c:v>
                </c:pt>
                <c:pt idx="270">
                  <c:v>9.6557872310677306E-2</c:v>
                </c:pt>
                <c:pt idx="271">
                  <c:v>9.7692610831710699E-2</c:v>
                </c:pt>
                <c:pt idx="272">
                  <c:v>9.6572656211138211E-2</c:v>
                </c:pt>
                <c:pt idx="273">
                  <c:v>9.8191399496028606E-2</c:v>
                </c:pt>
                <c:pt idx="274">
                  <c:v>9.8207242386302199E-2</c:v>
                </c:pt>
                <c:pt idx="275">
                  <c:v>9.6647150672255891E-2</c:v>
                </c:pt>
                <c:pt idx="276">
                  <c:v>9.7867802411123611E-2</c:v>
                </c:pt>
                <c:pt idx="277">
                  <c:v>9.8675018000975903E-2</c:v>
                </c:pt>
                <c:pt idx="278">
                  <c:v>9.7496393085428693E-2</c:v>
                </c:pt>
                <c:pt idx="279">
                  <c:v>9.7512020840118896E-2</c:v>
                </c:pt>
                <c:pt idx="280">
                  <c:v>9.8367897781007407E-2</c:v>
                </c:pt>
                <c:pt idx="281">
                  <c:v>9.8384188060095495E-2</c:v>
                </c:pt>
                <c:pt idx="282">
                  <c:v>9.8400519585207694E-2</c:v>
                </c:pt>
                <c:pt idx="283">
                  <c:v>9.8416892453475513E-2</c:v>
                </c:pt>
                <c:pt idx="284">
                  <c:v>9.8430109215135106E-2</c:v>
                </c:pt>
                <c:pt idx="285">
                  <c:v>9.8483335993289303E-2</c:v>
                </c:pt>
                <c:pt idx="286">
                  <c:v>0.101149839522923</c:v>
                </c:pt>
                <c:pt idx="287">
                  <c:v>0.10116481872886901</c:v>
                </c:pt>
                <c:pt idx="288">
                  <c:v>0.101179837116201</c:v>
                </c:pt>
                <c:pt idx="289">
                  <c:v>0.10020336639735899</c:v>
                </c:pt>
                <c:pt idx="290">
                  <c:v>9.8970498375095098E-2</c:v>
                </c:pt>
                <c:pt idx="291">
                  <c:v>0.10026190604599999</c:v>
                </c:pt>
                <c:pt idx="292">
                  <c:v>9.9026255584423503E-2</c:v>
                </c:pt>
                <c:pt idx="293">
                  <c:v>0.10029140828106801</c:v>
                </c:pt>
                <c:pt idx="294">
                  <c:v>0.101363146222241</c:v>
                </c:pt>
                <c:pt idx="295">
                  <c:v>0.103514196125212</c:v>
                </c:pt>
                <c:pt idx="296">
                  <c:v>0.10319595019151301</c:v>
                </c:pt>
                <c:pt idx="297">
                  <c:v>0.102459892128342</c:v>
                </c:pt>
                <c:pt idx="298">
                  <c:v>0.104338203588527</c:v>
                </c:pt>
                <c:pt idx="299">
                  <c:v>0.103784117219614</c:v>
                </c:pt>
                <c:pt idx="300">
                  <c:v>0.10380131999296401</c:v>
                </c:pt>
                <c:pt idx="301">
                  <c:v>0.105509023559963</c:v>
                </c:pt>
                <c:pt idx="302">
                  <c:v>0.10444346387271</c:v>
                </c:pt>
                <c:pt idx="303">
                  <c:v>0.105545675705233</c:v>
                </c:pt>
                <c:pt idx="304">
                  <c:v>0.10222135257380201</c:v>
                </c:pt>
                <c:pt idx="305">
                  <c:v>0.10725913351742801</c:v>
                </c:pt>
                <c:pt idx="306">
                  <c:v>0.107862333205762</c:v>
                </c:pt>
                <c:pt idx="307">
                  <c:v>0.107882303268276</c:v>
                </c:pt>
                <c:pt idx="308">
                  <c:v>0.10742100482467899</c:v>
                </c:pt>
                <c:pt idx="309">
                  <c:v>0.10573170328972401</c:v>
                </c:pt>
                <c:pt idx="310">
                  <c:v>0.104046787506286</c:v>
                </c:pt>
                <c:pt idx="311">
                  <c:v>0.10240509661123999</c:v>
                </c:pt>
                <c:pt idx="312">
                  <c:v>0.103946599736436</c:v>
                </c:pt>
                <c:pt idx="313">
                  <c:v>0.10397893296522399</c:v>
                </c:pt>
                <c:pt idx="314">
                  <c:v>0.104136581074183</c:v>
                </c:pt>
                <c:pt idx="315">
                  <c:v>0.102557766437933</c:v>
                </c:pt>
                <c:pt idx="316">
                  <c:v>0.103321613734109</c:v>
                </c:pt>
                <c:pt idx="317">
                  <c:v>0.10310130878724599</c:v>
                </c:pt>
                <c:pt idx="318">
                  <c:v>0.103171826299126</c:v>
                </c:pt>
                <c:pt idx="319">
                  <c:v>0.103325942513722</c:v>
                </c:pt>
                <c:pt idx="320">
                  <c:v>0.10262822549037301</c:v>
                </c:pt>
                <c:pt idx="321">
                  <c:v>0.103259316600537</c:v>
                </c:pt>
                <c:pt idx="322">
                  <c:v>0.10266321694441499</c:v>
                </c:pt>
                <c:pt idx="323">
                  <c:v>0.102750176466144</c:v>
                </c:pt>
                <c:pt idx="324">
                  <c:v>0.102767895930769</c:v>
                </c:pt>
                <c:pt idx="325">
                  <c:v>0.102785660719705</c:v>
                </c:pt>
                <c:pt idx="326">
                  <c:v>0.10355703032916899</c:v>
                </c:pt>
                <c:pt idx="327">
                  <c:v>0.10374704100559401</c:v>
                </c:pt>
                <c:pt idx="328">
                  <c:v>0.10414698915673799</c:v>
                </c:pt>
                <c:pt idx="329">
                  <c:v>0.10292751911096901</c:v>
                </c:pt>
                <c:pt idx="330">
                  <c:v>0.102945625837982</c:v>
                </c:pt>
                <c:pt idx="331">
                  <c:v>0.104203650763592</c:v>
                </c:pt>
                <c:pt idx="332">
                  <c:v>0.104222633482923</c:v>
                </c:pt>
                <c:pt idx="333">
                  <c:v>0.10427986980607001</c:v>
                </c:pt>
                <c:pt idx="334">
                  <c:v>0.104576268094908</c:v>
                </c:pt>
                <c:pt idx="335">
                  <c:v>0.104630364046499</c:v>
                </c:pt>
                <c:pt idx="336">
                  <c:v>0.10464983492372699</c:v>
                </c:pt>
                <c:pt idx="337">
                  <c:v>0.10463461457108099</c:v>
                </c:pt>
                <c:pt idx="338">
                  <c:v>0.103547410276534</c:v>
                </c:pt>
                <c:pt idx="339">
                  <c:v>0.10318526190808999</c:v>
                </c:pt>
                <c:pt idx="340">
                  <c:v>0.10441939045885601</c:v>
                </c:pt>
                <c:pt idx="341">
                  <c:v>0.10450865105978799</c:v>
                </c:pt>
                <c:pt idx="342">
                  <c:v>0.104632942367897</c:v>
                </c:pt>
                <c:pt idx="343">
                  <c:v>0.104762399339296</c:v>
                </c:pt>
                <c:pt idx="344">
                  <c:v>0.10471245876947499</c:v>
                </c:pt>
                <c:pt idx="345">
                  <c:v>0.104977494445604</c:v>
                </c:pt>
                <c:pt idx="346">
                  <c:v>0.104997708129429</c:v>
                </c:pt>
                <c:pt idx="347">
                  <c:v>0.10501797263688201</c:v>
                </c:pt>
                <c:pt idx="348">
                  <c:v>0.10441236507901501</c:v>
                </c:pt>
                <c:pt idx="349">
                  <c:v>0.104432399232191</c:v>
                </c:pt>
                <c:pt idx="350">
                  <c:v>0.104452483998674</c:v>
                </c:pt>
                <c:pt idx="351">
                  <c:v>0.10408665770193901</c:v>
                </c:pt>
                <c:pt idx="352">
                  <c:v>0.104492805873383</c:v>
                </c:pt>
                <c:pt idx="353">
                  <c:v>0.10369482433764</c:v>
                </c:pt>
                <c:pt idx="354">
                  <c:v>0.10605616900821201</c:v>
                </c:pt>
                <c:pt idx="355">
                  <c:v>0.106150228100551</c:v>
                </c:pt>
                <c:pt idx="356">
                  <c:v>0.106171749011546</c:v>
                </c:pt>
                <c:pt idx="357">
                  <c:v>0.107127068533483</c:v>
                </c:pt>
                <c:pt idx="358">
                  <c:v>0.107149396082831</c:v>
                </c:pt>
                <c:pt idx="359">
                  <c:v>0.107171779088871</c:v>
                </c:pt>
                <c:pt idx="360">
                  <c:v>0.10541282414886301</c:v>
                </c:pt>
                <c:pt idx="361">
                  <c:v>0.10278278055710199</c:v>
                </c:pt>
                <c:pt idx="362">
                  <c:v>0.10372428454851701</c:v>
                </c:pt>
                <c:pt idx="363">
                  <c:v>0.10155980821270801</c:v>
                </c:pt>
                <c:pt idx="364">
                  <c:v>0.10112261888298001</c:v>
                </c:pt>
                <c:pt idx="365">
                  <c:v>0.10556310877236699</c:v>
                </c:pt>
                <c:pt idx="366">
                  <c:v>0.10558479438484999</c:v>
                </c:pt>
                <c:pt idx="367">
                  <c:v>0.10123535243282999</c:v>
                </c:pt>
                <c:pt idx="368">
                  <c:v>0.101254312755583</c:v>
                </c:pt>
                <c:pt idx="369">
                  <c:v>0.10085072719718599</c:v>
                </c:pt>
                <c:pt idx="370">
                  <c:v>0.10086949999412999</c:v>
                </c:pt>
                <c:pt idx="371">
                  <c:v>0.10092611282384199</c:v>
                </c:pt>
                <c:pt idx="372">
                  <c:v>0.100945082329696</c:v>
                </c:pt>
                <c:pt idx="373">
                  <c:v>0.104951111612108</c:v>
                </c:pt>
                <c:pt idx="374">
                  <c:v>0.10497290300685901</c:v>
                </c:pt>
                <c:pt idx="375">
                  <c:v>0.10231459274433</c:v>
                </c:pt>
                <c:pt idx="376">
                  <c:v>0.105060621293752</c:v>
                </c:pt>
                <c:pt idx="377">
                  <c:v>0.101987654833208</c:v>
                </c:pt>
                <c:pt idx="378">
                  <c:v>0.10243577065698099</c:v>
                </c:pt>
                <c:pt idx="379">
                  <c:v>0.103350824425072</c:v>
                </c:pt>
                <c:pt idx="380">
                  <c:v>0.10521627831117501</c:v>
                </c:pt>
                <c:pt idx="381">
                  <c:v>0.10523874072876101</c:v>
                </c:pt>
                <c:pt idx="382">
                  <c:v>0.103025304699268</c:v>
                </c:pt>
                <c:pt idx="383">
                  <c:v>0.104379363116738</c:v>
                </c:pt>
                <c:pt idx="384">
                  <c:v>9.9034084463841501E-2</c:v>
                </c:pt>
                <c:pt idx="385">
                  <c:v>0.100870062549585</c:v>
                </c:pt>
                <c:pt idx="386">
                  <c:v>0.10448994190385501</c:v>
                </c:pt>
                <c:pt idx="387">
                  <c:v>0.103607013134146</c:v>
                </c:pt>
                <c:pt idx="388">
                  <c:v>0.10092934954810101</c:v>
                </c:pt>
                <c:pt idx="389">
                  <c:v>0.10365048170935599</c:v>
                </c:pt>
                <c:pt idx="390">
                  <c:v>0.10147638970629901</c:v>
                </c:pt>
                <c:pt idx="391">
                  <c:v>0.10373808967706299</c:v>
                </c:pt>
                <c:pt idx="392">
                  <c:v>0.10151725195632</c:v>
                </c:pt>
                <c:pt idx="393">
                  <c:v>0.101537763031741</c:v>
                </c:pt>
                <c:pt idx="394">
                  <c:v>0.10380438726876501</c:v>
                </c:pt>
                <c:pt idx="395">
                  <c:v>0.10188703638739</c:v>
                </c:pt>
                <c:pt idx="396">
                  <c:v>9.8922344779756505E-2</c:v>
                </c:pt>
                <c:pt idx="397">
                  <c:v>0.10207562282807199</c:v>
                </c:pt>
                <c:pt idx="398">
                  <c:v>0.102096766933059</c:v>
                </c:pt>
                <c:pt idx="399">
                  <c:v>0.10211796600706201</c:v>
                </c:pt>
                <c:pt idx="400">
                  <c:v>0.103092598572963</c:v>
                </c:pt>
                <c:pt idx="401">
                  <c:v>0.10220331492132101</c:v>
                </c:pt>
                <c:pt idx="402">
                  <c:v>0.102224791041306</c:v>
                </c:pt>
                <c:pt idx="403">
                  <c:v>0.10224632301455</c:v>
                </c:pt>
                <c:pt idx="404">
                  <c:v>0.102267910990381</c:v>
                </c:pt>
                <c:pt idx="405">
                  <c:v>0.10324832354341</c:v>
                </c:pt>
                <c:pt idx="406">
                  <c:v>0.104189857924689</c:v>
                </c:pt>
                <c:pt idx="407">
                  <c:v>0.105616994141827</c:v>
                </c:pt>
                <c:pt idx="408">
                  <c:v>0.10608251829852501</c:v>
                </c:pt>
                <c:pt idx="409">
                  <c:v>0.10610324810187001</c:v>
                </c:pt>
                <c:pt idx="410">
                  <c:v>0.10709801969851201</c:v>
                </c:pt>
                <c:pt idx="411">
                  <c:v>0.107119603429105</c:v>
                </c:pt>
                <c:pt idx="412">
                  <c:v>0.107141243393653</c:v>
                </c:pt>
                <c:pt idx="413">
                  <c:v>0.10716293973716801</c:v>
                </c:pt>
                <c:pt idx="414">
                  <c:v>0.10718469260519101</c:v>
                </c:pt>
                <c:pt idx="415">
                  <c:v>0.10725029181979201</c:v>
                </c:pt>
                <c:pt idx="416">
                  <c:v>0.10558728230400601</c:v>
                </c:pt>
                <c:pt idx="417">
                  <c:v>0.10545877607793701</c:v>
                </c:pt>
                <c:pt idx="418">
                  <c:v>0.106691787195641</c:v>
                </c:pt>
                <c:pt idx="419">
                  <c:v>0.10690299884568499</c:v>
                </c:pt>
                <c:pt idx="420">
                  <c:v>0.10755626237610799</c:v>
                </c:pt>
                <c:pt idx="421">
                  <c:v>0.107805412585396</c:v>
                </c:pt>
                <c:pt idx="422">
                  <c:v>0.10782811787039</c:v>
                </c:pt>
                <c:pt idx="423">
                  <c:v>0.10679324047036</c:v>
                </c:pt>
                <c:pt idx="424">
                  <c:v>0.10932626954080799</c:v>
                </c:pt>
                <c:pt idx="425">
                  <c:v>0.109731944374795</c:v>
                </c:pt>
                <c:pt idx="426">
                  <c:v>0.10960341495956699</c:v>
                </c:pt>
                <c:pt idx="427">
                  <c:v>0.110892052991422</c:v>
                </c:pt>
                <c:pt idx="428">
                  <c:v>0.110917274821257</c:v>
                </c:pt>
                <c:pt idx="429">
                  <c:v>0.11099332743084001</c:v>
                </c:pt>
                <c:pt idx="430">
                  <c:v>0.10978834513609399</c:v>
                </c:pt>
                <c:pt idx="431">
                  <c:v>0.10962111147258299</c:v>
                </c:pt>
                <c:pt idx="432">
                  <c:v>0.10964571411043099</c:v>
                </c:pt>
                <c:pt idx="433">
                  <c:v>0.109555134640567</c:v>
                </c:pt>
                <c:pt idx="434">
                  <c:v>0.109744760128841</c:v>
                </c:pt>
                <c:pt idx="435">
                  <c:v>0.11178052941901501</c:v>
                </c:pt>
                <c:pt idx="436">
                  <c:v>0.111768117428864</c:v>
                </c:pt>
                <c:pt idx="437">
                  <c:v>0.112845711664378</c:v>
                </c:pt>
                <c:pt idx="438">
                  <c:v>0.112833964299691</c:v>
                </c:pt>
                <c:pt idx="439">
                  <c:v>0.113777869532507</c:v>
                </c:pt>
                <c:pt idx="440">
                  <c:v>0.11345292458686201</c:v>
                </c:pt>
                <c:pt idx="441">
                  <c:v>0.11391282609162401</c:v>
                </c:pt>
                <c:pt idx="442">
                  <c:v>0.114413468379005</c:v>
                </c:pt>
                <c:pt idx="443">
                  <c:v>0.1140876841834</c:v>
                </c:pt>
                <c:pt idx="444">
                  <c:v>0.114173641195725</c:v>
                </c:pt>
                <c:pt idx="445">
                  <c:v>0.115112021328691</c:v>
                </c:pt>
                <c:pt idx="446">
                  <c:v>0.11423130889268202</c:v>
                </c:pt>
                <c:pt idx="447">
                  <c:v>0.11418117994944801</c:v>
                </c:pt>
                <c:pt idx="448">
                  <c:v>0.11417058206296798</c:v>
                </c:pt>
                <c:pt idx="449">
                  <c:v>0.11409929278122799</c:v>
                </c:pt>
                <c:pt idx="450">
                  <c:v>0.11393022890424299</c:v>
                </c:pt>
                <c:pt idx="451">
                  <c:v>0.11435603765298699</c:v>
                </c:pt>
                <c:pt idx="452">
                  <c:v>0.114623942346741</c:v>
                </c:pt>
                <c:pt idx="453">
                  <c:v>0.11529104186867099</c:v>
                </c:pt>
                <c:pt idx="454">
                  <c:v>0.115222016619986</c:v>
                </c:pt>
                <c:pt idx="455">
                  <c:v>0.115452298132888</c:v>
                </c:pt>
                <c:pt idx="456">
                  <c:v>0.11552287324294901</c:v>
                </c:pt>
                <c:pt idx="457">
                  <c:v>0.11555351454615501</c:v>
                </c:pt>
                <c:pt idx="458">
                  <c:v>0.115584233389445</c:v>
                </c:pt>
                <c:pt idx="459">
                  <c:v>0.114073587845401</c:v>
                </c:pt>
                <c:pt idx="460">
                  <c:v>0.11551417717780099</c:v>
                </c:pt>
                <c:pt idx="461">
                  <c:v>0.115627453499612</c:v>
                </c:pt>
                <c:pt idx="462">
                  <c:v>0.113533488777269</c:v>
                </c:pt>
                <c:pt idx="463">
                  <c:v>0.113083686301801</c:v>
                </c:pt>
                <c:pt idx="464">
                  <c:v>0.113011697780512</c:v>
                </c:pt>
                <c:pt idx="465">
                  <c:v>0.11332125698183299</c:v>
                </c:pt>
                <c:pt idx="466">
                  <c:v>0.113631585560678</c:v>
                </c:pt>
                <c:pt idx="467">
                  <c:v>0.11330040946939601</c:v>
                </c:pt>
                <c:pt idx="468">
                  <c:v>0.113932691593397</c:v>
                </c:pt>
                <c:pt idx="469">
                  <c:v>0.114023724125818</c:v>
                </c:pt>
                <c:pt idx="470">
                  <c:v>0.11316822434224599</c:v>
                </c:pt>
                <c:pt idx="471">
                  <c:v>0.11315788731506199</c:v>
                </c:pt>
                <c:pt idx="472">
                  <c:v>0.11294633104137701</c:v>
                </c:pt>
                <c:pt idx="473">
                  <c:v>0.11297617229578601</c:v>
                </c:pt>
                <c:pt idx="474">
                  <c:v>0.11141615106476699</c:v>
                </c:pt>
                <c:pt idx="475">
                  <c:v>0.110402683960946</c:v>
                </c:pt>
                <c:pt idx="476">
                  <c:v>0.110350750511857</c:v>
                </c:pt>
                <c:pt idx="477">
                  <c:v>0.10936638861980401</c:v>
                </c:pt>
                <c:pt idx="478">
                  <c:v>0.10956931780957299</c:v>
                </c:pt>
                <c:pt idx="479">
                  <c:v>0.11036000744967801</c:v>
                </c:pt>
                <c:pt idx="480">
                  <c:v>0.106432019291729</c:v>
                </c:pt>
                <c:pt idx="481">
                  <c:v>0.106060497605798</c:v>
                </c:pt>
                <c:pt idx="482">
                  <c:v>0.105055223351462</c:v>
                </c:pt>
                <c:pt idx="483">
                  <c:v>0.105605243325623</c:v>
                </c:pt>
                <c:pt idx="484">
                  <c:v>0.107264753579521</c:v>
                </c:pt>
                <c:pt idx="485">
                  <c:v>0.103791478443028</c:v>
                </c:pt>
                <c:pt idx="486">
                  <c:v>0.10381523478011699</c:v>
                </c:pt>
                <c:pt idx="487">
                  <c:v>0.107504576588969</c:v>
                </c:pt>
                <c:pt idx="488">
                  <c:v>0.107183517197716</c:v>
                </c:pt>
                <c:pt idx="489">
                  <c:v>0.10712986970131899</c:v>
                </c:pt>
                <c:pt idx="490">
                  <c:v>0.10759889379235499</c:v>
                </c:pt>
                <c:pt idx="491">
                  <c:v>0.10132971468959401</c:v>
                </c:pt>
                <c:pt idx="492">
                  <c:v>0.10672753272339901</c:v>
                </c:pt>
                <c:pt idx="493">
                  <c:v>0.100037584738491</c:v>
                </c:pt>
                <c:pt idx="494">
                  <c:v>0.10005891121100101</c:v>
                </c:pt>
                <c:pt idx="495">
                  <c:v>0.108073513225554</c:v>
                </c:pt>
                <c:pt idx="496">
                  <c:v>0.107089587779579</c:v>
                </c:pt>
                <c:pt idx="497">
                  <c:v>0.10812925844415201</c:v>
                </c:pt>
                <c:pt idx="498">
                  <c:v>0.10824164675078</c:v>
                </c:pt>
                <c:pt idx="499">
                  <c:v>0.102221116881811</c:v>
                </c:pt>
                <c:pt idx="500">
                  <c:v>0.103245092384425</c:v>
                </c:pt>
                <c:pt idx="501">
                  <c:v>9.8296068834876293E-2</c:v>
                </c:pt>
                <c:pt idx="502">
                  <c:v>9.8357440801604204E-2</c:v>
                </c:pt>
                <c:pt idx="503">
                  <c:v>9.8378015842174898E-2</c:v>
                </c:pt>
                <c:pt idx="504">
                  <c:v>9.8398650030303597E-2</c:v>
                </c:pt>
                <c:pt idx="505">
                  <c:v>9.7924121433271907E-2</c:v>
                </c:pt>
                <c:pt idx="506">
                  <c:v>9.7410507266228893E-2</c:v>
                </c:pt>
                <c:pt idx="507">
                  <c:v>9.7430563873194695E-2</c:v>
                </c:pt>
                <c:pt idx="508">
                  <c:v>9.7450678756399012E-2</c:v>
                </c:pt>
                <c:pt idx="509">
                  <c:v>9.74708520883244E-2</c:v>
                </c:pt>
                <c:pt idx="510">
                  <c:v>9.7491084042173201E-2</c:v>
                </c:pt>
                <c:pt idx="511">
                  <c:v>9.6577557216239396E-2</c:v>
                </c:pt>
                <c:pt idx="512">
                  <c:v>9.65972625357846E-2</c:v>
                </c:pt>
                <c:pt idx="513">
                  <c:v>9.6617025711774801E-2</c:v>
                </c:pt>
                <c:pt idx="514">
                  <c:v>9.6636846916824004E-2</c:v>
                </c:pt>
                <c:pt idx="515">
                  <c:v>9.6696660443348612E-2</c:v>
                </c:pt>
                <c:pt idx="516">
                  <c:v>9.6217528791346887E-2</c:v>
                </c:pt>
                <c:pt idx="517">
                  <c:v>9.6237226285917299E-2</c:v>
                </c:pt>
                <c:pt idx="518">
                  <c:v>9.6256981933741895E-2</c:v>
                </c:pt>
                <c:pt idx="519">
                  <c:v>9.6276795909650006E-2</c:v>
                </c:pt>
                <c:pt idx="520">
                  <c:v>9.6336589565256509E-2</c:v>
                </c:pt>
                <c:pt idx="521">
                  <c:v>9.6356638616605608E-2</c:v>
                </c:pt>
                <c:pt idx="522">
                  <c:v>9.6274425126707197E-2</c:v>
                </c:pt>
                <c:pt idx="523">
                  <c:v>9.2881890557051608E-2</c:v>
                </c:pt>
                <c:pt idx="524">
                  <c:v>9.2899112072660911E-2</c:v>
                </c:pt>
                <c:pt idx="525">
                  <c:v>9.2951095160640693E-2</c:v>
                </c:pt>
                <c:pt idx="526">
                  <c:v>9.2968529572164199E-2</c:v>
                </c:pt>
                <c:pt idx="527">
                  <c:v>9.2986017610735092E-2</c:v>
                </c:pt>
                <c:pt idx="528">
                  <c:v>9.3003559438954303E-2</c:v>
                </c:pt>
                <c:pt idx="529">
                  <c:v>9.3021155220118099E-2</c:v>
                </c:pt>
                <c:pt idx="530">
                  <c:v>9.307426792470791E-2</c:v>
                </c:pt>
                <c:pt idx="531">
                  <c:v>9.3092081164601992E-2</c:v>
                </c:pt>
                <c:pt idx="532">
                  <c:v>9.3109949184450591E-2</c:v>
                </c:pt>
                <c:pt idx="533">
                  <c:v>9.3127872151788707E-2</c:v>
                </c:pt>
                <c:pt idx="534">
                  <c:v>9.3145850234870903E-2</c:v>
                </c:pt>
                <c:pt idx="535">
                  <c:v>9.3203244942768104E-2</c:v>
                </c:pt>
                <c:pt idx="536">
                  <c:v>9.3217711678065793E-2</c:v>
                </c:pt>
                <c:pt idx="537">
                  <c:v>9.3232225912459402E-2</c:v>
                </c:pt>
                <c:pt idx="538">
                  <c:v>9.3028421414449392E-2</c:v>
                </c:pt>
                <c:pt idx="539">
                  <c:v>9.4554483576084009E-2</c:v>
                </c:pt>
                <c:pt idx="540">
                  <c:v>9.4244442447295698E-2</c:v>
                </c:pt>
                <c:pt idx="541">
                  <c:v>9.4211130112727998E-2</c:v>
                </c:pt>
                <c:pt idx="542">
                  <c:v>9.4096282472342502E-2</c:v>
                </c:pt>
                <c:pt idx="543">
                  <c:v>9.3662402773732598E-2</c:v>
                </c:pt>
                <c:pt idx="544">
                  <c:v>9.4751913056793702E-2</c:v>
                </c:pt>
                <c:pt idx="545">
                  <c:v>9.4136958114979394E-2</c:v>
                </c:pt>
                <c:pt idx="546">
                  <c:v>9.4206022194567099E-2</c:v>
                </c:pt>
                <c:pt idx="547">
                  <c:v>9.4139869907407109E-2</c:v>
                </c:pt>
                <c:pt idx="548">
                  <c:v>9.3315436007084307E-2</c:v>
                </c:pt>
                <c:pt idx="549">
                  <c:v>9.2349220318958009E-2</c:v>
                </c:pt>
                <c:pt idx="550">
                  <c:v>9.2929220928349487E-2</c:v>
                </c:pt>
                <c:pt idx="551">
                  <c:v>9.2628346259265304E-2</c:v>
                </c:pt>
                <c:pt idx="552">
                  <c:v>9.2315007677905903E-2</c:v>
                </c:pt>
                <c:pt idx="553">
                  <c:v>9.1677847791345607E-2</c:v>
                </c:pt>
                <c:pt idx="554">
                  <c:v>9.0609717861612996E-2</c:v>
                </c:pt>
                <c:pt idx="555">
                  <c:v>8.9919585839187896E-2</c:v>
                </c:pt>
                <c:pt idx="556">
                  <c:v>8.8032748880172901E-2</c:v>
                </c:pt>
                <c:pt idx="557">
                  <c:v>8.8617987870979409E-2</c:v>
                </c:pt>
                <c:pt idx="558">
                  <c:v>8.8087736228080096E-2</c:v>
                </c:pt>
                <c:pt idx="559">
                  <c:v>8.8673285221413711E-2</c:v>
                </c:pt>
                <c:pt idx="560">
                  <c:v>8.8239415525148412E-2</c:v>
                </c:pt>
                <c:pt idx="561">
                  <c:v>8.6802260485715793E-2</c:v>
                </c:pt>
                <c:pt idx="562">
                  <c:v>8.7012360845945907E-2</c:v>
                </c:pt>
                <c:pt idx="563">
                  <c:v>8.8297618467241601E-2</c:v>
                </c:pt>
                <c:pt idx="564">
                  <c:v>8.7132632271264596E-2</c:v>
                </c:pt>
                <c:pt idx="565">
                  <c:v>8.6901848232183207E-2</c:v>
                </c:pt>
                <c:pt idx="566">
                  <c:v>8.6625846028614201E-2</c:v>
                </c:pt>
                <c:pt idx="567">
                  <c:v>8.8089710753253794E-2</c:v>
                </c:pt>
                <c:pt idx="568">
                  <c:v>8.8624611552392998E-2</c:v>
                </c:pt>
                <c:pt idx="569">
                  <c:v>8.7835543897589602E-2</c:v>
                </c:pt>
                <c:pt idx="570">
                  <c:v>8.6084763851084101E-2</c:v>
                </c:pt>
                <c:pt idx="571">
                  <c:v>8.5930541883733488E-2</c:v>
                </c:pt>
                <c:pt idx="572">
                  <c:v>8.6920617512037099E-2</c:v>
                </c:pt>
                <c:pt idx="573">
                  <c:v>8.5410767098228493E-2</c:v>
                </c:pt>
                <c:pt idx="574">
                  <c:v>8.7072205112801393E-2</c:v>
                </c:pt>
                <c:pt idx="575">
                  <c:v>8.7510465640545293E-2</c:v>
                </c:pt>
                <c:pt idx="576">
                  <c:v>8.7401667459948693E-2</c:v>
                </c:pt>
                <c:pt idx="577">
                  <c:v>8.678229661145441E-2</c:v>
                </c:pt>
                <c:pt idx="578">
                  <c:v>8.6798886169063505E-2</c:v>
                </c:pt>
                <c:pt idx="579">
                  <c:v>8.73139221429243E-2</c:v>
                </c:pt>
                <c:pt idx="580">
                  <c:v>8.6796225140212513E-2</c:v>
                </c:pt>
                <c:pt idx="581">
                  <c:v>8.6778253519185902E-2</c:v>
                </c:pt>
                <c:pt idx="582">
                  <c:v>8.8114560133766201E-2</c:v>
                </c:pt>
                <c:pt idx="583">
                  <c:v>8.8005066714279698E-2</c:v>
                </c:pt>
                <c:pt idx="584">
                  <c:v>8.7287239104616193E-2</c:v>
                </c:pt>
                <c:pt idx="585">
                  <c:v>8.7429182514148801E-2</c:v>
                </c:pt>
                <c:pt idx="586">
                  <c:v>8.5518370020260998E-2</c:v>
                </c:pt>
                <c:pt idx="587">
                  <c:v>8.7314484013411894E-2</c:v>
                </c:pt>
                <c:pt idx="588">
                  <c:v>8.8131187969949398E-2</c:v>
                </c:pt>
                <c:pt idx="589">
                  <c:v>8.7033720429207498E-2</c:v>
                </c:pt>
                <c:pt idx="590">
                  <c:v>8.6013720577614305E-2</c:v>
                </c:pt>
                <c:pt idx="591">
                  <c:v>8.5625082508852299E-2</c:v>
                </c:pt>
                <c:pt idx="592">
                  <c:v>8.6060950848966408E-2</c:v>
                </c:pt>
                <c:pt idx="593">
                  <c:v>8.6030907723096406E-2</c:v>
                </c:pt>
                <c:pt idx="594">
                  <c:v>8.5695568609505307E-2</c:v>
                </c:pt>
                <c:pt idx="595">
                  <c:v>8.5157386719860104E-2</c:v>
                </c:pt>
                <c:pt idx="596">
                  <c:v>8.6772479049698606E-2</c:v>
                </c:pt>
                <c:pt idx="597">
                  <c:v>8.6589030565714611E-2</c:v>
                </c:pt>
                <c:pt idx="598">
                  <c:v>8.6326609806528704E-2</c:v>
                </c:pt>
                <c:pt idx="599">
                  <c:v>8.5921272583102101E-2</c:v>
                </c:pt>
                <c:pt idx="600">
                  <c:v>8.6217848486907001E-2</c:v>
                </c:pt>
                <c:pt idx="601">
                  <c:v>8.6826903248331408E-2</c:v>
                </c:pt>
                <c:pt idx="602">
                  <c:v>8.6326462218164507E-2</c:v>
                </c:pt>
                <c:pt idx="603">
                  <c:v>8.666529502104639E-2</c:v>
                </c:pt>
                <c:pt idx="604">
                  <c:v>8.6398631644861099E-2</c:v>
                </c:pt>
                <c:pt idx="605">
                  <c:v>8.5827333152690796E-2</c:v>
                </c:pt>
                <c:pt idx="606">
                  <c:v>8.5379880949570594E-2</c:v>
                </c:pt>
                <c:pt idx="607">
                  <c:v>8.5492625454418006E-2</c:v>
                </c:pt>
                <c:pt idx="608">
                  <c:v>8.5529701304717209E-2</c:v>
                </c:pt>
                <c:pt idx="609">
                  <c:v>8.5485156508343096E-2</c:v>
                </c:pt>
                <c:pt idx="610">
                  <c:v>8.6052228204670497E-2</c:v>
                </c:pt>
                <c:pt idx="611">
                  <c:v>8.7751429458848798E-2</c:v>
                </c:pt>
                <c:pt idx="612">
                  <c:v>8.63512992227808E-2</c:v>
                </c:pt>
                <c:pt idx="613">
                  <c:v>8.5965049701297702E-2</c:v>
                </c:pt>
                <c:pt idx="614">
                  <c:v>8.5517960451781394E-2</c:v>
                </c:pt>
                <c:pt idx="615">
                  <c:v>8.544294716580611E-2</c:v>
                </c:pt>
                <c:pt idx="616">
                  <c:v>8.6627104336051197E-2</c:v>
                </c:pt>
                <c:pt idx="617">
                  <c:v>8.7001602692948307E-2</c:v>
                </c:pt>
                <c:pt idx="618">
                  <c:v>8.5810451093885298E-2</c:v>
                </c:pt>
                <c:pt idx="619">
                  <c:v>8.63981729964199E-2</c:v>
                </c:pt>
                <c:pt idx="620">
                  <c:v>8.6384663356673788E-2</c:v>
                </c:pt>
                <c:pt idx="621">
                  <c:v>8.64274962799432E-2</c:v>
                </c:pt>
                <c:pt idx="622">
                  <c:v>8.6532665066992198E-2</c:v>
                </c:pt>
                <c:pt idx="623">
                  <c:v>8.6765682151079812E-2</c:v>
                </c:pt>
                <c:pt idx="624">
                  <c:v>8.6167259744174593E-2</c:v>
                </c:pt>
                <c:pt idx="625">
                  <c:v>8.1151262386409503E-2</c:v>
                </c:pt>
                <c:pt idx="626">
                  <c:v>8.1170802333068101E-2</c:v>
                </c:pt>
                <c:pt idx="627">
                  <c:v>8.1235440413435112E-2</c:v>
                </c:pt>
                <c:pt idx="628">
                  <c:v>8.0564253553684698E-2</c:v>
                </c:pt>
                <c:pt idx="629">
                  <c:v>8.1246825514379992E-2</c:v>
                </c:pt>
                <c:pt idx="630">
                  <c:v>8.1306655029998398E-2</c:v>
                </c:pt>
                <c:pt idx="631">
                  <c:v>8.1279949621504491E-2</c:v>
                </c:pt>
                <c:pt idx="632">
                  <c:v>8.1257604968516403E-2</c:v>
                </c:pt>
                <c:pt idx="633">
                  <c:v>8.1287953074415609E-2</c:v>
                </c:pt>
                <c:pt idx="634">
                  <c:v>8.1252425224679389E-2</c:v>
                </c:pt>
                <c:pt idx="635">
                  <c:v>8.1291085456095896E-2</c:v>
                </c:pt>
                <c:pt idx="636">
                  <c:v>8.1334970680914498E-2</c:v>
                </c:pt>
                <c:pt idx="637">
                  <c:v>8.1343611832411095E-2</c:v>
                </c:pt>
                <c:pt idx="638">
                  <c:v>8.1325750089318388E-2</c:v>
                </c:pt>
                <c:pt idx="639">
                  <c:v>8.1352155036338802E-2</c:v>
                </c:pt>
                <c:pt idx="640">
                  <c:v>8.1382964544560898E-2</c:v>
                </c:pt>
                <c:pt idx="641">
                  <c:v>8.1445194151684497E-2</c:v>
                </c:pt>
                <c:pt idx="642">
                  <c:v>8.1538744131674404E-2</c:v>
                </c:pt>
                <c:pt idx="643">
                  <c:v>8.1387428945906407E-2</c:v>
                </c:pt>
                <c:pt idx="644">
                  <c:v>8.1440994788055998E-2</c:v>
                </c:pt>
                <c:pt idx="645">
                  <c:v>8.15040732454511E-2</c:v>
                </c:pt>
                <c:pt idx="646">
                  <c:v>7.8854251230319597E-2</c:v>
                </c:pt>
                <c:pt idx="647">
                  <c:v>7.8483386732735E-2</c:v>
                </c:pt>
                <c:pt idx="648">
                  <c:v>7.8829653064765207E-2</c:v>
                </c:pt>
                <c:pt idx="649">
                  <c:v>7.9156980822839604E-2</c:v>
                </c:pt>
                <c:pt idx="650">
                  <c:v>7.9177813179018605E-2</c:v>
                </c:pt>
                <c:pt idx="651">
                  <c:v>7.9184828090453796E-2</c:v>
                </c:pt>
                <c:pt idx="652">
                  <c:v>7.9191878603304997E-2</c:v>
                </c:pt>
                <c:pt idx="653">
                  <c:v>7.9198964841525998E-2</c:v>
                </c:pt>
                <c:pt idx="654">
                  <c:v>7.9206086929685796E-2</c:v>
                </c:pt>
                <c:pt idx="655">
                  <c:v>7.9227669548811802E-2</c:v>
                </c:pt>
                <c:pt idx="656">
                  <c:v>7.9234936294873493E-2</c:v>
                </c:pt>
                <c:pt idx="657">
                  <c:v>7.9242239523094699E-2</c:v>
                </c:pt>
                <c:pt idx="658">
                  <c:v>7.9249579361821101E-2</c:v>
                </c:pt>
                <c:pt idx="659">
                  <c:v>7.8547681664896202E-2</c:v>
                </c:pt>
                <c:pt idx="660">
                  <c:v>7.8557082753291707E-2</c:v>
                </c:pt>
                <c:pt idx="661">
                  <c:v>7.8560269930212104E-2</c:v>
                </c:pt>
                <c:pt idx="662">
                  <c:v>7.8563483994983002E-2</c:v>
                </c:pt>
                <c:pt idx="663">
                  <c:v>7.85667250367246E-2</c:v>
                </c:pt>
                <c:pt idx="664">
                  <c:v>7.85699931449928E-2</c:v>
                </c:pt>
                <c:pt idx="665">
                  <c:v>7.8579960771100008E-2</c:v>
                </c:pt>
                <c:pt idx="666">
                  <c:v>7.8583338049831503E-2</c:v>
                </c:pt>
                <c:pt idx="667">
                  <c:v>7.8586742849490493E-2</c:v>
                </c:pt>
                <c:pt idx="668">
                  <c:v>7.859017526230079E-2</c:v>
                </c:pt>
                <c:pt idx="669">
                  <c:v>7.8593635380939594E-2</c:v>
                </c:pt>
                <c:pt idx="670">
                  <c:v>7.8604182905470402E-2</c:v>
                </c:pt>
                <c:pt idx="671">
                  <c:v>7.5747086218863696E-2</c:v>
                </c:pt>
                <c:pt idx="672">
                  <c:v>7.5747779188122297E-2</c:v>
                </c:pt>
                <c:pt idx="673">
                  <c:v>7.5748493038740997E-2</c:v>
                </c:pt>
                <c:pt idx="674">
                  <c:v>7.5750760568552802E-2</c:v>
                </c:pt>
                <c:pt idx="675">
                  <c:v>7.5751558636129299E-2</c:v>
                </c:pt>
                <c:pt idx="676">
                  <c:v>7.5752377932555001E-2</c:v>
                </c:pt>
                <c:pt idx="677">
                  <c:v>7.5753218528372301E-2</c:v>
                </c:pt>
                <c:pt idx="678">
                  <c:v>7.5754080494478598E-2</c:v>
                </c:pt>
                <c:pt idx="679">
                  <c:v>7.5756795328844509E-2</c:v>
                </c:pt>
                <c:pt idx="680">
                  <c:v>7.5905616608711798E-2</c:v>
                </c:pt>
                <c:pt idx="681">
                  <c:v>7.5301136526722198E-2</c:v>
                </c:pt>
                <c:pt idx="682">
                  <c:v>7.5241547781788598E-2</c:v>
                </c:pt>
                <c:pt idx="683">
                  <c:v>7.5242022800510802E-2</c:v>
                </c:pt>
                <c:pt idx="684">
                  <c:v>7.5160017458074699E-2</c:v>
                </c:pt>
                <c:pt idx="685">
                  <c:v>7.50722202780678E-2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5-40FD-BA01-9DA68962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790832"/>
        <c:axId val="188766832"/>
      </c:lineChart>
      <c:dateAx>
        <c:axId val="1887908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66832"/>
        <c:crosses val="autoZero"/>
        <c:auto val="1"/>
        <c:lblOffset val="100"/>
        <c:baseTimeUnit val="days"/>
      </c:dateAx>
      <c:valAx>
        <c:axId val="18876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;\(0.0%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9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1588</xdr:colOff>
      <xdr:row>0</xdr:row>
      <xdr:rowOff>110066</xdr:rowOff>
    </xdr:from>
    <xdr:to>
      <xdr:col>2</xdr:col>
      <xdr:colOff>266701</xdr:colOff>
      <xdr:row>2</xdr:row>
      <xdr:rowOff>139815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E16CB9-CCA3-432D-9FCC-D2EA535F4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3" y="110066"/>
          <a:ext cx="1589088" cy="1039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28574</xdr:colOff>
      <xdr:row>21</xdr:row>
      <xdr:rowOff>152400</xdr:rowOff>
    </xdr:from>
    <xdr:to>
      <xdr:col>23</xdr:col>
      <xdr:colOff>333374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D6AD53-2181-059E-FFE5-0E1C751AC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67994</xdr:colOff>
      <xdr:row>136</xdr:row>
      <xdr:rowOff>170542</xdr:rowOff>
    </xdr:from>
    <xdr:to>
      <xdr:col>24</xdr:col>
      <xdr:colOff>325623</xdr:colOff>
      <xdr:row>152</xdr:row>
      <xdr:rowOff>161017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B2FD79-E5B8-B6E4-FACF-630A960C0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65541</xdr:colOff>
      <xdr:row>74</xdr:row>
      <xdr:rowOff>72798</xdr:rowOff>
    </xdr:from>
    <xdr:to>
      <xdr:col>24</xdr:col>
      <xdr:colOff>370341</xdr:colOff>
      <xdr:row>90</xdr:row>
      <xdr:rowOff>63272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9AE260-62A1-6BAE-4FA8-62435196A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97971</xdr:colOff>
      <xdr:row>73</xdr:row>
      <xdr:rowOff>141514</xdr:rowOff>
    </xdr:from>
    <xdr:to>
      <xdr:col>21</xdr:col>
      <xdr:colOff>409698</xdr:colOff>
      <xdr:row>75</xdr:row>
      <xdr:rowOff>131619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9A9094B-A6E2-4A90-9727-FBA42B995673}"/>
            </a:ext>
          </a:extLst>
        </xdr:cNvPr>
        <xdr:cNvSpPr/>
      </xdr:nvSpPr>
      <xdr:spPr>
        <a:xfrm>
          <a:off x="13149942" y="13748657"/>
          <a:ext cx="2140527" cy="360219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Net debt/EBITDA</a:t>
          </a:r>
        </a:p>
      </xdr:txBody>
    </xdr:sp>
    <xdr:clientData/>
  </xdr:twoCellAnchor>
  <xdr:twoCellAnchor editAs="oneCell">
    <xdr:from>
      <xdr:col>17</xdr:col>
      <xdr:colOff>38101</xdr:colOff>
      <xdr:row>92</xdr:row>
      <xdr:rowOff>5443</xdr:rowOff>
    </xdr:from>
    <xdr:to>
      <xdr:col>24</xdr:col>
      <xdr:colOff>342901</xdr:colOff>
      <xdr:row>106</xdr:row>
      <xdr:rowOff>157843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E96896-C8C2-CACD-5798-3E4759FCB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97971</xdr:colOff>
      <xdr:row>91</xdr:row>
      <xdr:rowOff>0</xdr:rowOff>
    </xdr:from>
    <xdr:to>
      <xdr:col>21</xdr:col>
      <xdr:colOff>409698</xdr:colOff>
      <xdr:row>92</xdr:row>
      <xdr:rowOff>175161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0157EBB-2895-ED97-0C57-1AA72A537A7D}"/>
            </a:ext>
          </a:extLst>
        </xdr:cNvPr>
        <xdr:cNvSpPr/>
      </xdr:nvSpPr>
      <xdr:spPr>
        <a:xfrm>
          <a:off x="13149942" y="16861971"/>
          <a:ext cx="2140527" cy="360219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debt schedule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100012</xdr:colOff>
      <xdr:row>10</xdr:row>
      <xdr:rowOff>0</xdr:rowOff>
    </xdr:from>
    <xdr:to>
      <xdr:col>13</xdr:col>
      <xdr:colOff>404812</xdr:colOff>
      <xdr:row>25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D5240D-5BF9-4BCB-88A3-977BA9E27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375453</xdr:colOff>
      <xdr:row>10</xdr:row>
      <xdr:rowOff>16493</xdr:rowOff>
    </xdr:from>
    <xdr:to>
      <xdr:col>21</xdr:col>
      <xdr:colOff>117825</xdr:colOff>
      <xdr:row>26</xdr:row>
      <xdr:rowOff>1587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267D01-E66D-A3E5-6E8F-58DF95FFC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426749</xdr:colOff>
      <xdr:row>10</xdr:row>
      <xdr:rowOff>28141</xdr:rowOff>
    </xdr:from>
    <xdr:to>
      <xdr:col>29</xdr:col>
      <xdr:colOff>177367</xdr:colOff>
      <xdr:row>25</xdr:row>
      <xdr:rowOff>142152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02B552-C13C-2968-5371-96C7E706D8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423285</xdr:colOff>
      <xdr:row>40</xdr:row>
      <xdr:rowOff>94528</xdr:rowOff>
    </xdr:from>
    <xdr:to>
      <xdr:col>13</xdr:col>
      <xdr:colOff>173903</xdr:colOff>
      <xdr:row>57</xdr:row>
      <xdr:rowOff>9092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925430-453C-0790-66E1-ADA38B6D1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150091</xdr:colOff>
      <xdr:row>7</xdr:row>
      <xdr:rowOff>57727</xdr:rowOff>
    </xdr:from>
    <xdr:to>
      <xdr:col>11</xdr:col>
      <xdr:colOff>461818</xdr:colOff>
      <xdr:row>9</xdr:row>
      <xdr:rowOff>11546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E2CA07E-1C90-8B9E-F3CB-2DE2BE6A70FF}"/>
            </a:ext>
          </a:extLst>
        </xdr:cNvPr>
        <xdr:cNvSpPr/>
      </xdr:nvSpPr>
      <xdr:spPr>
        <a:xfrm>
          <a:off x="5576455" y="1350818"/>
          <a:ext cx="1974272" cy="323273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Revenue by country</a:t>
          </a:r>
        </a:p>
      </xdr:txBody>
    </xdr:sp>
    <xdr:clientData/>
  </xdr:twoCellAnchor>
  <xdr:twoCellAnchor editAs="oneCell">
    <xdr:from>
      <xdr:col>15</xdr:col>
      <xdr:colOff>484910</xdr:colOff>
      <xdr:row>7</xdr:row>
      <xdr:rowOff>57727</xdr:rowOff>
    </xdr:from>
    <xdr:to>
      <xdr:col>19</xdr:col>
      <xdr:colOff>242454</xdr:colOff>
      <xdr:row>9</xdr:row>
      <xdr:rowOff>11546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756BDBA-40E4-BBF2-997F-23B80888D724}"/>
            </a:ext>
          </a:extLst>
        </xdr:cNvPr>
        <xdr:cNvSpPr/>
      </xdr:nvSpPr>
      <xdr:spPr>
        <a:xfrm>
          <a:off x="9790546" y="1350818"/>
          <a:ext cx="1974272" cy="323273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Revenue by segment</a:t>
          </a:r>
        </a:p>
      </xdr:txBody>
    </xdr:sp>
    <xdr:clientData/>
  </xdr:twoCellAnchor>
  <xdr:twoCellAnchor editAs="oneCell">
    <xdr:from>
      <xdr:col>24</xdr:col>
      <xdr:colOff>230909</xdr:colOff>
      <xdr:row>7</xdr:row>
      <xdr:rowOff>57727</xdr:rowOff>
    </xdr:from>
    <xdr:to>
      <xdr:col>27</xdr:col>
      <xdr:colOff>542636</xdr:colOff>
      <xdr:row>9</xdr:row>
      <xdr:rowOff>11546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69B2FBD-DB34-6B34-F84E-1C269D7B670F}"/>
            </a:ext>
          </a:extLst>
        </xdr:cNvPr>
        <xdr:cNvSpPr/>
      </xdr:nvSpPr>
      <xdr:spPr>
        <a:xfrm>
          <a:off x="14524182" y="1350818"/>
          <a:ext cx="1974272" cy="323273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Market share</a:t>
          </a:r>
        </a:p>
      </xdr:txBody>
    </xdr:sp>
    <xdr:clientData/>
  </xdr:twoCellAnchor>
  <xdr:twoCellAnchor editAs="oneCell">
    <xdr:from>
      <xdr:col>8</xdr:col>
      <xdr:colOff>196272</xdr:colOff>
      <xdr:row>27</xdr:row>
      <xdr:rowOff>23091</xdr:rowOff>
    </xdr:from>
    <xdr:to>
      <xdr:col>11</xdr:col>
      <xdr:colOff>507999</xdr:colOff>
      <xdr:row>29</xdr:row>
      <xdr:rowOff>23091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AAAB938-4CC0-4FDB-A705-C4845151F0FB}"/>
            </a:ext>
          </a:extLst>
        </xdr:cNvPr>
        <xdr:cNvSpPr/>
      </xdr:nvSpPr>
      <xdr:spPr>
        <a:xfrm>
          <a:off x="5622636" y="4895273"/>
          <a:ext cx="1974272" cy="323273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SG" sz="1100"/>
            <a:t>Mobile penetration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5</xdr:row>
      <xdr:rowOff>14286</xdr:rowOff>
    </xdr:from>
    <xdr:to>
      <xdr:col>13</xdr:col>
      <xdr:colOff>561975</xdr:colOff>
      <xdr:row>23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A8839-A85F-46DA-BAE7-0FD673773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257175</xdr:colOff>
      <xdr:row>6</xdr:row>
      <xdr:rowOff>147636</xdr:rowOff>
    </xdr:from>
    <xdr:to>
      <xdr:col>23</xdr:col>
      <xdr:colOff>66675</xdr:colOff>
      <xdr:row>24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E50BCC-5459-47FC-A52F-AD666AD11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25</xdr:row>
      <xdr:rowOff>76200</xdr:rowOff>
    </xdr:from>
    <xdr:to>
      <xdr:col>13</xdr:col>
      <xdr:colOff>38100</xdr:colOff>
      <xdr:row>43</xdr:row>
      <xdr:rowOff>119063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75FBF2-0E2A-4E72-B4A2-DBB9C9454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NSR">
  <a:themeElements>
    <a:clrScheme name="New Street Research Colors">
      <a:dk1>
        <a:sysClr val="windowText" lastClr="000000"/>
      </a:dk1>
      <a:lt1>
        <a:sysClr val="window" lastClr="FFFFFF"/>
      </a:lt1>
      <a:dk2>
        <a:srgbClr val="799098"/>
      </a:dk2>
      <a:lt2>
        <a:srgbClr val="263238"/>
      </a:lt2>
      <a:accent1>
        <a:srgbClr val="C7FE02"/>
      </a:accent1>
      <a:accent2>
        <a:srgbClr val="E3F982"/>
      </a:accent2>
      <a:accent3>
        <a:srgbClr val="F9663E"/>
      </a:accent3>
      <a:accent4>
        <a:srgbClr val="F19375"/>
      </a:accent4>
      <a:accent5>
        <a:srgbClr val="00C994"/>
      </a:accent5>
      <a:accent6>
        <a:srgbClr val="80D4C1"/>
      </a:accent6>
      <a:hlink>
        <a:srgbClr val="0563C1"/>
      </a:hlink>
      <a:folHlink>
        <a:srgbClr val="954F72"/>
      </a:folHlink>
    </a:clrScheme>
    <a:fontScheme name="NewStreet Research">
      <a:majorFont>
        <a:latin typeface="Helvetica Neue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ew AVCo">
    <a:dk1>
      <a:srgbClr val="0D355B"/>
    </a:dk1>
    <a:lt1>
      <a:srgbClr val="FFFFFF"/>
    </a:lt1>
    <a:dk2>
      <a:srgbClr val="4D96E5"/>
    </a:dk2>
    <a:lt2>
      <a:srgbClr val="3250BE"/>
    </a:lt2>
    <a:accent1>
      <a:srgbClr val="A4B8F2"/>
    </a:accent1>
    <a:accent2>
      <a:srgbClr val="BAA48B"/>
    </a:accent2>
    <a:accent3>
      <a:srgbClr val="0A5268"/>
    </a:accent3>
    <a:accent4>
      <a:srgbClr val="FFFF99"/>
    </a:accent4>
    <a:accent5>
      <a:srgbClr val="F24E4A"/>
    </a:accent5>
    <a:accent6>
      <a:srgbClr val="3AC943"/>
    </a:accent6>
    <a:hlink>
      <a:srgbClr val="2985E0"/>
    </a:hlink>
    <a:folHlink>
      <a:srgbClr val="7030A0"/>
    </a:folHlink>
  </a:clrScheme>
  <a:fontScheme name="New AVCo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New AVCo">
    <a:dk1>
      <a:srgbClr val="0D355B"/>
    </a:dk1>
    <a:lt1>
      <a:srgbClr val="FFFFFF"/>
    </a:lt1>
    <a:dk2>
      <a:srgbClr val="4D96E5"/>
    </a:dk2>
    <a:lt2>
      <a:srgbClr val="3250BE"/>
    </a:lt2>
    <a:accent1>
      <a:srgbClr val="A4B8F2"/>
    </a:accent1>
    <a:accent2>
      <a:srgbClr val="BAA48B"/>
    </a:accent2>
    <a:accent3>
      <a:srgbClr val="0A5268"/>
    </a:accent3>
    <a:accent4>
      <a:srgbClr val="FFFF99"/>
    </a:accent4>
    <a:accent5>
      <a:srgbClr val="F24E4A"/>
    </a:accent5>
    <a:accent6>
      <a:srgbClr val="3AC943"/>
    </a:accent6>
    <a:hlink>
      <a:srgbClr val="2985E0"/>
    </a:hlink>
    <a:folHlink>
      <a:srgbClr val="7030A0"/>
    </a:folHlink>
  </a:clrScheme>
  <a:fontScheme name="New AVCo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NSR Accent">
    <a:dk1>
      <a:sysClr val="windowText" lastClr="000000"/>
    </a:dk1>
    <a:lt1>
      <a:srgbClr val="FFFFFF"/>
    </a:lt1>
    <a:dk2>
      <a:srgbClr val="263238"/>
    </a:dk2>
    <a:lt2>
      <a:srgbClr val="ECEFF1"/>
    </a:lt2>
    <a:accent1>
      <a:srgbClr val="C7FE02"/>
    </a:accent1>
    <a:accent2>
      <a:srgbClr val="E3F982"/>
    </a:accent2>
    <a:accent3>
      <a:srgbClr val="F9663E"/>
    </a:accent3>
    <a:accent4>
      <a:srgbClr val="F19375"/>
    </a:accent4>
    <a:accent5>
      <a:srgbClr val="00CA94"/>
    </a:accent5>
    <a:accent6>
      <a:srgbClr val="80D4C1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avid@newstreetresearch.com" TargetMode="External"/><Relationship Id="rId1" Type="http://schemas.openxmlformats.org/officeDocument/2006/relationships/hyperlink" Target="mailto:chris@newstreetresearch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28BC-C2C8-4902-9493-417CBDA96568}">
  <dimension ref="A1:GH261"/>
  <sheetViews>
    <sheetView tabSelected="1" workbookViewId="0">
      <selection activeCell="S38" sqref="S38"/>
    </sheetView>
  </sheetViews>
  <sheetFormatPr defaultRowHeight="12.75" x14ac:dyDescent="0.2"/>
  <cols>
    <col min="1" max="1" width="1.85546875" customWidth="1"/>
    <col min="2" max="2" width="19.85546875" bestFit="1" customWidth="1"/>
  </cols>
  <sheetData>
    <row r="1" spans="1:190" ht="15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</row>
    <row r="2" spans="1:190" ht="64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</row>
    <row r="3" spans="1:190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</row>
    <row r="4" spans="1:190" ht="15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</row>
    <row r="5" spans="1:190" ht="15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</row>
    <row r="6" spans="1:190" ht="18.75" x14ac:dyDescent="0.25">
      <c r="A6" s="75"/>
      <c r="B6" s="77" t="s">
        <v>87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</row>
    <row r="7" spans="1:190" ht="1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</row>
    <row r="8" spans="1:190" ht="15" x14ac:dyDescent="0.25">
      <c r="A8" s="78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</row>
    <row r="9" spans="1:190" ht="15" x14ac:dyDescent="0.25">
      <c r="A9" s="78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</row>
    <row r="10" spans="1:190" ht="15" x14ac:dyDescent="0.25">
      <c r="A10" s="78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</row>
    <row r="11" spans="1:190" ht="15" x14ac:dyDescent="0.25">
      <c r="A11" s="78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</row>
    <row r="12" spans="1:190" ht="15" x14ac:dyDescent="0.25">
      <c r="A12" s="78"/>
      <c r="B12" s="75" t="s">
        <v>77</v>
      </c>
      <c r="C12" s="75" t="s">
        <v>78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</row>
    <row r="13" spans="1:190" ht="15" x14ac:dyDescent="0.25">
      <c r="A13" s="78"/>
      <c r="B13" s="75" t="s">
        <v>79</v>
      </c>
      <c r="C13" s="80" t="s">
        <v>80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</row>
    <row r="14" spans="1:190" ht="15" x14ac:dyDescent="0.25">
      <c r="A14" s="78"/>
      <c r="B14" s="75" t="s">
        <v>81</v>
      </c>
      <c r="C14" s="81" t="s">
        <v>82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</row>
    <row r="15" spans="1:190" ht="15" x14ac:dyDescent="0.25">
      <c r="A15" s="78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</row>
    <row r="16" spans="1:190" ht="15" x14ac:dyDescent="0.25">
      <c r="A16" s="75"/>
      <c r="B16" s="75" t="s">
        <v>83</v>
      </c>
      <c r="C16" s="75" t="s">
        <v>84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</row>
    <row r="17" spans="1:190" ht="15" x14ac:dyDescent="0.25">
      <c r="A17" s="75"/>
      <c r="B17" s="75" t="s">
        <v>79</v>
      </c>
      <c r="C17" s="80" t="s">
        <v>85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</row>
    <row r="18" spans="1:190" ht="15" x14ac:dyDescent="0.25">
      <c r="A18" s="75"/>
      <c r="B18" s="75" t="s">
        <v>81</v>
      </c>
      <c r="C18" s="81" t="s">
        <v>86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</row>
    <row r="19" spans="1:190" ht="15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</row>
    <row r="20" spans="1:190" ht="15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</row>
    <row r="21" spans="1:190" ht="15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</row>
    <row r="22" spans="1:190" ht="15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</row>
    <row r="23" spans="1:190" ht="15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</row>
    <row r="24" spans="1:190" ht="15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</row>
    <row r="25" spans="1:190" ht="15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</row>
    <row r="26" spans="1:190" ht="15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</row>
    <row r="27" spans="1:190" ht="15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</row>
    <row r="28" spans="1:190" ht="15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</row>
    <row r="29" spans="1:190" ht="15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</row>
    <row r="30" spans="1:190" ht="15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</row>
    <row r="31" spans="1:190" ht="15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</row>
    <row r="32" spans="1:190" ht="15" x14ac:dyDescent="0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</row>
    <row r="33" spans="1:190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</row>
    <row r="34" spans="1:190" ht="15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</row>
    <row r="35" spans="1:190" ht="15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</row>
    <row r="36" spans="1:190" ht="15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</row>
    <row r="37" spans="1:190" ht="15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</row>
    <row r="38" spans="1:190" ht="15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</row>
    <row r="39" spans="1:190" ht="14.25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</row>
    <row r="40" spans="1:190" ht="15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</row>
    <row r="41" spans="1:190" ht="15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</row>
    <row r="42" spans="1:190" ht="15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</row>
    <row r="43" spans="1:190" ht="15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</row>
    <row r="44" spans="1:190" ht="15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</row>
    <row r="45" spans="1:190" ht="15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</row>
    <row r="46" spans="1:190" ht="15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</row>
    <row r="47" spans="1:190" ht="15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</row>
    <row r="48" spans="1:190" ht="15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</row>
    <row r="49" spans="1:190" ht="15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</row>
    <row r="50" spans="1:190" ht="15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</row>
    <row r="51" spans="1:190" ht="15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</row>
    <row r="52" spans="1:190" ht="15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</row>
    <row r="53" spans="1:190" ht="15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</row>
    <row r="54" spans="1:190" ht="15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</row>
    <row r="55" spans="1:190" ht="15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</row>
    <row r="56" spans="1:190" ht="15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</row>
    <row r="57" spans="1:190" ht="15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  <c r="EO57" s="79"/>
      <c r="EP57" s="79"/>
      <c r="EQ57" s="79"/>
      <c r="ER57" s="79"/>
      <c r="ES57" s="79"/>
      <c r="ET57" s="79"/>
      <c r="EU57" s="79"/>
      <c r="EV57" s="79"/>
      <c r="EW57" s="79"/>
      <c r="EX57" s="79"/>
      <c r="EY57" s="79"/>
      <c r="EZ57" s="79"/>
      <c r="FA57" s="79"/>
      <c r="FB57" s="79"/>
      <c r="FC57" s="79"/>
      <c r="FD57" s="79"/>
      <c r="FE57" s="79"/>
      <c r="FF57" s="79"/>
      <c r="FG57" s="79"/>
      <c r="FH57" s="79"/>
      <c r="FI57" s="79"/>
      <c r="FJ57" s="79"/>
      <c r="FK57" s="79"/>
      <c r="FL57" s="79"/>
      <c r="FM57" s="79"/>
      <c r="FN57" s="79"/>
      <c r="FO57" s="79"/>
      <c r="FP57" s="79"/>
      <c r="FQ57" s="79"/>
      <c r="FR57" s="79"/>
      <c r="FS57" s="79"/>
      <c r="FT57" s="79"/>
      <c r="FU57" s="79"/>
      <c r="FV57" s="79"/>
      <c r="FW57" s="79"/>
      <c r="FX57" s="79"/>
      <c r="FY57" s="79"/>
      <c r="FZ57" s="79"/>
      <c r="GA57" s="79"/>
      <c r="GB57" s="79"/>
      <c r="GC57" s="79"/>
      <c r="GD57" s="79"/>
      <c r="GE57" s="79"/>
      <c r="GF57" s="79"/>
      <c r="GG57" s="79"/>
      <c r="GH57" s="79"/>
    </row>
    <row r="58" spans="1:190" ht="15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  <c r="GH58" s="79"/>
    </row>
    <row r="59" spans="1:190" ht="14.25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  <c r="EO59" s="79"/>
      <c r="EP59" s="79"/>
      <c r="EQ59" s="79"/>
      <c r="ER59" s="79"/>
      <c r="ES59" s="79"/>
      <c r="ET59" s="79"/>
      <c r="EU59" s="79"/>
      <c r="EV59" s="79"/>
      <c r="EW59" s="79"/>
      <c r="EX59" s="79"/>
      <c r="EY59" s="79"/>
      <c r="EZ59" s="79"/>
      <c r="FA59" s="79"/>
      <c r="FB59" s="79"/>
      <c r="FC59" s="79"/>
      <c r="FD59" s="79"/>
      <c r="FE59" s="79"/>
      <c r="FF59" s="79"/>
      <c r="FG59" s="79"/>
      <c r="FH59" s="79"/>
      <c r="FI59" s="79"/>
      <c r="FJ59" s="79"/>
      <c r="FK59" s="79"/>
      <c r="FL59" s="79"/>
      <c r="FM59" s="79"/>
      <c r="FN59" s="79"/>
      <c r="FO59" s="79"/>
      <c r="FP59" s="79"/>
      <c r="FQ59" s="79"/>
      <c r="FR59" s="79"/>
      <c r="FS59" s="79"/>
      <c r="FT59" s="79"/>
      <c r="FU59" s="79"/>
      <c r="FV59" s="79"/>
      <c r="FW59" s="79"/>
      <c r="FX59" s="79"/>
      <c r="FY59" s="79"/>
      <c r="FZ59" s="79"/>
      <c r="GA59" s="79"/>
      <c r="GB59" s="79"/>
      <c r="GC59" s="79"/>
      <c r="GD59" s="79"/>
      <c r="GE59" s="79"/>
      <c r="GF59" s="79"/>
      <c r="GG59" s="79"/>
      <c r="GH59" s="79"/>
    </row>
    <row r="60" spans="1:190" ht="14.25" x14ac:dyDescent="0.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  <c r="EO60" s="79"/>
      <c r="EP60" s="79"/>
      <c r="EQ60" s="79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79"/>
      <c r="FF60" s="79"/>
      <c r="FG60" s="79"/>
      <c r="FH60" s="79"/>
      <c r="FI60" s="79"/>
      <c r="FJ60" s="79"/>
      <c r="FK60" s="79"/>
      <c r="FL60" s="79"/>
      <c r="FM60" s="79"/>
      <c r="FN60" s="79"/>
      <c r="FO60" s="79"/>
      <c r="FP60" s="79"/>
      <c r="FQ60" s="79"/>
      <c r="FR60" s="79"/>
      <c r="FS60" s="79"/>
      <c r="FT60" s="79"/>
      <c r="FU60" s="79"/>
      <c r="FV60" s="79"/>
      <c r="FW60" s="79"/>
      <c r="FX60" s="79"/>
      <c r="FY60" s="79"/>
      <c r="FZ60" s="79"/>
      <c r="GA60" s="79"/>
      <c r="GB60" s="79"/>
      <c r="GC60" s="79"/>
      <c r="GD60" s="79"/>
      <c r="GE60" s="79"/>
      <c r="GF60" s="79"/>
      <c r="GG60" s="79"/>
      <c r="GH60" s="79"/>
    </row>
    <row r="61" spans="1:190" ht="14.25" x14ac:dyDescent="0.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</row>
    <row r="62" spans="1:190" ht="14.25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</row>
    <row r="63" spans="1:190" ht="14.25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</row>
    <row r="64" spans="1:190" ht="14.25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</row>
    <row r="65" spans="1:190" ht="14.25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</row>
    <row r="66" spans="1:190" ht="14.25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</row>
    <row r="67" spans="1:190" ht="14.25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</row>
    <row r="68" spans="1:190" ht="14.25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</row>
    <row r="69" spans="1:190" ht="14.25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</row>
    <row r="70" spans="1:190" ht="14.25" x14ac:dyDescent="0.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</row>
    <row r="71" spans="1:190" ht="14.25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</row>
    <row r="72" spans="1:190" ht="14.25" x14ac:dyDescent="0.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</row>
    <row r="73" spans="1:190" ht="14.25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  <c r="GH73" s="79"/>
    </row>
    <row r="74" spans="1:190" ht="14.25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  <c r="EO74" s="79"/>
      <c r="EP74" s="79"/>
      <c r="EQ74" s="79"/>
      <c r="ER74" s="79"/>
      <c r="ES74" s="79"/>
      <c r="ET74" s="79"/>
      <c r="EU74" s="79"/>
      <c r="EV74" s="79"/>
      <c r="EW74" s="79"/>
      <c r="EX74" s="79"/>
      <c r="EY74" s="79"/>
      <c r="EZ74" s="79"/>
      <c r="FA74" s="79"/>
      <c r="FB74" s="79"/>
      <c r="FC74" s="79"/>
      <c r="FD74" s="79"/>
      <c r="FE74" s="79"/>
      <c r="FF74" s="79"/>
      <c r="FG74" s="79"/>
      <c r="FH74" s="79"/>
      <c r="FI74" s="79"/>
      <c r="FJ74" s="79"/>
      <c r="FK74" s="79"/>
      <c r="FL74" s="79"/>
      <c r="FM74" s="79"/>
      <c r="FN74" s="79"/>
      <c r="FO74" s="79"/>
      <c r="FP74" s="79"/>
      <c r="FQ74" s="79"/>
      <c r="FR74" s="79"/>
      <c r="FS74" s="79"/>
      <c r="FT74" s="79"/>
      <c r="FU74" s="79"/>
      <c r="FV74" s="79"/>
      <c r="FW74" s="79"/>
      <c r="FX74" s="79"/>
      <c r="FY74" s="79"/>
      <c r="FZ74" s="79"/>
      <c r="GA74" s="79"/>
      <c r="GB74" s="79"/>
      <c r="GC74" s="79"/>
      <c r="GD74" s="79"/>
      <c r="GE74" s="79"/>
      <c r="GF74" s="79"/>
      <c r="GG74" s="79"/>
      <c r="GH74" s="79"/>
    </row>
    <row r="75" spans="1:190" ht="14.25" x14ac:dyDescent="0.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  <c r="EO75" s="79"/>
      <c r="EP75" s="79"/>
      <c r="EQ75" s="79"/>
      <c r="ER75" s="79"/>
      <c r="ES75" s="79"/>
      <c r="ET75" s="79"/>
      <c r="EU75" s="79"/>
      <c r="EV75" s="79"/>
      <c r="EW75" s="79"/>
      <c r="EX75" s="79"/>
      <c r="EY75" s="79"/>
      <c r="EZ75" s="79"/>
      <c r="FA75" s="79"/>
      <c r="FB75" s="79"/>
      <c r="FC75" s="79"/>
      <c r="FD75" s="79"/>
      <c r="FE75" s="79"/>
      <c r="FF75" s="79"/>
      <c r="FG75" s="79"/>
      <c r="FH75" s="79"/>
      <c r="FI75" s="79"/>
      <c r="FJ75" s="79"/>
      <c r="FK75" s="79"/>
      <c r="FL75" s="79"/>
      <c r="FM75" s="79"/>
      <c r="FN75" s="79"/>
      <c r="FO75" s="79"/>
      <c r="FP75" s="79"/>
      <c r="FQ75" s="79"/>
      <c r="FR75" s="79"/>
      <c r="FS75" s="79"/>
      <c r="FT75" s="79"/>
      <c r="FU75" s="79"/>
      <c r="FV75" s="79"/>
      <c r="FW75" s="79"/>
      <c r="FX75" s="79"/>
      <c r="FY75" s="79"/>
      <c r="FZ75" s="79"/>
      <c r="GA75" s="79"/>
      <c r="GB75" s="79"/>
      <c r="GC75" s="79"/>
      <c r="GD75" s="79"/>
      <c r="GE75" s="79"/>
      <c r="GF75" s="79"/>
      <c r="GG75" s="79"/>
      <c r="GH75" s="79"/>
    </row>
    <row r="76" spans="1:190" ht="14.25" x14ac:dyDescent="0.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  <c r="EO76" s="79"/>
      <c r="EP76" s="79"/>
      <c r="EQ76" s="79"/>
      <c r="ER76" s="79"/>
      <c r="ES76" s="79"/>
      <c r="ET76" s="79"/>
      <c r="EU76" s="79"/>
      <c r="EV76" s="79"/>
      <c r="EW76" s="79"/>
      <c r="EX76" s="79"/>
      <c r="EY76" s="79"/>
      <c r="EZ76" s="79"/>
      <c r="FA76" s="79"/>
      <c r="FB76" s="79"/>
      <c r="FC76" s="79"/>
      <c r="FD76" s="79"/>
      <c r="FE76" s="79"/>
      <c r="FF76" s="79"/>
      <c r="FG76" s="79"/>
      <c r="FH76" s="79"/>
      <c r="FI76" s="79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79"/>
      <c r="FU76" s="79"/>
      <c r="FV76" s="79"/>
      <c r="FW76" s="79"/>
      <c r="FX76" s="79"/>
      <c r="FY76" s="79"/>
      <c r="FZ76" s="79"/>
      <c r="GA76" s="79"/>
      <c r="GB76" s="79"/>
      <c r="GC76" s="79"/>
      <c r="GD76" s="79"/>
      <c r="GE76" s="79"/>
      <c r="GF76" s="79"/>
      <c r="GG76" s="79"/>
      <c r="GH76" s="79"/>
    </row>
    <row r="77" spans="1:190" ht="14.25" x14ac:dyDescent="0.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  <c r="EO77" s="79"/>
      <c r="EP77" s="79"/>
      <c r="EQ77" s="79"/>
      <c r="ER77" s="79"/>
      <c r="ES77" s="79"/>
      <c r="ET77" s="79"/>
      <c r="EU77" s="79"/>
      <c r="EV77" s="79"/>
      <c r="EW77" s="79"/>
      <c r="EX77" s="79"/>
      <c r="EY77" s="79"/>
      <c r="EZ77" s="79"/>
      <c r="FA77" s="79"/>
      <c r="FB77" s="79"/>
      <c r="FC77" s="79"/>
      <c r="FD77" s="79"/>
      <c r="FE77" s="79"/>
      <c r="FF77" s="79"/>
      <c r="FG77" s="79"/>
      <c r="FH77" s="79"/>
      <c r="FI77" s="79"/>
      <c r="FJ77" s="79"/>
      <c r="FK77" s="79"/>
      <c r="FL77" s="79"/>
      <c r="FM77" s="79"/>
      <c r="FN77" s="79"/>
      <c r="FO77" s="79"/>
      <c r="FP77" s="79"/>
      <c r="FQ77" s="79"/>
      <c r="FR77" s="79"/>
      <c r="FS77" s="79"/>
      <c r="FT77" s="79"/>
      <c r="FU77" s="79"/>
      <c r="FV77" s="79"/>
      <c r="FW77" s="79"/>
      <c r="FX77" s="79"/>
      <c r="FY77" s="79"/>
      <c r="FZ77" s="79"/>
      <c r="GA77" s="79"/>
      <c r="GB77" s="79"/>
      <c r="GC77" s="79"/>
      <c r="GD77" s="79"/>
      <c r="GE77" s="79"/>
      <c r="GF77" s="79"/>
      <c r="GG77" s="79"/>
      <c r="GH77" s="79"/>
    </row>
    <row r="78" spans="1:190" ht="14.25" x14ac:dyDescent="0.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  <c r="EO78" s="79"/>
      <c r="EP78" s="79"/>
      <c r="EQ78" s="79"/>
      <c r="ER78" s="79"/>
      <c r="ES78" s="79"/>
      <c r="ET78" s="79"/>
      <c r="EU78" s="79"/>
      <c r="EV78" s="79"/>
      <c r="EW78" s="79"/>
      <c r="EX78" s="79"/>
      <c r="EY78" s="79"/>
      <c r="EZ78" s="79"/>
      <c r="FA78" s="79"/>
      <c r="FB78" s="79"/>
      <c r="FC78" s="79"/>
      <c r="FD78" s="79"/>
      <c r="FE78" s="79"/>
      <c r="FF78" s="79"/>
      <c r="FG78" s="79"/>
      <c r="FH78" s="79"/>
      <c r="FI78" s="79"/>
      <c r="FJ78" s="79"/>
      <c r="FK78" s="79"/>
      <c r="FL78" s="79"/>
      <c r="FM78" s="79"/>
      <c r="FN78" s="79"/>
      <c r="FO78" s="79"/>
      <c r="FP78" s="79"/>
      <c r="FQ78" s="79"/>
      <c r="FR78" s="79"/>
      <c r="FS78" s="79"/>
      <c r="FT78" s="79"/>
      <c r="FU78" s="79"/>
      <c r="FV78" s="79"/>
      <c r="FW78" s="79"/>
      <c r="FX78" s="79"/>
      <c r="FY78" s="79"/>
      <c r="FZ78" s="79"/>
      <c r="GA78" s="79"/>
      <c r="GB78" s="79"/>
      <c r="GC78" s="79"/>
      <c r="GD78" s="79"/>
      <c r="GE78" s="79"/>
      <c r="GF78" s="79"/>
      <c r="GG78" s="79"/>
      <c r="GH78" s="79"/>
    </row>
    <row r="79" spans="1:190" ht="14.25" x14ac:dyDescent="0.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  <c r="EO79" s="79"/>
      <c r="EP79" s="79"/>
      <c r="EQ79" s="79"/>
      <c r="ER79" s="79"/>
      <c r="ES79" s="79"/>
      <c r="ET79" s="79"/>
      <c r="EU79" s="79"/>
      <c r="EV79" s="79"/>
      <c r="EW79" s="79"/>
      <c r="EX79" s="79"/>
      <c r="EY79" s="79"/>
      <c r="EZ79" s="79"/>
      <c r="FA79" s="79"/>
      <c r="FB79" s="79"/>
      <c r="FC79" s="79"/>
      <c r="FD79" s="79"/>
      <c r="FE79" s="79"/>
      <c r="FF79" s="79"/>
      <c r="FG79" s="79"/>
      <c r="FH79" s="79"/>
      <c r="FI79" s="79"/>
      <c r="FJ79" s="79"/>
      <c r="FK79" s="79"/>
      <c r="FL79" s="79"/>
      <c r="FM79" s="79"/>
      <c r="FN79" s="79"/>
      <c r="FO79" s="79"/>
      <c r="FP79" s="79"/>
      <c r="FQ79" s="79"/>
      <c r="FR79" s="79"/>
      <c r="FS79" s="79"/>
      <c r="FT79" s="79"/>
      <c r="FU79" s="79"/>
      <c r="FV79" s="79"/>
      <c r="FW79" s="79"/>
      <c r="FX79" s="79"/>
      <c r="FY79" s="79"/>
      <c r="FZ79" s="79"/>
      <c r="GA79" s="79"/>
      <c r="GB79" s="79"/>
      <c r="GC79" s="79"/>
      <c r="GD79" s="79"/>
      <c r="GE79" s="79"/>
      <c r="GF79" s="79"/>
      <c r="GG79" s="79"/>
      <c r="GH79" s="79"/>
    </row>
    <row r="80" spans="1:190" ht="14.25" x14ac:dyDescent="0.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  <c r="EO80" s="79"/>
      <c r="EP80" s="79"/>
      <c r="EQ80" s="79"/>
      <c r="ER80" s="79"/>
      <c r="ES80" s="79"/>
      <c r="ET80" s="79"/>
      <c r="EU80" s="79"/>
      <c r="EV80" s="79"/>
      <c r="EW80" s="79"/>
      <c r="EX80" s="79"/>
      <c r="EY80" s="79"/>
      <c r="EZ80" s="79"/>
      <c r="FA80" s="79"/>
      <c r="FB80" s="79"/>
      <c r="FC80" s="79"/>
      <c r="FD80" s="79"/>
      <c r="FE80" s="79"/>
      <c r="FF80" s="79"/>
      <c r="FG80" s="79"/>
      <c r="FH80" s="79"/>
      <c r="FI80" s="79"/>
      <c r="FJ80" s="79"/>
      <c r="FK80" s="79"/>
      <c r="FL80" s="79"/>
      <c r="FM80" s="79"/>
      <c r="FN80" s="79"/>
      <c r="FO80" s="79"/>
      <c r="FP80" s="79"/>
      <c r="FQ80" s="79"/>
      <c r="FR80" s="79"/>
      <c r="FS80" s="79"/>
      <c r="FT80" s="79"/>
      <c r="FU80" s="79"/>
      <c r="FV80" s="79"/>
      <c r="FW80" s="79"/>
      <c r="FX80" s="79"/>
      <c r="FY80" s="79"/>
      <c r="FZ80" s="79"/>
      <c r="GA80" s="79"/>
      <c r="GB80" s="79"/>
      <c r="GC80" s="79"/>
      <c r="GD80" s="79"/>
      <c r="GE80" s="79"/>
      <c r="GF80" s="79"/>
      <c r="GG80" s="79"/>
      <c r="GH80" s="79"/>
    </row>
    <row r="81" spans="1:190" ht="14.25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  <c r="EO81" s="79"/>
      <c r="EP81" s="79"/>
      <c r="EQ81" s="79"/>
      <c r="ER81" s="79"/>
      <c r="ES81" s="79"/>
      <c r="ET81" s="79"/>
      <c r="EU81" s="79"/>
      <c r="EV81" s="79"/>
      <c r="EW81" s="79"/>
      <c r="EX81" s="79"/>
      <c r="EY81" s="79"/>
      <c r="EZ81" s="79"/>
      <c r="FA81" s="79"/>
      <c r="FB81" s="79"/>
      <c r="FC81" s="79"/>
      <c r="FD81" s="79"/>
      <c r="FE81" s="79"/>
      <c r="FF81" s="79"/>
      <c r="FG81" s="79"/>
      <c r="FH81" s="79"/>
      <c r="FI81" s="79"/>
      <c r="FJ81" s="79"/>
      <c r="FK81" s="79"/>
      <c r="FL81" s="79"/>
      <c r="FM81" s="79"/>
      <c r="FN81" s="79"/>
      <c r="FO81" s="79"/>
      <c r="FP81" s="79"/>
      <c r="FQ81" s="79"/>
      <c r="FR81" s="79"/>
      <c r="FS81" s="79"/>
      <c r="FT81" s="79"/>
      <c r="FU81" s="79"/>
      <c r="FV81" s="79"/>
      <c r="FW81" s="79"/>
      <c r="FX81" s="79"/>
      <c r="FY81" s="79"/>
      <c r="FZ81" s="79"/>
      <c r="GA81" s="79"/>
      <c r="GB81" s="79"/>
      <c r="GC81" s="79"/>
      <c r="GD81" s="79"/>
      <c r="GE81" s="79"/>
      <c r="GF81" s="79"/>
      <c r="GG81" s="79"/>
      <c r="GH81" s="79"/>
    </row>
    <row r="82" spans="1:190" ht="14.25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</row>
    <row r="83" spans="1:190" ht="14.25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79"/>
      <c r="GC83" s="79"/>
      <c r="GD83" s="79"/>
      <c r="GE83" s="79"/>
      <c r="GF83" s="79"/>
      <c r="GG83" s="79"/>
      <c r="GH83" s="79"/>
    </row>
    <row r="84" spans="1:190" ht="14.25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79"/>
      <c r="EB84" s="79"/>
      <c r="EC84" s="79"/>
      <c r="ED84" s="79"/>
      <c r="EE84" s="79"/>
      <c r="EF84" s="79"/>
      <c r="EG84" s="79"/>
      <c r="EH84" s="79"/>
      <c r="EI84" s="79"/>
      <c r="EJ84" s="79"/>
      <c r="EK84" s="79"/>
      <c r="EL84" s="79"/>
      <c r="EM84" s="79"/>
      <c r="EN84" s="79"/>
      <c r="EO84" s="79"/>
      <c r="EP84" s="79"/>
      <c r="EQ84" s="79"/>
      <c r="ER84" s="79"/>
      <c r="ES84" s="79"/>
      <c r="ET84" s="79"/>
      <c r="EU84" s="79"/>
      <c r="EV84" s="79"/>
      <c r="EW84" s="79"/>
      <c r="EX84" s="79"/>
      <c r="EY84" s="79"/>
      <c r="EZ84" s="79"/>
      <c r="FA84" s="79"/>
      <c r="FB84" s="79"/>
      <c r="FC84" s="79"/>
      <c r="FD84" s="79"/>
      <c r="FE84" s="79"/>
      <c r="FF84" s="79"/>
      <c r="FG84" s="79"/>
      <c r="FH84" s="79"/>
      <c r="FI84" s="79"/>
      <c r="FJ84" s="79"/>
      <c r="FK84" s="79"/>
      <c r="FL84" s="79"/>
      <c r="FM84" s="79"/>
      <c r="FN84" s="79"/>
      <c r="FO84" s="79"/>
      <c r="FP84" s="79"/>
      <c r="FQ84" s="79"/>
      <c r="FR84" s="79"/>
      <c r="FS84" s="79"/>
      <c r="FT84" s="79"/>
      <c r="FU84" s="79"/>
      <c r="FV84" s="79"/>
      <c r="FW84" s="79"/>
      <c r="FX84" s="79"/>
      <c r="FY84" s="79"/>
      <c r="FZ84" s="79"/>
      <c r="GA84" s="79"/>
      <c r="GB84" s="79"/>
      <c r="GC84" s="79"/>
      <c r="GD84" s="79"/>
      <c r="GE84" s="79"/>
      <c r="GF84" s="79"/>
      <c r="GG84" s="79"/>
      <c r="GH84" s="79"/>
    </row>
    <row r="85" spans="1:190" ht="14.25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79"/>
      <c r="EB85" s="79"/>
      <c r="EC85" s="79"/>
      <c r="ED85" s="79"/>
      <c r="EE85" s="79"/>
      <c r="EF85" s="79"/>
      <c r="EG85" s="79"/>
      <c r="EH85" s="79"/>
      <c r="EI85" s="79"/>
      <c r="EJ85" s="79"/>
      <c r="EK85" s="79"/>
      <c r="EL85" s="79"/>
      <c r="EM85" s="79"/>
      <c r="EN85" s="79"/>
      <c r="EO85" s="79"/>
      <c r="EP85" s="79"/>
      <c r="EQ85" s="79"/>
      <c r="ER85" s="79"/>
      <c r="ES85" s="79"/>
      <c r="ET85" s="79"/>
      <c r="EU85" s="79"/>
      <c r="EV85" s="79"/>
      <c r="EW85" s="79"/>
      <c r="EX85" s="79"/>
      <c r="EY85" s="79"/>
      <c r="EZ85" s="79"/>
      <c r="FA85" s="79"/>
      <c r="FB85" s="79"/>
      <c r="FC85" s="79"/>
      <c r="FD85" s="79"/>
      <c r="FE85" s="79"/>
      <c r="FF85" s="79"/>
      <c r="FG85" s="79"/>
      <c r="FH85" s="79"/>
      <c r="FI85" s="79"/>
      <c r="FJ85" s="79"/>
      <c r="FK85" s="79"/>
      <c r="FL85" s="79"/>
      <c r="FM85" s="79"/>
      <c r="FN85" s="79"/>
      <c r="FO85" s="79"/>
      <c r="FP85" s="79"/>
      <c r="FQ85" s="79"/>
      <c r="FR85" s="79"/>
      <c r="FS85" s="79"/>
      <c r="FT85" s="79"/>
      <c r="FU85" s="79"/>
      <c r="FV85" s="79"/>
      <c r="FW85" s="79"/>
      <c r="FX85" s="79"/>
      <c r="FY85" s="79"/>
      <c r="FZ85" s="79"/>
      <c r="GA85" s="79"/>
      <c r="GB85" s="79"/>
      <c r="GC85" s="79"/>
      <c r="GD85" s="79"/>
      <c r="GE85" s="79"/>
      <c r="GF85" s="79"/>
      <c r="GG85" s="79"/>
      <c r="GH85" s="79"/>
    </row>
    <row r="86" spans="1:190" ht="14.25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79"/>
      <c r="EB86" s="79"/>
      <c r="EC86" s="79"/>
      <c r="ED86" s="79"/>
      <c r="EE86" s="79"/>
      <c r="EF86" s="79"/>
      <c r="EG86" s="79"/>
      <c r="EH86" s="79"/>
      <c r="EI86" s="79"/>
      <c r="EJ86" s="79"/>
      <c r="EK86" s="79"/>
      <c r="EL86" s="79"/>
      <c r="EM86" s="79"/>
      <c r="EN86" s="79"/>
      <c r="EO86" s="79"/>
      <c r="EP86" s="79"/>
      <c r="EQ86" s="79"/>
      <c r="ER86" s="79"/>
      <c r="ES86" s="79"/>
      <c r="ET86" s="79"/>
      <c r="EU86" s="79"/>
      <c r="EV86" s="79"/>
      <c r="EW86" s="79"/>
      <c r="EX86" s="79"/>
      <c r="EY86" s="79"/>
      <c r="EZ86" s="79"/>
      <c r="FA86" s="79"/>
      <c r="FB86" s="79"/>
      <c r="FC86" s="79"/>
      <c r="FD86" s="79"/>
      <c r="FE86" s="79"/>
      <c r="FF86" s="79"/>
      <c r="FG86" s="79"/>
      <c r="FH86" s="79"/>
      <c r="FI86" s="79"/>
      <c r="FJ86" s="79"/>
      <c r="FK86" s="79"/>
      <c r="FL86" s="79"/>
      <c r="FM86" s="79"/>
      <c r="FN86" s="79"/>
      <c r="FO86" s="79"/>
      <c r="FP86" s="79"/>
      <c r="FQ86" s="79"/>
      <c r="FR86" s="79"/>
      <c r="FS86" s="79"/>
      <c r="FT86" s="79"/>
      <c r="FU86" s="79"/>
      <c r="FV86" s="79"/>
      <c r="FW86" s="79"/>
      <c r="FX86" s="79"/>
      <c r="FY86" s="79"/>
      <c r="FZ86" s="79"/>
      <c r="GA86" s="79"/>
      <c r="GB86" s="79"/>
      <c r="GC86" s="79"/>
      <c r="GD86" s="79"/>
      <c r="GE86" s="79"/>
      <c r="GF86" s="79"/>
      <c r="GG86" s="79"/>
      <c r="GH86" s="79"/>
    </row>
    <row r="87" spans="1:190" ht="14.25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79"/>
      <c r="EB87" s="79"/>
      <c r="EC87" s="79"/>
      <c r="ED87" s="79"/>
      <c r="EE87" s="79"/>
      <c r="EF87" s="79"/>
      <c r="EG87" s="79"/>
      <c r="EH87" s="79"/>
      <c r="EI87" s="79"/>
      <c r="EJ87" s="79"/>
      <c r="EK87" s="79"/>
      <c r="EL87" s="79"/>
      <c r="EM87" s="79"/>
      <c r="EN87" s="79"/>
      <c r="EO87" s="79"/>
      <c r="EP87" s="79"/>
      <c r="EQ87" s="79"/>
      <c r="ER87" s="79"/>
      <c r="ES87" s="79"/>
      <c r="ET87" s="79"/>
      <c r="EU87" s="79"/>
      <c r="EV87" s="79"/>
      <c r="EW87" s="79"/>
      <c r="EX87" s="79"/>
      <c r="EY87" s="79"/>
      <c r="EZ87" s="79"/>
      <c r="FA87" s="79"/>
      <c r="FB87" s="79"/>
      <c r="FC87" s="79"/>
      <c r="FD87" s="79"/>
      <c r="FE87" s="79"/>
      <c r="FF87" s="79"/>
      <c r="FG87" s="79"/>
      <c r="FH87" s="79"/>
      <c r="FI87" s="79"/>
      <c r="FJ87" s="79"/>
      <c r="FK87" s="79"/>
      <c r="FL87" s="79"/>
      <c r="FM87" s="79"/>
      <c r="FN87" s="79"/>
      <c r="FO87" s="79"/>
      <c r="FP87" s="79"/>
      <c r="FQ87" s="79"/>
      <c r="FR87" s="79"/>
      <c r="FS87" s="79"/>
      <c r="FT87" s="79"/>
      <c r="FU87" s="79"/>
      <c r="FV87" s="79"/>
      <c r="FW87" s="79"/>
      <c r="FX87" s="79"/>
      <c r="FY87" s="79"/>
      <c r="FZ87" s="79"/>
      <c r="GA87" s="79"/>
      <c r="GB87" s="79"/>
      <c r="GC87" s="79"/>
      <c r="GD87" s="79"/>
      <c r="GE87" s="79"/>
      <c r="GF87" s="79"/>
      <c r="GG87" s="79"/>
      <c r="GH87" s="79"/>
    </row>
    <row r="88" spans="1:190" ht="14.25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79"/>
      <c r="EB88" s="79"/>
      <c r="EC88" s="79"/>
      <c r="ED88" s="79"/>
      <c r="EE88" s="79"/>
      <c r="EF88" s="79"/>
      <c r="EG88" s="79"/>
      <c r="EH88" s="79"/>
      <c r="EI88" s="79"/>
      <c r="EJ88" s="79"/>
      <c r="EK88" s="79"/>
      <c r="EL88" s="79"/>
      <c r="EM88" s="79"/>
      <c r="EN88" s="79"/>
      <c r="EO88" s="79"/>
      <c r="EP88" s="79"/>
      <c r="EQ88" s="79"/>
      <c r="ER88" s="79"/>
      <c r="ES88" s="79"/>
      <c r="ET88" s="79"/>
      <c r="EU88" s="79"/>
      <c r="EV88" s="79"/>
      <c r="EW88" s="79"/>
      <c r="EX88" s="79"/>
      <c r="EY88" s="79"/>
      <c r="EZ88" s="79"/>
      <c r="FA88" s="79"/>
      <c r="FB88" s="79"/>
      <c r="FC88" s="79"/>
      <c r="FD88" s="79"/>
      <c r="FE88" s="79"/>
      <c r="FF88" s="79"/>
      <c r="FG88" s="79"/>
      <c r="FH88" s="79"/>
      <c r="FI88" s="79"/>
      <c r="FJ88" s="79"/>
      <c r="FK88" s="79"/>
      <c r="FL88" s="79"/>
      <c r="FM88" s="79"/>
      <c r="FN88" s="79"/>
      <c r="FO88" s="79"/>
      <c r="FP88" s="79"/>
      <c r="FQ88" s="79"/>
      <c r="FR88" s="79"/>
      <c r="FS88" s="79"/>
      <c r="FT88" s="79"/>
      <c r="FU88" s="79"/>
      <c r="FV88" s="79"/>
      <c r="FW88" s="79"/>
      <c r="FX88" s="79"/>
      <c r="FY88" s="79"/>
      <c r="FZ88" s="79"/>
      <c r="GA88" s="79"/>
      <c r="GB88" s="79"/>
      <c r="GC88" s="79"/>
      <c r="GD88" s="79"/>
      <c r="GE88" s="79"/>
      <c r="GF88" s="79"/>
      <c r="GG88" s="79"/>
      <c r="GH88" s="79"/>
    </row>
    <row r="89" spans="1:190" ht="14.25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79"/>
      <c r="EB89" s="79"/>
      <c r="EC89" s="79"/>
      <c r="ED89" s="79"/>
      <c r="EE89" s="79"/>
      <c r="EF89" s="79"/>
      <c r="EG89" s="79"/>
      <c r="EH89" s="79"/>
      <c r="EI89" s="79"/>
      <c r="EJ89" s="79"/>
      <c r="EK89" s="79"/>
      <c r="EL89" s="79"/>
      <c r="EM89" s="79"/>
      <c r="EN89" s="79"/>
      <c r="EO89" s="79"/>
      <c r="EP89" s="79"/>
      <c r="EQ89" s="79"/>
      <c r="ER89" s="79"/>
      <c r="ES89" s="79"/>
      <c r="ET89" s="79"/>
      <c r="EU89" s="79"/>
      <c r="EV89" s="79"/>
      <c r="EW89" s="79"/>
      <c r="EX89" s="79"/>
      <c r="EY89" s="79"/>
      <c r="EZ89" s="79"/>
      <c r="FA89" s="79"/>
      <c r="FB89" s="79"/>
      <c r="FC89" s="79"/>
      <c r="FD89" s="79"/>
      <c r="FE89" s="79"/>
      <c r="FF89" s="79"/>
      <c r="FG89" s="79"/>
      <c r="FH89" s="79"/>
      <c r="FI89" s="79"/>
      <c r="FJ89" s="79"/>
      <c r="FK89" s="79"/>
      <c r="FL89" s="79"/>
      <c r="FM89" s="79"/>
      <c r="FN89" s="79"/>
      <c r="FO89" s="79"/>
      <c r="FP89" s="79"/>
      <c r="FQ89" s="79"/>
      <c r="FR89" s="79"/>
      <c r="FS89" s="79"/>
      <c r="FT89" s="79"/>
      <c r="FU89" s="79"/>
      <c r="FV89" s="79"/>
      <c r="FW89" s="79"/>
      <c r="FX89" s="79"/>
      <c r="FY89" s="79"/>
      <c r="FZ89" s="79"/>
      <c r="GA89" s="79"/>
      <c r="GB89" s="79"/>
      <c r="GC89" s="79"/>
      <c r="GD89" s="79"/>
      <c r="GE89" s="79"/>
      <c r="GF89" s="79"/>
      <c r="GG89" s="79"/>
      <c r="GH89" s="79"/>
    </row>
    <row r="90" spans="1:190" ht="14.25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79"/>
      <c r="EB90" s="79"/>
      <c r="EC90" s="79"/>
      <c r="ED90" s="79"/>
      <c r="EE90" s="79"/>
      <c r="EF90" s="79"/>
      <c r="EG90" s="79"/>
      <c r="EH90" s="79"/>
      <c r="EI90" s="79"/>
      <c r="EJ90" s="79"/>
      <c r="EK90" s="79"/>
      <c r="EL90" s="79"/>
      <c r="EM90" s="79"/>
      <c r="EN90" s="79"/>
      <c r="EO90" s="79"/>
      <c r="EP90" s="79"/>
      <c r="EQ90" s="79"/>
      <c r="ER90" s="79"/>
      <c r="ES90" s="79"/>
      <c r="ET90" s="79"/>
      <c r="EU90" s="79"/>
      <c r="EV90" s="79"/>
      <c r="EW90" s="79"/>
      <c r="EX90" s="79"/>
      <c r="EY90" s="79"/>
      <c r="EZ90" s="79"/>
      <c r="FA90" s="79"/>
      <c r="FB90" s="79"/>
      <c r="FC90" s="79"/>
      <c r="FD90" s="79"/>
      <c r="FE90" s="79"/>
      <c r="FF90" s="79"/>
      <c r="FG90" s="79"/>
      <c r="FH90" s="79"/>
      <c r="FI90" s="79"/>
      <c r="FJ90" s="79"/>
      <c r="FK90" s="79"/>
      <c r="FL90" s="79"/>
      <c r="FM90" s="79"/>
      <c r="FN90" s="79"/>
      <c r="FO90" s="79"/>
      <c r="FP90" s="79"/>
      <c r="FQ90" s="79"/>
      <c r="FR90" s="79"/>
      <c r="FS90" s="79"/>
      <c r="FT90" s="79"/>
      <c r="FU90" s="79"/>
      <c r="FV90" s="79"/>
      <c r="FW90" s="79"/>
      <c r="FX90" s="79"/>
      <c r="FY90" s="79"/>
      <c r="FZ90" s="79"/>
      <c r="GA90" s="79"/>
      <c r="GB90" s="79"/>
      <c r="GC90" s="79"/>
      <c r="GD90" s="79"/>
      <c r="GE90" s="79"/>
      <c r="GF90" s="79"/>
      <c r="GG90" s="79"/>
      <c r="GH90" s="79"/>
    </row>
    <row r="91" spans="1:190" ht="14.25" x14ac:dyDescent="0.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79"/>
      <c r="EM91" s="79"/>
      <c r="EN91" s="79"/>
      <c r="EO91" s="79"/>
      <c r="EP91" s="79"/>
      <c r="EQ91" s="79"/>
      <c r="ER91" s="79"/>
      <c r="ES91" s="79"/>
      <c r="ET91" s="79"/>
      <c r="EU91" s="79"/>
      <c r="EV91" s="79"/>
      <c r="EW91" s="79"/>
      <c r="EX91" s="79"/>
      <c r="EY91" s="79"/>
      <c r="EZ91" s="79"/>
      <c r="FA91" s="79"/>
      <c r="FB91" s="79"/>
      <c r="FC91" s="79"/>
      <c r="FD91" s="79"/>
      <c r="FE91" s="79"/>
      <c r="FF91" s="79"/>
      <c r="FG91" s="79"/>
      <c r="FH91" s="79"/>
      <c r="FI91" s="79"/>
      <c r="FJ91" s="79"/>
      <c r="FK91" s="79"/>
      <c r="FL91" s="79"/>
      <c r="FM91" s="79"/>
      <c r="FN91" s="79"/>
      <c r="FO91" s="79"/>
      <c r="FP91" s="79"/>
      <c r="FQ91" s="79"/>
      <c r="FR91" s="79"/>
      <c r="FS91" s="79"/>
      <c r="FT91" s="79"/>
      <c r="FU91" s="79"/>
      <c r="FV91" s="79"/>
      <c r="FW91" s="79"/>
      <c r="FX91" s="79"/>
      <c r="FY91" s="79"/>
      <c r="FZ91" s="79"/>
      <c r="GA91" s="79"/>
      <c r="GB91" s="79"/>
      <c r="GC91" s="79"/>
      <c r="GD91" s="79"/>
      <c r="GE91" s="79"/>
      <c r="GF91" s="79"/>
      <c r="GG91" s="79"/>
      <c r="GH91" s="79"/>
    </row>
    <row r="92" spans="1:190" ht="14.25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79"/>
      <c r="EB92" s="79"/>
      <c r="EC92" s="79"/>
      <c r="ED92" s="79"/>
      <c r="EE92" s="79"/>
      <c r="EF92" s="79"/>
      <c r="EG92" s="79"/>
      <c r="EH92" s="79"/>
      <c r="EI92" s="79"/>
      <c r="EJ92" s="79"/>
      <c r="EK92" s="79"/>
      <c r="EL92" s="79"/>
      <c r="EM92" s="79"/>
      <c r="EN92" s="79"/>
      <c r="EO92" s="79"/>
      <c r="EP92" s="79"/>
      <c r="EQ92" s="79"/>
      <c r="ER92" s="79"/>
      <c r="ES92" s="79"/>
      <c r="ET92" s="79"/>
      <c r="EU92" s="79"/>
      <c r="EV92" s="79"/>
      <c r="EW92" s="79"/>
      <c r="EX92" s="79"/>
      <c r="EY92" s="79"/>
      <c r="EZ92" s="79"/>
      <c r="FA92" s="79"/>
      <c r="FB92" s="79"/>
      <c r="FC92" s="79"/>
      <c r="FD92" s="79"/>
      <c r="FE92" s="79"/>
      <c r="FF92" s="79"/>
      <c r="FG92" s="79"/>
      <c r="FH92" s="79"/>
      <c r="FI92" s="79"/>
      <c r="FJ92" s="79"/>
      <c r="FK92" s="79"/>
      <c r="FL92" s="79"/>
      <c r="FM92" s="79"/>
      <c r="FN92" s="79"/>
      <c r="FO92" s="79"/>
      <c r="FP92" s="79"/>
      <c r="FQ92" s="79"/>
      <c r="FR92" s="79"/>
      <c r="FS92" s="79"/>
      <c r="FT92" s="79"/>
      <c r="FU92" s="79"/>
      <c r="FV92" s="79"/>
      <c r="FW92" s="79"/>
      <c r="FX92" s="79"/>
      <c r="FY92" s="79"/>
      <c r="FZ92" s="79"/>
      <c r="GA92" s="79"/>
      <c r="GB92" s="79"/>
      <c r="GC92" s="79"/>
      <c r="GD92" s="79"/>
      <c r="GE92" s="79"/>
      <c r="GF92" s="79"/>
      <c r="GG92" s="79"/>
      <c r="GH92" s="79"/>
    </row>
    <row r="93" spans="1:190" ht="14.25" x14ac:dyDescent="0.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79"/>
      <c r="EB93" s="79"/>
      <c r="EC93" s="79"/>
      <c r="ED93" s="79"/>
      <c r="EE93" s="79"/>
      <c r="EF93" s="79"/>
      <c r="EG93" s="79"/>
      <c r="EH93" s="79"/>
      <c r="EI93" s="79"/>
      <c r="EJ93" s="79"/>
      <c r="EK93" s="79"/>
      <c r="EL93" s="79"/>
      <c r="EM93" s="79"/>
      <c r="EN93" s="79"/>
      <c r="EO93" s="79"/>
      <c r="EP93" s="79"/>
      <c r="EQ93" s="79"/>
      <c r="ER93" s="79"/>
      <c r="ES93" s="79"/>
      <c r="ET93" s="79"/>
      <c r="EU93" s="79"/>
      <c r="EV93" s="79"/>
      <c r="EW93" s="79"/>
      <c r="EX93" s="79"/>
      <c r="EY93" s="79"/>
      <c r="EZ93" s="79"/>
      <c r="FA93" s="79"/>
      <c r="FB93" s="79"/>
      <c r="FC93" s="79"/>
      <c r="FD93" s="79"/>
      <c r="FE93" s="79"/>
      <c r="FF93" s="79"/>
      <c r="FG93" s="79"/>
      <c r="FH93" s="79"/>
      <c r="FI93" s="79"/>
      <c r="FJ93" s="79"/>
      <c r="FK93" s="79"/>
      <c r="FL93" s="79"/>
      <c r="FM93" s="79"/>
      <c r="FN93" s="79"/>
      <c r="FO93" s="79"/>
      <c r="FP93" s="79"/>
      <c r="FQ93" s="79"/>
      <c r="FR93" s="79"/>
      <c r="FS93" s="79"/>
      <c r="FT93" s="79"/>
      <c r="FU93" s="79"/>
      <c r="FV93" s="79"/>
      <c r="FW93" s="79"/>
      <c r="FX93" s="79"/>
      <c r="FY93" s="79"/>
      <c r="FZ93" s="79"/>
      <c r="GA93" s="79"/>
      <c r="GB93" s="79"/>
      <c r="GC93" s="79"/>
      <c r="GD93" s="79"/>
      <c r="GE93" s="79"/>
      <c r="GF93" s="79"/>
      <c r="GG93" s="79"/>
      <c r="GH93" s="79"/>
    </row>
    <row r="94" spans="1:190" ht="14.25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79"/>
      <c r="EB94" s="79"/>
      <c r="EC94" s="79"/>
      <c r="ED94" s="79"/>
      <c r="EE94" s="79"/>
      <c r="EF94" s="79"/>
      <c r="EG94" s="79"/>
      <c r="EH94" s="79"/>
      <c r="EI94" s="79"/>
      <c r="EJ94" s="79"/>
      <c r="EK94" s="79"/>
      <c r="EL94" s="79"/>
      <c r="EM94" s="79"/>
      <c r="EN94" s="79"/>
      <c r="EO94" s="79"/>
      <c r="EP94" s="79"/>
      <c r="EQ94" s="79"/>
      <c r="ER94" s="79"/>
      <c r="ES94" s="79"/>
      <c r="ET94" s="79"/>
      <c r="EU94" s="79"/>
      <c r="EV94" s="79"/>
      <c r="EW94" s="79"/>
      <c r="EX94" s="79"/>
      <c r="EY94" s="79"/>
      <c r="EZ94" s="79"/>
      <c r="FA94" s="79"/>
      <c r="FB94" s="79"/>
      <c r="FC94" s="79"/>
      <c r="FD94" s="79"/>
      <c r="FE94" s="79"/>
      <c r="FF94" s="79"/>
      <c r="FG94" s="79"/>
      <c r="FH94" s="79"/>
      <c r="FI94" s="79"/>
      <c r="FJ94" s="79"/>
      <c r="FK94" s="79"/>
      <c r="FL94" s="79"/>
      <c r="FM94" s="79"/>
      <c r="FN94" s="79"/>
      <c r="FO94" s="79"/>
      <c r="FP94" s="79"/>
      <c r="FQ94" s="79"/>
      <c r="FR94" s="79"/>
      <c r="FS94" s="79"/>
      <c r="FT94" s="79"/>
      <c r="FU94" s="79"/>
      <c r="FV94" s="79"/>
      <c r="FW94" s="79"/>
      <c r="FX94" s="79"/>
      <c r="FY94" s="79"/>
      <c r="FZ94" s="79"/>
      <c r="GA94" s="79"/>
      <c r="GB94" s="79"/>
      <c r="GC94" s="79"/>
      <c r="GD94" s="79"/>
      <c r="GE94" s="79"/>
      <c r="GF94" s="79"/>
      <c r="GG94" s="79"/>
      <c r="GH94" s="79"/>
    </row>
    <row r="95" spans="1:190" ht="14.25" x14ac:dyDescent="0.2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79"/>
      <c r="EB95" s="79"/>
      <c r="EC95" s="79"/>
      <c r="ED95" s="79"/>
      <c r="EE95" s="79"/>
      <c r="EF95" s="79"/>
      <c r="EG95" s="79"/>
      <c r="EH95" s="79"/>
      <c r="EI95" s="79"/>
      <c r="EJ95" s="79"/>
      <c r="EK95" s="79"/>
      <c r="EL95" s="79"/>
      <c r="EM95" s="79"/>
      <c r="EN95" s="79"/>
      <c r="EO95" s="79"/>
      <c r="EP95" s="79"/>
      <c r="EQ95" s="79"/>
      <c r="ER95" s="79"/>
      <c r="ES95" s="79"/>
      <c r="ET95" s="79"/>
      <c r="EU95" s="79"/>
      <c r="EV95" s="79"/>
      <c r="EW95" s="79"/>
      <c r="EX95" s="79"/>
      <c r="EY95" s="79"/>
      <c r="EZ95" s="79"/>
      <c r="FA95" s="79"/>
      <c r="FB95" s="79"/>
      <c r="FC95" s="79"/>
      <c r="FD95" s="79"/>
      <c r="FE95" s="79"/>
      <c r="FF95" s="79"/>
      <c r="FG95" s="79"/>
      <c r="FH95" s="79"/>
      <c r="FI95" s="79"/>
      <c r="FJ95" s="79"/>
      <c r="FK95" s="79"/>
      <c r="FL95" s="79"/>
      <c r="FM95" s="79"/>
      <c r="FN95" s="79"/>
      <c r="FO95" s="79"/>
      <c r="FP95" s="79"/>
      <c r="FQ95" s="79"/>
      <c r="FR95" s="79"/>
      <c r="FS95" s="79"/>
      <c r="FT95" s="79"/>
      <c r="FU95" s="79"/>
      <c r="FV95" s="79"/>
      <c r="FW95" s="79"/>
      <c r="FX95" s="79"/>
      <c r="FY95" s="79"/>
      <c r="FZ95" s="79"/>
      <c r="GA95" s="79"/>
      <c r="GB95" s="79"/>
      <c r="GC95" s="79"/>
      <c r="GD95" s="79"/>
      <c r="GE95" s="79"/>
      <c r="GF95" s="79"/>
      <c r="GG95" s="79"/>
      <c r="GH95" s="79"/>
    </row>
    <row r="96" spans="1:190" ht="14.25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79"/>
      <c r="EB96" s="79"/>
      <c r="EC96" s="79"/>
      <c r="ED96" s="79"/>
      <c r="EE96" s="79"/>
      <c r="EF96" s="79"/>
      <c r="EG96" s="79"/>
      <c r="EH96" s="79"/>
      <c r="EI96" s="79"/>
      <c r="EJ96" s="79"/>
      <c r="EK96" s="79"/>
      <c r="EL96" s="79"/>
      <c r="EM96" s="79"/>
      <c r="EN96" s="79"/>
      <c r="EO96" s="79"/>
      <c r="EP96" s="79"/>
      <c r="EQ96" s="79"/>
      <c r="ER96" s="79"/>
      <c r="ES96" s="79"/>
      <c r="ET96" s="79"/>
      <c r="EU96" s="79"/>
      <c r="EV96" s="79"/>
      <c r="EW96" s="79"/>
      <c r="EX96" s="79"/>
      <c r="EY96" s="79"/>
      <c r="EZ96" s="79"/>
      <c r="FA96" s="79"/>
      <c r="FB96" s="79"/>
      <c r="FC96" s="79"/>
      <c r="FD96" s="79"/>
      <c r="FE96" s="79"/>
      <c r="FF96" s="79"/>
      <c r="FG96" s="79"/>
      <c r="FH96" s="79"/>
      <c r="FI96" s="79"/>
      <c r="FJ96" s="79"/>
      <c r="FK96" s="79"/>
      <c r="FL96" s="79"/>
      <c r="FM96" s="79"/>
      <c r="FN96" s="79"/>
      <c r="FO96" s="79"/>
      <c r="FP96" s="79"/>
      <c r="FQ96" s="79"/>
      <c r="FR96" s="79"/>
      <c r="FS96" s="79"/>
      <c r="FT96" s="79"/>
      <c r="FU96" s="79"/>
      <c r="FV96" s="79"/>
      <c r="FW96" s="79"/>
      <c r="FX96" s="79"/>
      <c r="FY96" s="79"/>
      <c r="FZ96" s="79"/>
      <c r="GA96" s="79"/>
      <c r="GB96" s="79"/>
      <c r="GC96" s="79"/>
      <c r="GD96" s="79"/>
      <c r="GE96" s="79"/>
      <c r="GF96" s="79"/>
      <c r="GG96" s="79"/>
      <c r="GH96" s="79"/>
    </row>
    <row r="97" spans="1:190" ht="14.25" x14ac:dyDescent="0.2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79"/>
      <c r="EB97" s="79"/>
      <c r="EC97" s="79"/>
      <c r="ED97" s="79"/>
      <c r="EE97" s="79"/>
      <c r="EF97" s="79"/>
      <c r="EG97" s="79"/>
      <c r="EH97" s="79"/>
      <c r="EI97" s="79"/>
      <c r="EJ97" s="79"/>
      <c r="EK97" s="79"/>
      <c r="EL97" s="79"/>
      <c r="EM97" s="79"/>
      <c r="EN97" s="79"/>
      <c r="EO97" s="79"/>
      <c r="EP97" s="79"/>
      <c r="EQ97" s="79"/>
      <c r="ER97" s="79"/>
      <c r="ES97" s="79"/>
      <c r="ET97" s="79"/>
      <c r="EU97" s="79"/>
      <c r="EV97" s="79"/>
      <c r="EW97" s="79"/>
      <c r="EX97" s="79"/>
      <c r="EY97" s="79"/>
      <c r="EZ97" s="79"/>
      <c r="FA97" s="79"/>
      <c r="FB97" s="79"/>
      <c r="FC97" s="79"/>
      <c r="FD97" s="79"/>
      <c r="FE97" s="79"/>
      <c r="FF97" s="79"/>
      <c r="FG97" s="79"/>
      <c r="FH97" s="79"/>
      <c r="FI97" s="79"/>
      <c r="FJ97" s="79"/>
      <c r="FK97" s="79"/>
      <c r="FL97" s="79"/>
      <c r="FM97" s="79"/>
      <c r="FN97" s="79"/>
      <c r="FO97" s="79"/>
      <c r="FP97" s="79"/>
      <c r="FQ97" s="79"/>
      <c r="FR97" s="79"/>
      <c r="FS97" s="79"/>
      <c r="FT97" s="79"/>
      <c r="FU97" s="79"/>
      <c r="FV97" s="79"/>
      <c r="FW97" s="79"/>
      <c r="FX97" s="79"/>
      <c r="FY97" s="79"/>
      <c r="FZ97" s="79"/>
      <c r="GA97" s="79"/>
      <c r="GB97" s="79"/>
      <c r="GC97" s="79"/>
      <c r="GD97" s="79"/>
      <c r="GE97" s="79"/>
      <c r="GF97" s="79"/>
      <c r="GG97" s="79"/>
      <c r="GH97" s="79"/>
    </row>
    <row r="98" spans="1:190" ht="14.25" x14ac:dyDescent="0.2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79"/>
      <c r="EB98" s="79"/>
      <c r="EC98" s="79"/>
      <c r="ED98" s="79"/>
      <c r="EE98" s="79"/>
      <c r="EF98" s="79"/>
      <c r="EG98" s="79"/>
      <c r="EH98" s="79"/>
      <c r="EI98" s="79"/>
      <c r="EJ98" s="79"/>
      <c r="EK98" s="79"/>
      <c r="EL98" s="79"/>
      <c r="EM98" s="79"/>
      <c r="EN98" s="79"/>
      <c r="EO98" s="79"/>
      <c r="EP98" s="79"/>
      <c r="EQ98" s="79"/>
      <c r="ER98" s="79"/>
      <c r="ES98" s="79"/>
      <c r="ET98" s="79"/>
      <c r="EU98" s="79"/>
      <c r="EV98" s="79"/>
      <c r="EW98" s="79"/>
      <c r="EX98" s="79"/>
      <c r="EY98" s="79"/>
      <c r="EZ98" s="79"/>
      <c r="FA98" s="79"/>
      <c r="FB98" s="79"/>
      <c r="FC98" s="79"/>
      <c r="FD98" s="79"/>
      <c r="FE98" s="79"/>
      <c r="FF98" s="79"/>
      <c r="FG98" s="79"/>
      <c r="FH98" s="79"/>
      <c r="FI98" s="79"/>
      <c r="FJ98" s="79"/>
      <c r="FK98" s="79"/>
      <c r="FL98" s="79"/>
      <c r="FM98" s="79"/>
      <c r="FN98" s="79"/>
      <c r="FO98" s="79"/>
      <c r="FP98" s="79"/>
      <c r="FQ98" s="79"/>
      <c r="FR98" s="79"/>
      <c r="FS98" s="79"/>
      <c r="FT98" s="79"/>
      <c r="FU98" s="79"/>
      <c r="FV98" s="79"/>
      <c r="FW98" s="79"/>
      <c r="FX98" s="79"/>
      <c r="FY98" s="79"/>
      <c r="FZ98" s="79"/>
      <c r="GA98" s="79"/>
      <c r="GB98" s="79"/>
      <c r="GC98" s="79"/>
      <c r="GD98" s="79"/>
      <c r="GE98" s="79"/>
      <c r="GF98" s="79"/>
      <c r="GG98" s="79"/>
      <c r="GH98" s="79"/>
    </row>
    <row r="99" spans="1:190" ht="14.25" x14ac:dyDescent="0.2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79"/>
      <c r="EB99" s="79"/>
      <c r="EC99" s="79"/>
      <c r="ED99" s="79"/>
      <c r="EE99" s="79"/>
      <c r="EF99" s="79"/>
      <c r="EG99" s="79"/>
      <c r="EH99" s="79"/>
      <c r="EI99" s="79"/>
      <c r="EJ99" s="79"/>
      <c r="EK99" s="79"/>
      <c r="EL99" s="79"/>
      <c r="EM99" s="79"/>
      <c r="EN99" s="79"/>
      <c r="EO99" s="79"/>
      <c r="EP99" s="79"/>
      <c r="EQ99" s="79"/>
      <c r="ER99" s="79"/>
      <c r="ES99" s="79"/>
      <c r="ET99" s="79"/>
      <c r="EU99" s="79"/>
      <c r="EV99" s="79"/>
      <c r="EW99" s="79"/>
      <c r="EX99" s="79"/>
      <c r="EY99" s="79"/>
      <c r="EZ99" s="79"/>
      <c r="FA99" s="79"/>
      <c r="FB99" s="79"/>
      <c r="FC99" s="79"/>
      <c r="FD99" s="79"/>
      <c r="FE99" s="79"/>
      <c r="FF99" s="79"/>
      <c r="FG99" s="79"/>
      <c r="FH99" s="79"/>
      <c r="FI99" s="79"/>
      <c r="FJ99" s="79"/>
      <c r="FK99" s="79"/>
      <c r="FL99" s="79"/>
      <c r="FM99" s="79"/>
      <c r="FN99" s="79"/>
      <c r="FO99" s="79"/>
      <c r="FP99" s="79"/>
      <c r="FQ99" s="79"/>
      <c r="FR99" s="79"/>
      <c r="FS99" s="79"/>
      <c r="FT99" s="79"/>
      <c r="FU99" s="79"/>
      <c r="FV99" s="79"/>
      <c r="FW99" s="79"/>
      <c r="FX99" s="79"/>
      <c r="FY99" s="79"/>
      <c r="FZ99" s="79"/>
      <c r="GA99" s="79"/>
      <c r="GB99" s="79"/>
      <c r="GC99" s="79"/>
      <c r="GD99" s="79"/>
      <c r="GE99" s="79"/>
      <c r="GF99" s="79"/>
      <c r="GG99" s="79"/>
      <c r="GH99" s="79"/>
    </row>
    <row r="100" spans="1:190" ht="14.25" x14ac:dyDescent="0.2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  <c r="EO100" s="79"/>
      <c r="EP100" s="79"/>
      <c r="EQ100" s="79"/>
      <c r="ER100" s="79"/>
      <c r="ES100" s="79"/>
      <c r="ET100" s="79"/>
      <c r="EU100" s="79"/>
      <c r="EV100" s="79"/>
      <c r="EW100" s="79"/>
      <c r="EX100" s="79"/>
      <c r="EY100" s="79"/>
      <c r="EZ100" s="79"/>
      <c r="FA100" s="79"/>
      <c r="FB100" s="79"/>
      <c r="FC100" s="79"/>
      <c r="FD100" s="79"/>
      <c r="FE100" s="79"/>
      <c r="FF100" s="79"/>
      <c r="FG100" s="79"/>
      <c r="FH100" s="79"/>
      <c r="FI100" s="79"/>
      <c r="FJ100" s="79"/>
      <c r="FK100" s="79"/>
      <c r="FL100" s="79"/>
      <c r="FM100" s="79"/>
      <c r="FN100" s="79"/>
      <c r="FO100" s="79"/>
      <c r="FP100" s="79"/>
      <c r="FQ100" s="79"/>
      <c r="FR100" s="79"/>
      <c r="FS100" s="79"/>
      <c r="FT100" s="79"/>
      <c r="FU100" s="79"/>
      <c r="FV100" s="79"/>
      <c r="FW100" s="79"/>
      <c r="FX100" s="79"/>
      <c r="FY100" s="79"/>
      <c r="FZ100" s="79"/>
      <c r="GA100" s="79"/>
      <c r="GB100" s="79"/>
      <c r="GC100" s="79"/>
      <c r="GD100" s="79"/>
      <c r="GE100" s="79"/>
      <c r="GF100" s="79"/>
      <c r="GG100" s="79"/>
      <c r="GH100" s="79"/>
    </row>
    <row r="101" spans="1:190" ht="14.25" x14ac:dyDescent="0.2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79"/>
      <c r="EW101" s="79"/>
      <c r="EX101" s="79"/>
      <c r="EY101" s="79"/>
      <c r="EZ101" s="79"/>
      <c r="FA101" s="79"/>
      <c r="FB101" s="79"/>
      <c r="FC101" s="79"/>
      <c r="FD101" s="79"/>
      <c r="FE101" s="79"/>
      <c r="FF101" s="79"/>
      <c r="FG101" s="79"/>
      <c r="FH101" s="79"/>
      <c r="FI101" s="79"/>
      <c r="FJ101" s="79"/>
      <c r="FK101" s="79"/>
      <c r="FL101" s="79"/>
      <c r="FM101" s="79"/>
      <c r="FN101" s="79"/>
      <c r="FO101" s="79"/>
      <c r="FP101" s="79"/>
      <c r="FQ101" s="79"/>
      <c r="FR101" s="79"/>
      <c r="FS101" s="79"/>
      <c r="FT101" s="79"/>
      <c r="FU101" s="79"/>
      <c r="FV101" s="79"/>
      <c r="FW101" s="79"/>
      <c r="FX101" s="79"/>
      <c r="FY101" s="79"/>
      <c r="FZ101" s="79"/>
      <c r="GA101" s="79"/>
      <c r="GB101" s="79"/>
      <c r="GC101" s="79"/>
      <c r="GD101" s="79"/>
      <c r="GE101" s="79"/>
      <c r="GF101" s="79"/>
      <c r="GG101" s="79"/>
      <c r="GH101" s="79"/>
    </row>
    <row r="102" spans="1:190" ht="14.25" x14ac:dyDescent="0.2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  <c r="EO102" s="79"/>
      <c r="EP102" s="79"/>
      <c r="EQ102" s="79"/>
      <c r="ER102" s="79"/>
      <c r="ES102" s="79"/>
      <c r="ET102" s="79"/>
      <c r="EU102" s="79"/>
      <c r="EV102" s="79"/>
      <c r="EW102" s="79"/>
      <c r="EX102" s="79"/>
      <c r="EY102" s="79"/>
      <c r="EZ102" s="79"/>
      <c r="FA102" s="79"/>
      <c r="FB102" s="79"/>
      <c r="FC102" s="79"/>
      <c r="FD102" s="79"/>
      <c r="FE102" s="79"/>
      <c r="FF102" s="79"/>
      <c r="FG102" s="79"/>
      <c r="FH102" s="79"/>
      <c r="FI102" s="79"/>
      <c r="FJ102" s="79"/>
      <c r="FK102" s="79"/>
      <c r="FL102" s="79"/>
      <c r="FM102" s="79"/>
      <c r="FN102" s="79"/>
      <c r="FO102" s="79"/>
      <c r="FP102" s="79"/>
      <c r="FQ102" s="79"/>
      <c r="FR102" s="79"/>
      <c r="FS102" s="79"/>
      <c r="FT102" s="79"/>
      <c r="FU102" s="79"/>
      <c r="FV102" s="79"/>
      <c r="FW102" s="79"/>
      <c r="FX102" s="79"/>
      <c r="FY102" s="79"/>
      <c r="FZ102" s="79"/>
      <c r="GA102" s="79"/>
      <c r="GB102" s="79"/>
      <c r="GC102" s="79"/>
      <c r="GD102" s="79"/>
      <c r="GE102" s="79"/>
      <c r="GF102" s="79"/>
      <c r="GG102" s="79"/>
      <c r="GH102" s="79"/>
    </row>
    <row r="103" spans="1:190" ht="14.25" x14ac:dyDescent="0.2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  <c r="EO103" s="79"/>
      <c r="EP103" s="79"/>
      <c r="EQ103" s="79"/>
      <c r="ER103" s="79"/>
      <c r="ES103" s="79"/>
      <c r="ET103" s="79"/>
      <c r="EU103" s="79"/>
      <c r="EV103" s="79"/>
      <c r="EW103" s="79"/>
      <c r="EX103" s="79"/>
      <c r="EY103" s="79"/>
      <c r="EZ103" s="79"/>
      <c r="FA103" s="79"/>
      <c r="FB103" s="79"/>
      <c r="FC103" s="79"/>
      <c r="FD103" s="79"/>
      <c r="FE103" s="79"/>
      <c r="FF103" s="79"/>
      <c r="FG103" s="79"/>
      <c r="FH103" s="79"/>
      <c r="FI103" s="79"/>
      <c r="FJ103" s="79"/>
      <c r="FK103" s="79"/>
      <c r="FL103" s="79"/>
      <c r="FM103" s="79"/>
      <c r="FN103" s="79"/>
      <c r="FO103" s="79"/>
      <c r="FP103" s="79"/>
      <c r="FQ103" s="79"/>
      <c r="FR103" s="79"/>
      <c r="FS103" s="79"/>
      <c r="FT103" s="79"/>
      <c r="FU103" s="79"/>
      <c r="FV103" s="79"/>
      <c r="FW103" s="79"/>
      <c r="FX103" s="79"/>
      <c r="FY103" s="79"/>
      <c r="FZ103" s="79"/>
      <c r="GA103" s="79"/>
      <c r="GB103" s="79"/>
      <c r="GC103" s="79"/>
      <c r="GD103" s="79"/>
      <c r="GE103" s="79"/>
      <c r="GF103" s="79"/>
      <c r="GG103" s="79"/>
      <c r="GH103" s="79"/>
    </row>
    <row r="104" spans="1:190" ht="14.25" x14ac:dyDescent="0.2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  <c r="EQ104" s="79"/>
      <c r="ER104" s="79"/>
      <c r="ES104" s="79"/>
      <c r="ET104" s="79"/>
      <c r="EU104" s="79"/>
      <c r="EV104" s="79"/>
      <c r="EW104" s="79"/>
      <c r="EX104" s="79"/>
      <c r="EY104" s="79"/>
      <c r="EZ104" s="79"/>
      <c r="FA104" s="79"/>
      <c r="FB104" s="79"/>
      <c r="FC104" s="79"/>
      <c r="FD104" s="79"/>
      <c r="FE104" s="79"/>
      <c r="FF104" s="79"/>
      <c r="FG104" s="79"/>
      <c r="FH104" s="79"/>
      <c r="FI104" s="79"/>
      <c r="FJ104" s="79"/>
      <c r="FK104" s="79"/>
      <c r="FL104" s="79"/>
      <c r="FM104" s="79"/>
      <c r="FN104" s="79"/>
      <c r="FO104" s="79"/>
      <c r="FP104" s="79"/>
      <c r="FQ104" s="79"/>
      <c r="FR104" s="79"/>
      <c r="FS104" s="79"/>
      <c r="FT104" s="79"/>
      <c r="FU104" s="79"/>
      <c r="FV104" s="79"/>
      <c r="FW104" s="79"/>
      <c r="FX104" s="79"/>
      <c r="FY104" s="79"/>
      <c r="FZ104" s="79"/>
      <c r="GA104" s="79"/>
      <c r="GB104" s="79"/>
      <c r="GC104" s="79"/>
      <c r="GD104" s="79"/>
      <c r="GE104" s="79"/>
      <c r="GF104" s="79"/>
      <c r="GG104" s="79"/>
      <c r="GH104" s="79"/>
    </row>
    <row r="105" spans="1:190" ht="14.25" x14ac:dyDescent="0.2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  <c r="EO105" s="79"/>
      <c r="EP105" s="79"/>
      <c r="EQ105" s="79"/>
      <c r="ER105" s="79"/>
      <c r="ES105" s="79"/>
      <c r="ET105" s="79"/>
      <c r="EU105" s="79"/>
      <c r="EV105" s="79"/>
      <c r="EW105" s="79"/>
      <c r="EX105" s="79"/>
      <c r="EY105" s="79"/>
      <c r="EZ105" s="79"/>
      <c r="FA105" s="79"/>
      <c r="FB105" s="79"/>
      <c r="FC105" s="79"/>
      <c r="FD105" s="79"/>
      <c r="FE105" s="79"/>
      <c r="FF105" s="79"/>
      <c r="FG105" s="79"/>
      <c r="FH105" s="79"/>
      <c r="FI105" s="79"/>
      <c r="FJ105" s="79"/>
      <c r="FK105" s="79"/>
      <c r="FL105" s="79"/>
      <c r="FM105" s="79"/>
      <c r="FN105" s="79"/>
      <c r="FO105" s="79"/>
      <c r="FP105" s="79"/>
      <c r="FQ105" s="79"/>
      <c r="FR105" s="79"/>
      <c r="FS105" s="79"/>
      <c r="FT105" s="79"/>
      <c r="FU105" s="79"/>
      <c r="FV105" s="79"/>
      <c r="FW105" s="79"/>
      <c r="FX105" s="79"/>
      <c r="FY105" s="79"/>
      <c r="FZ105" s="79"/>
      <c r="GA105" s="79"/>
      <c r="GB105" s="79"/>
      <c r="GC105" s="79"/>
      <c r="GD105" s="79"/>
      <c r="GE105" s="79"/>
      <c r="GF105" s="79"/>
      <c r="GG105" s="79"/>
      <c r="GH105" s="79"/>
    </row>
    <row r="106" spans="1:190" ht="14.25" x14ac:dyDescent="0.2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  <c r="EO106" s="79"/>
      <c r="EP106" s="79"/>
      <c r="EQ106" s="79"/>
      <c r="ER106" s="79"/>
      <c r="ES106" s="79"/>
      <c r="ET106" s="79"/>
      <c r="EU106" s="79"/>
      <c r="EV106" s="79"/>
      <c r="EW106" s="79"/>
      <c r="EX106" s="79"/>
      <c r="EY106" s="79"/>
      <c r="EZ106" s="79"/>
      <c r="FA106" s="79"/>
      <c r="FB106" s="79"/>
      <c r="FC106" s="79"/>
      <c r="FD106" s="79"/>
      <c r="FE106" s="79"/>
      <c r="FF106" s="79"/>
      <c r="FG106" s="79"/>
      <c r="FH106" s="79"/>
      <c r="FI106" s="79"/>
      <c r="FJ106" s="79"/>
      <c r="FK106" s="79"/>
      <c r="FL106" s="79"/>
      <c r="FM106" s="79"/>
      <c r="FN106" s="79"/>
      <c r="FO106" s="79"/>
      <c r="FP106" s="79"/>
      <c r="FQ106" s="79"/>
      <c r="FR106" s="79"/>
      <c r="FS106" s="79"/>
      <c r="FT106" s="79"/>
      <c r="FU106" s="79"/>
      <c r="FV106" s="79"/>
      <c r="FW106" s="79"/>
      <c r="FX106" s="79"/>
      <c r="FY106" s="79"/>
      <c r="FZ106" s="79"/>
      <c r="GA106" s="79"/>
      <c r="GB106" s="79"/>
      <c r="GC106" s="79"/>
      <c r="GD106" s="79"/>
      <c r="GE106" s="79"/>
      <c r="GF106" s="79"/>
      <c r="GG106" s="79"/>
      <c r="GH106" s="79"/>
    </row>
    <row r="107" spans="1:190" ht="14.25" x14ac:dyDescent="0.2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  <c r="EO107" s="79"/>
      <c r="EP107" s="79"/>
      <c r="EQ107" s="79"/>
      <c r="ER107" s="79"/>
      <c r="ES107" s="79"/>
      <c r="ET107" s="79"/>
      <c r="EU107" s="79"/>
      <c r="EV107" s="79"/>
      <c r="EW107" s="79"/>
      <c r="EX107" s="79"/>
      <c r="EY107" s="79"/>
      <c r="EZ107" s="79"/>
      <c r="FA107" s="79"/>
      <c r="FB107" s="79"/>
      <c r="FC107" s="79"/>
      <c r="FD107" s="79"/>
      <c r="FE107" s="79"/>
      <c r="FF107" s="79"/>
      <c r="FG107" s="79"/>
      <c r="FH107" s="79"/>
      <c r="FI107" s="79"/>
      <c r="FJ107" s="79"/>
      <c r="FK107" s="79"/>
      <c r="FL107" s="79"/>
      <c r="FM107" s="79"/>
      <c r="FN107" s="79"/>
      <c r="FO107" s="79"/>
      <c r="FP107" s="79"/>
      <c r="FQ107" s="79"/>
      <c r="FR107" s="79"/>
      <c r="FS107" s="79"/>
      <c r="FT107" s="79"/>
      <c r="FU107" s="79"/>
      <c r="FV107" s="79"/>
      <c r="FW107" s="79"/>
      <c r="FX107" s="79"/>
      <c r="FY107" s="79"/>
      <c r="FZ107" s="79"/>
      <c r="GA107" s="79"/>
      <c r="GB107" s="79"/>
      <c r="GC107" s="79"/>
      <c r="GD107" s="79"/>
      <c r="GE107" s="79"/>
      <c r="GF107" s="79"/>
      <c r="GG107" s="79"/>
      <c r="GH107" s="79"/>
    </row>
    <row r="108" spans="1:190" ht="14.25" x14ac:dyDescent="0.2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  <c r="EO108" s="79"/>
      <c r="EP108" s="79"/>
      <c r="EQ108" s="79"/>
      <c r="ER108" s="79"/>
      <c r="ES108" s="79"/>
      <c r="ET108" s="79"/>
      <c r="EU108" s="79"/>
      <c r="EV108" s="79"/>
      <c r="EW108" s="79"/>
      <c r="EX108" s="79"/>
      <c r="EY108" s="79"/>
      <c r="EZ108" s="79"/>
      <c r="FA108" s="79"/>
      <c r="FB108" s="79"/>
      <c r="FC108" s="79"/>
      <c r="FD108" s="79"/>
      <c r="FE108" s="79"/>
      <c r="FF108" s="79"/>
      <c r="FG108" s="79"/>
      <c r="FH108" s="79"/>
      <c r="FI108" s="79"/>
      <c r="FJ108" s="79"/>
      <c r="FK108" s="79"/>
      <c r="FL108" s="79"/>
      <c r="FM108" s="79"/>
      <c r="FN108" s="79"/>
      <c r="FO108" s="79"/>
      <c r="FP108" s="79"/>
      <c r="FQ108" s="79"/>
      <c r="FR108" s="79"/>
      <c r="FS108" s="79"/>
      <c r="FT108" s="79"/>
      <c r="FU108" s="79"/>
      <c r="FV108" s="79"/>
      <c r="FW108" s="79"/>
      <c r="FX108" s="79"/>
      <c r="FY108" s="79"/>
      <c r="FZ108" s="79"/>
      <c r="GA108" s="79"/>
      <c r="GB108" s="79"/>
      <c r="GC108" s="79"/>
      <c r="GD108" s="79"/>
      <c r="GE108" s="79"/>
      <c r="GF108" s="79"/>
      <c r="GG108" s="79"/>
      <c r="GH108" s="79"/>
    </row>
    <row r="109" spans="1:190" ht="14.25" x14ac:dyDescent="0.2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  <c r="EO109" s="79"/>
      <c r="EP109" s="79"/>
      <c r="EQ109" s="79"/>
      <c r="ER109" s="79"/>
      <c r="ES109" s="79"/>
      <c r="ET109" s="79"/>
      <c r="EU109" s="79"/>
      <c r="EV109" s="79"/>
      <c r="EW109" s="79"/>
      <c r="EX109" s="79"/>
      <c r="EY109" s="79"/>
      <c r="EZ109" s="79"/>
      <c r="FA109" s="79"/>
      <c r="FB109" s="79"/>
      <c r="FC109" s="79"/>
      <c r="FD109" s="79"/>
      <c r="FE109" s="79"/>
      <c r="FF109" s="79"/>
      <c r="FG109" s="79"/>
      <c r="FH109" s="79"/>
      <c r="FI109" s="79"/>
      <c r="FJ109" s="79"/>
      <c r="FK109" s="79"/>
      <c r="FL109" s="79"/>
      <c r="FM109" s="79"/>
      <c r="FN109" s="79"/>
      <c r="FO109" s="79"/>
      <c r="FP109" s="79"/>
      <c r="FQ109" s="79"/>
      <c r="FR109" s="79"/>
      <c r="FS109" s="79"/>
      <c r="FT109" s="79"/>
      <c r="FU109" s="79"/>
      <c r="FV109" s="79"/>
      <c r="FW109" s="79"/>
      <c r="FX109" s="79"/>
      <c r="FY109" s="79"/>
      <c r="FZ109" s="79"/>
      <c r="GA109" s="79"/>
      <c r="GB109" s="79"/>
      <c r="GC109" s="79"/>
      <c r="GD109" s="79"/>
      <c r="GE109" s="79"/>
      <c r="GF109" s="79"/>
      <c r="GG109" s="79"/>
      <c r="GH109" s="79"/>
    </row>
    <row r="110" spans="1:190" ht="14.25" x14ac:dyDescent="0.2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  <c r="EO110" s="79"/>
      <c r="EP110" s="79"/>
      <c r="EQ110" s="79"/>
      <c r="ER110" s="79"/>
      <c r="ES110" s="79"/>
      <c r="ET110" s="79"/>
      <c r="EU110" s="79"/>
      <c r="EV110" s="79"/>
      <c r="EW110" s="79"/>
      <c r="EX110" s="79"/>
      <c r="EY110" s="79"/>
      <c r="EZ110" s="79"/>
      <c r="FA110" s="79"/>
      <c r="FB110" s="79"/>
      <c r="FC110" s="79"/>
      <c r="FD110" s="79"/>
      <c r="FE110" s="79"/>
      <c r="FF110" s="79"/>
      <c r="FG110" s="79"/>
      <c r="FH110" s="79"/>
      <c r="FI110" s="79"/>
      <c r="FJ110" s="79"/>
      <c r="FK110" s="79"/>
      <c r="FL110" s="79"/>
      <c r="FM110" s="79"/>
      <c r="FN110" s="79"/>
      <c r="FO110" s="79"/>
      <c r="FP110" s="79"/>
      <c r="FQ110" s="79"/>
      <c r="FR110" s="79"/>
      <c r="FS110" s="79"/>
      <c r="FT110" s="79"/>
      <c r="FU110" s="79"/>
      <c r="FV110" s="79"/>
      <c r="FW110" s="79"/>
      <c r="FX110" s="79"/>
      <c r="FY110" s="79"/>
      <c r="FZ110" s="79"/>
      <c r="GA110" s="79"/>
      <c r="GB110" s="79"/>
      <c r="GC110" s="79"/>
      <c r="GD110" s="79"/>
      <c r="GE110" s="79"/>
      <c r="GF110" s="79"/>
      <c r="GG110" s="79"/>
      <c r="GH110" s="79"/>
    </row>
    <row r="111" spans="1:190" ht="14.25" x14ac:dyDescent="0.2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  <c r="EO111" s="79"/>
      <c r="EP111" s="79"/>
      <c r="EQ111" s="79"/>
      <c r="ER111" s="79"/>
      <c r="ES111" s="79"/>
      <c r="ET111" s="79"/>
      <c r="EU111" s="79"/>
      <c r="EV111" s="79"/>
      <c r="EW111" s="79"/>
      <c r="EX111" s="79"/>
      <c r="EY111" s="79"/>
      <c r="EZ111" s="79"/>
      <c r="FA111" s="79"/>
      <c r="FB111" s="79"/>
      <c r="FC111" s="79"/>
      <c r="FD111" s="79"/>
      <c r="FE111" s="79"/>
      <c r="FF111" s="79"/>
      <c r="FG111" s="79"/>
      <c r="FH111" s="79"/>
      <c r="FI111" s="79"/>
      <c r="FJ111" s="79"/>
      <c r="FK111" s="79"/>
      <c r="FL111" s="79"/>
      <c r="FM111" s="79"/>
      <c r="FN111" s="79"/>
      <c r="FO111" s="79"/>
      <c r="FP111" s="79"/>
      <c r="FQ111" s="79"/>
      <c r="FR111" s="79"/>
      <c r="FS111" s="79"/>
      <c r="FT111" s="79"/>
      <c r="FU111" s="79"/>
      <c r="FV111" s="79"/>
      <c r="FW111" s="79"/>
      <c r="FX111" s="79"/>
      <c r="FY111" s="79"/>
      <c r="FZ111" s="79"/>
      <c r="GA111" s="79"/>
      <c r="GB111" s="79"/>
      <c r="GC111" s="79"/>
      <c r="GD111" s="79"/>
      <c r="GE111" s="79"/>
      <c r="GF111" s="79"/>
      <c r="GG111" s="79"/>
      <c r="GH111" s="79"/>
    </row>
    <row r="112" spans="1:190" ht="14.25" x14ac:dyDescent="0.2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  <c r="EO112" s="79"/>
      <c r="EP112" s="79"/>
      <c r="EQ112" s="79"/>
      <c r="ER112" s="79"/>
      <c r="ES112" s="79"/>
      <c r="ET112" s="79"/>
      <c r="EU112" s="79"/>
      <c r="EV112" s="79"/>
      <c r="EW112" s="79"/>
      <c r="EX112" s="79"/>
      <c r="EY112" s="79"/>
      <c r="EZ112" s="79"/>
      <c r="FA112" s="79"/>
      <c r="FB112" s="79"/>
      <c r="FC112" s="79"/>
      <c r="FD112" s="79"/>
      <c r="FE112" s="79"/>
      <c r="FF112" s="79"/>
      <c r="FG112" s="79"/>
      <c r="FH112" s="79"/>
      <c r="FI112" s="79"/>
      <c r="FJ112" s="79"/>
      <c r="FK112" s="79"/>
      <c r="FL112" s="79"/>
      <c r="FM112" s="79"/>
      <c r="FN112" s="79"/>
      <c r="FO112" s="79"/>
      <c r="FP112" s="79"/>
      <c r="FQ112" s="79"/>
      <c r="FR112" s="79"/>
      <c r="FS112" s="79"/>
      <c r="FT112" s="79"/>
      <c r="FU112" s="79"/>
      <c r="FV112" s="79"/>
      <c r="FW112" s="79"/>
      <c r="FX112" s="79"/>
      <c r="FY112" s="79"/>
      <c r="FZ112" s="79"/>
      <c r="GA112" s="79"/>
      <c r="GB112" s="79"/>
      <c r="GC112" s="79"/>
      <c r="GD112" s="79"/>
      <c r="GE112" s="79"/>
      <c r="GF112" s="79"/>
      <c r="GG112" s="79"/>
      <c r="GH112" s="79"/>
    </row>
    <row r="113" spans="1:190" ht="14.25" x14ac:dyDescent="0.2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  <c r="EO113" s="79"/>
      <c r="EP113" s="79"/>
      <c r="EQ113" s="79"/>
      <c r="ER113" s="79"/>
      <c r="ES113" s="79"/>
      <c r="ET113" s="79"/>
      <c r="EU113" s="79"/>
      <c r="EV113" s="79"/>
      <c r="EW113" s="79"/>
      <c r="EX113" s="79"/>
      <c r="EY113" s="79"/>
      <c r="EZ113" s="79"/>
      <c r="FA113" s="79"/>
      <c r="FB113" s="79"/>
      <c r="FC113" s="79"/>
      <c r="FD113" s="79"/>
      <c r="FE113" s="79"/>
      <c r="FF113" s="79"/>
      <c r="FG113" s="79"/>
      <c r="FH113" s="79"/>
      <c r="FI113" s="79"/>
      <c r="FJ113" s="79"/>
      <c r="FK113" s="79"/>
      <c r="FL113" s="79"/>
      <c r="FM113" s="79"/>
      <c r="FN113" s="79"/>
      <c r="FO113" s="79"/>
      <c r="FP113" s="79"/>
      <c r="FQ113" s="79"/>
      <c r="FR113" s="79"/>
      <c r="FS113" s="79"/>
      <c r="FT113" s="79"/>
      <c r="FU113" s="79"/>
      <c r="FV113" s="79"/>
      <c r="FW113" s="79"/>
      <c r="FX113" s="79"/>
      <c r="FY113" s="79"/>
      <c r="FZ113" s="79"/>
      <c r="GA113" s="79"/>
      <c r="GB113" s="79"/>
      <c r="GC113" s="79"/>
      <c r="GD113" s="79"/>
      <c r="GE113" s="79"/>
      <c r="GF113" s="79"/>
      <c r="GG113" s="79"/>
      <c r="GH113" s="79"/>
    </row>
    <row r="114" spans="1:190" ht="14.25" x14ac:dyDescent="0.2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BX114" s="79"/>
      <c r="BY114" s="79"/>
      <c r="BZ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79"/>
      <c r="DT114" s="79"/>
      <c r="DU114" s="79"/>
      <c r="DV114" s="79"/>
      <c r="DW114" s="79"/>
      <c r="DX114" s="79"/>
      <c r="DY114" s="79"/>
      <c r="DZ114" s="79"/>
      <c r="EA114" s="79"/>
      <c r="EB114" s="79"/>
      <c r="EC114" s="79"/>
      <c r="ED114" s="79"/>
      <c r="EE114" s="79"/>
      <c r="EF114" s="79"/>
      <c r="EG114" s="79"/>
      <c r="EH114" s="79"/>
      <c r="EI114" s="79"/>
      <c r="EJ114" s="79"/>
      <c r="EK114" s="79"/>
      <c r="EL114" s="79"/>
      <c r="EM114" s="79"/>
      <c r="EN114" s="79"/>
      <c r="EO114" s="79"/>
      <c r="EP114" s="79"/>
      <c r="EQ114" s="79"/>
      <c r="ER114" s="79"/>
      <c r="ES114" s="79"/>
      <c r="ET114" s="79"/>
      <c r="EU114" s="79"/>
      <c r="EV114" s="79"/>
      <c r="EW114" s="79"/>
      <c r="EX114" s="79"/>
      <c r="EY114" s="79"/>
      <c r="EZ114" s="79"/>
      <c r="FA114" s="79"/>
      <c r="FB114" s="79"/>
      <c r="FC114" s="79"/>
      <c r="FD114" s="79"/>
      <c r="FE114" s="79"/>
      <c r="FF114" s="79"/>
      <c r="FG114" s="79"/>
      <c r="FH114" s="79"/>
      <c r="FI114" s="79"/>
      <c r="FJ114" s="79"/>
      <c r="FK114" s="79"/>
      <c r="FL114" s="79"/>
      <c r="FM114" s="79"/>
      <c r="FN114" s="79"/>
      <c r="FO114" s="79"/>
      <c r="FP114" s="79"/>
      <c r="FQ114" s="79"/>
      <c r="FR114" s="79"/>
      <c r="FS114" s="79"/>
      <c r="FT114" s="79"/>
      <c r="FU114" s="79"/>
      <c r="FV114" s="79"/>
      <c r="FW114" s="79"/>
      <c r="FX114" s="79"/>
      <c r="FY114" s="79"/>
      <c r="FZ114" s="79"/>
      <c r="GA114" s="79"/>
      <c r="GB114" s="79"/>
      <c r="GC114" s="79"/>
      <c r="GD114" s="79"/>
      <c r="GE114" s="79"/>
      <c r="GF114" s="79"/>
      <c r="GG114" s="79"/>
      <c r="GH114" s="79"/>
    </row>
    <row r="115" spans="1:190" ht="14.25" x14ac:dyDescent="0.2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  <c r="EO115" s="79"/>
      <c r="EP115" s="79"/>
      <c r="EQ115" s="79"/>
      <c r="ER115" s="79"/>
      <c r="ES115" s="79"/>
      <c r="ET115" s="79"/>
      <c r="EU115" s="79"/>
      <c r="EV115" s="79"/>
      <c r="EW115" s="79"/>
      <c r="EX115" s="79"/>
      <c r="EY115" s="79"/>
      <c r="EZ115" s="79"/>
      <c r="FA115" s="79"/>
      <c r="FB115" s="79"/>
      <c r="FC115" s="79"/>
      <c r="FD115" s="79"/>
      <c r="FE115" s="79"/>
      <c r="FF115" s="79"/>
      <c r="FG115" s="79"/>
      <c r="FH115" s="79"/>
      <c r="FI115" s="79"/>
      <c r="FJ115" s="79"/>
      <c r="FK115" s="79"/>
      <c r="FL115" s="79"/>
      <c r="FM115" s="79"/>
      <c r="FN115" s="79"/>
      <c r="FO115" s="79"/>
      <c r="FP115" s="79"/>
      <c r="FQ115" s="79"/>
      <c r="FR115" s="79"/>
      <c r="FS115" s="79"/>
      <c r="FT115" s="79"/>
      <c r="FU115" s="79"/>
      <c r="FV115" s="79"/>
      <c r="FW115" s="79"/>
      <c r="FX115" s="79"/>
      <c r="FY115" s="79"/>
      <c r="FZ115" s="79"/>
      <c r="GA115" s="79"/>
      <c r="GB115" s="79"/>
      <c r="GC115" s="79"/>
      <c r="GD115" s="79"/>
      <c r="GE115" s="79"/>
      <c r="GF115" s="79"/>
      <c r="GG115" s="79"/>
      <c r="GH115" s="79"/>
    </row>
    <row r="116" spans="1:190" ht="14.25" x14ac:dyDescent="0.2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  <c r="EO116" s="79"/>
      <c r="EP116" s="79"/>
      <c r="EQ116" s="79"/>
      <c r="ER116" s="79"/>
      <c r="ES116" s="79"/>
      <c r="ET116" s="79"/>
      <c r="EU116" s="79"/>
      <c r="EV116" s="79"/>
      <c r="EW116" s="79"/>
      <c r="EX116" s="79"/>
      <c r="EY116" s="79"/>
      <c r="EZ116" s="79"/>
      <c r="FA116" s="79"/>
      <c r="FB116" s="79"/>
      <c r="FC116" s="79"/>
      <c r="FD116" s="79"/>
      <c r="FE116" s="79"/>
      <c r="FF116" s="79"/>
      <c r="FG116" s="79"/>
      <c r="FH116" s="79"/>
      <c r="FI116" s="79"/>
      <c r="FJ116" s="79"/>
      <c r="FK116" s="79"/>
      <c r="FL116" s="79"/>
      <c r="FM116" s="79"/>
      <c r="FN116" s="79"/>
      <c r="FO116" s="79"/>
      <c r="FP116" s="79"/>
      <c r="FQ116" s="79"/>
      <c r="FR116" s="79"/>
      <c r="FS116" s="79"/>
      <c r="FT116" s="79"/>
      <c r="FU116" s="79"/>
      <c r="FV116" s="79"/>
      <c r="FW116" s="79"/>
      <c r="FX116" s="79"/>
      <c r="FY116" s="79"/>
      <c r="FZ116" s="79"/>
      <c r="GA116" s="79"/>
      <c r="GB116" s="79"/>
      <c r="GC116" s="79"/>
      <c r="GD116" s="79"/>
      <c r="GE116" s="79"/>
      <c r="GF116" s="79"/>
      <c r="GG116" s="79"/>
      <c r="GH116" s="79"/>
    </row>
    <row r="117" spans="1:190" ht="14.25" x14ac:dyDescent="0.2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  <c r="EO117" s="79"/>
      <c r="EP117" s="79"/>
      <c r="EQ117" s="79"/>
      <c r="ER117" s="79"/>
      <c r="ES117" s="79"/>
      <c r="ET117" s="79"/>
      <c r="EU117" s="79"/>
      <c r="EV117" s="79"/>
      <c r="EW117" s="79"/>
      <c r="EX117" s="79"/>
      <c r="EY117" s="79"/>
      <c r="EZ117" s="79"/>
      <c r="FA117" s="79"/>
      <c r="FB117" s="79"/>
      <c r="FC117" s="79"/>
      <c r="FD117" s="79"/>
      <c r="FE117" s="79"/>
      <c r="FF117" s="79"/>
      <c r="FG117" s="79"/>
      <c r="FH117" s="79"/>
      <c r="FI117" s="79"/>
      <c r="FJ117" s="79"/>
      <c r="FK117" s="79"/>
      <c r="FL117" s="79"/>
      <c r="FM117" s="79"/>
      <c r="FN117" s="79"/>
      <c r="FO117" s="79"/>
      <c r="FP117" s="79"/>
      <c r="FQ117" s="79"/>
      <c r="FR117" s="79"/>
      <c r="FS117" s="79"/>
      <c r="FT117" s="79"/>
      <c r="FU117" s="79"/>
      <c r="FV117" s="79"/>
      <c r="FW117" s="79"/>
      <c r="FX117" s="79"/>
      <c r="FY117" s="79"/>
      <c r="FZ117" s="79"/>
      <c r="GA117" s="79"/>
      <c r="GB117" s="79"/>
      <c r="GC117" s="79"/>
      <c r="GD117" s="79"/>
      <c r="GE117" s="79"/>
      <c r="GF117" s="79"/>
      <c r="GG117" s="79"/>
      <c r="GH117" s="79"/>
    </row>
    <row r="118" spans="1:190" ht="14.25" x14ac:dyDescent="0.2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  <c r="EO118" s="79"/>
      <c r="EP118" s="79"/>
      <c r="EQ118" s="79"/>
      <c r="ER118" s="79"/>
      <c r="ES118" s="79"/>
      <c r="ET118" s="79"/>
      <c r="EU118" s="79"/>
      <c r="EV118" s="79"/>
      <c r="EW118" s="79"/>
      <c r="EX118" s="79"/>
      <c r="EY118" s="79"/>
      <c r="EZ118" s="79"/>
      <c r="FA118" s="79"/>
      <c r="FB118" s="79"/>
      <c r="FC118" s="79"/>
      <c r="FD118" s="79"/>
      <c r="FE118" s="79"/>
      <c r="FF118" s="79"/>
      <c r="FG118" s="79"/>
      <c r="FH118" s="79"/>
      <c r="FI118" s="79"/>
      <c r="FJ118" s="79"/>
      <c r="FK118" s="79"/>
      <c r="FL118" s="79"/>
      <c r="FM118" s="79"/>
      <c r="FN118" s="79"/>
      <c r="FO118" s="79"/>
      <c r="FP118" s="79"/>
      <c r="FQ118" s="79"/>
      <c r="FR118" s="79"/>
      <c r="FS118" s="79"/>
      <c r="FT118" s="79"/>
      <c r="FU118" s="79"/>
      <c r="FV118" s="79"/>
      <c r="FW118" s="79"/>
      <c r="FX118" s="79"/>
      <c r="FY118" s="79"/>
      <c r="FZ118" s="79"/>
      <c r="GA118" s="79"/>
      <c r="GB118" s="79"/>
      <c r="GC118" s="79"/>
      <c r="GD118" s="79"/>
      <c r="GE118" s="79"/>
      <c r="GF118" s="79"/>
      <c r="GG118" s="79"/>
      <c r="GH118" s="79"/>
    </row>
    <row r="119" spans="1:190" ht="14.25" x14ac:dyDescent="0.2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  <c r="EO119" s="79"/>
      <c r="EP119" s="79"/>
      <c r="EQ119" s="79"/>
      <c r="ER119" s="79"/>
      <c r="ES119" s="79"/>
      <c r="ET119" s="79"/>
      <c r="EU119" s="79"/>
      <c r="EV119" s="79"/>
      <c r="EW119" s="79"/>
      <c r="EX119" s="79"/>
      <c r="EY119" s="79"/>
      <c r="EZ119" s="79"/>
      <c r="FA119" s="79"/>
      <c r="FB119" s="79"/>
      <c r="FC119" s="79"/>
      <c r="FD119" s="79"/>
      <c r="FE119" s="79"/>
      <c r="FF119" s="79"/>
      <c r="FG119" s="79"/>
      <c r="FH119" s="79"/>
      <c r="FI119" s="79"/>
      <c r="FJ119" s="79"/>
      <c r="FK119" s="79"/>
      <c r="FL119" s="79"/>
      <c r="FM119" s="79"/>
      <c r="FN119" s="79"/>
      <c r="FO119" s="79"/>
      <c r="FP119" s="79"/>
      <c r="FQ119" s="79"/>
      <c r="FR119" s="79"/>
      <c r="FS119" s="79"/>
      <c r="FT119" s="79"/>
      <c r="FU119" s="79"/>
      <c r="FV119" s="79"/>
      <c r="FW119" s="79"/>
      <c r="FX119" s="79"/>
      <c r="FY119" s="79"/>
      <c r="FZ119" s="79"/>
      <c r="GA119" s="79"/>
      <c r="GB119" s="79"/>
      <c r="GC119" s="79"/>
      <c r="GD119" s="79"/>
      <c r="GE119" s="79"/>
      <c r="GF119" s="79"/>
      <c r="GG119" s="79"/>
      <c r="GH119" s="79"/>
    </row>
    <row r="120" spans="1:190" ht="14.25" x14ac:dyDescent="0.2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  <c r="EO120" s="79"/>
      <c r="EP120" s="79"/>
      <c r="EQ120" s="79"/>
      <c r="ER120" s="79"/>
      <c r="ES120" s="79"/>
      <c r="ET120" s="79"/>
      <c r="EU120" s="79"/>
      <c r="EV120" s="79"/>
      <c r="EW120" s="79"/>
      <c r="EX120" s="79"/>
      <c r="EY120" s="79"/>
      <c r="EZ120" s="79"/>
      <c r="FA120" s="79"/>
      <c r="FB120" s="79"/>
      <c r="FC120" s="79"/>
      <c r="FD120" s="79"/>
      <c r="FE120" s="79"/>
      <c r="FF120" s="79"/>
      <c r="FG120" s="79"/>
      <c r="FH120" s="79"/>
      <c r="FI120" s="79"/>
      <c r="FJ120" s="79"/>
      <c r="FK120" s="79"/>
      <c r="FL120" s="79"/>
      <c r="FM120" s="79"/>
      <c r="FN120" s="79"/>
      <c r="FO120" s="79"/>
      <c r="FP120" s="79"/>
      <c r="FQ120" s="79"/>
      <c r="FR120" s="79"/>
      <c r="FS120" s="79"/>
      <c r="FT120" s="79"/>
      <c r="FU120" s="79"/>
      <c r="FV120" s="79"/>
      <c r="FW120" s="79"/>
      <c r="FX120" s="79"/>
      <c r="FY120" s="79"/>
      <c r="FZ120" s="79"/>
      <c r="GA120" s="79"/>
      <c r="GB120" s="79"/>
      <c r="GC120" s="79"/>
      <c r="GD120" s="79"/>
      <c r="GE120" s="79"/>
      <c r="GF120" s="79"/>
      <c r="GG120" s="79"/>
      <c r="GH120" s="79"/>
    </row>
    <row r="121" spans="1:190" ht="14.25" x14ac:dyDescent="0.2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  <c r="EO121" s="79"/>
      <c r="EP121" s="79"/>
      <c r="EQ121" s="79"/>
      <c r="ER121" s="79"/>
      <c r="ES121" s="79"/>
      <c r="ET121" s="79"/>
      <c r="EU121" s="79"/>
      <c r="EV121" s="79"/>
      <c r="EW121" s="79"/>
      <c r="EX121" s="79"/>
      <c r="EY121" s="79"/>
      <c r="EZ121" s="79"/>
      <c r="FA121" s="79"/>
      <c r="FB121" s="79"/>
      <c r="FC121" s="79"/>
      <c r="FD121" s="79"/>
      <c r="FE121" s="79"/>
      <c r="FF121" s="79"/>
      <c r="FG121" s="79"/>
      <c r="FH121" s="79"/>
      <c r="FI121" s="79"/>
      <c r="FJ121" s="79"/>
      <c r="FK121" s="79"/>
      <c r="FL121" s="79"/>
      <c r="FM121" s="79"/>
      <c r="FN121" s="79"/>
      <c r="FO121" s="79"/>
      <c r="FP121" s="79"/>
      <c r="FQ121" s="79"/>
      <c r="FR121" s="79"/>
      <c r="FS121" s="79"/>
      <c r="FT121" s="79"/>
      <c r="FU121" s="79"/>
      <c r="FV121" s="79"/>
      <c r="FW121" s="79"/>
      <c r="FX121" s="79"/>
      <c r="FY121" s="79"/>
      <c r="FZ121" s="79"/>
      <c r="GA121" s="79"/>
      <c r="GB121" s="79"/>
      <c r="GC121" s="79"/>
      <c r="GD121" s="79"/>
      <c r="GE121" s="79"/>
      <c r="GF121" s="79"/>
      <c r="GG121" s="79"/>
      <c r="GH121" s="79"/>
    </row>
    <row r="122" spans="1:190" ht="14.25" x14ac:dyDescent="0.2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  <c r="BW122" s="79"/>
      <c r="BX122" s="79"/>
      <c r="BY122" s="79"/>
      <c r="BZ122" s="79"/>
      <c r="CA122" s="79"/>
      <c r="CB122" s="79"/>
      <c r="CC122" s="79"/>
      <c r="CD122" s="79"/>
      <c r="CE122" s="79"/>
      <c r="CF122" s="79"/>
      <c r="CG122" s="79"/>
      <c r="CH122" s="79"/>
      <c r="CI122" s="79"/>
      <c r="CJ122" s="79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F122" s="79"/>
      <c r="DG122" s="79"/>
      <c r="DH122" s="79"/>
      <c r="DI122" s="79"/>
      <c r="DJ122" s="79"/>
      <c r="DK122" s="79"/>
      <c r="DL122" s="79"/>
      <c r="DM122" s="79"/>
      <c r="DN122" s="79"/>
      <c r="DO122" s="79"/>
      <c r="DP122" s="79"/>
      <c r="DQ122" s="79"/>
      <c r="DR122" s="79"/>
      <c r="DS122" s="79"/>
      <c r="DT122" s="79"/>
      <c r="DU122" s="79"/>
      <c r="DV122" s="79"/>
      <c r="DW122" s="79"/>
      <c r="DX122" s="79"/>
      <c r="DY122" s="79"/>
      <c r="DZ122" s="79"/>
      <c r="EA122" s="79"/>
      <c r="EB122" s="79"/>
      <c r="EC122" s="79"/>
      <c r="ED122" s="79"/>
      <c r="EE122" s="79"/>
      <c r="EF122" s="79"/>
      <c r="EG122" s="79"/>
      <c r="EH122" s="79"/>
      <c r="EI122" s="79"/>
      <c r="EJ122" s="79"/>
      <c r="EK122" s="79"/>
      <c r="EL122" s="79"/>
      <c r="EM122" s="79"/>
      <c r="EN122" s="79"/>
      <c r="EO122" s="79"/>
      <c r="EP122" s="79"/>
      <c r="EQ122" s="79"/>
      <c r="ER122" s="79"/>
      <c r="ES122" s="79"/>
      <c r="ET122" s="79"/>
      <c r="EU122" s="79"/>
      <c r="EV122" s="79"/>
      <c r="EW122" s="79"/>
      <c r="EX122" s="79"/>
      <c r="EY122" s="79"/>
      <c r="EZ122" s="79"/>
      <c r="FA122" s="79"/>
      <c r="FB122" s="79"/>
      <c r="FC122" s="79"/>
      <c r="FD122" s="79"/>
      <c r="FE122" s="79"/>
      <c r="FF122" s="79"/>
      <c r="FG122" s="79"/>
      <c r="FH122" s="79"/>
      <c r="FI122" s="79"/>
      <c r="FJ122" s="79"/>
      <c r="FK122" s="79"/>
      <c r="FL122" s="79"/>
      <c r="FM122" s="79"/>
      <c r="FN122" s="79"/>
      <c r="FO122" s="79"/>
      <c r="FP122" s="79"/>
      <c r="FQ122" s="79"/>
      <c r="FR122" s="79"/>
      <c r="FS122" s="79"/>
      <c r="FT122" s="79"/>
      <c r="FU122" s="79"/>
      <c r="FV122" s="79"/>
      <c r="FW122" s="79"/>
      <c r="FX122" s="79"/>
      <c r="FY122" s="79"/>
      <c r="FZ122" s="79"/>
      <c r="GA122" s="79"/>
      <c r="GB122" s="79"/>
      <c r="GC122" s="79"/>
      <c r="GD122" s="79"/>
      <c r="GE122" s="79"/>
      <c r="GF122" s="79"/>
      <c r="GG122" s="79"/>
      <c r="GH122" s="79"/>
    </row>
    <row r="123" spans="1:190" ht="14.25" x14ac:dyDescent="0.2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  <c r="BE123" s="79"/>
      <c r="BF123" s="79"/>
      <c r="BG123" s="79"/>
      <c r="BH123" s="79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  <c r="BW123" s="79"/>
      <c r="BX123" s="79"/>
      <c r="BY123" s="79"/>
      <c r="BZ123" s="79"/>
      <c r="CA123" s="79"/>
      <c r="CB123" s="79"/>
      <c r="CC123" s="79"/>
      <c r="CD123" s="79"/>
      <c r="CE123" s="79"/>
      <c r="CF123" s="79"/>
      <c r="CG123" s="79"/>
      <c r="CH123" s="79"/>
      <c r="CI123" s="79"/>
      <c r="CJ123" s="79"/>
      <c r="CK123" s="79"/>
      <c r="CL123" s="79"/>
      <c r="CM123" s="79"/>
      <c r="CN123" s="79"/>
      <c r="CO123" s="79"/>
      <c r="CP123" s="79"/>
      <c r="CQ123" s="79"/>
      <c r="CR123" s="79"/>
      <c r="CS123" s="79"/>
      <c r="CT123" s="79"/>
      <c r="CU123" s="79"/>
      <c r="CV123" s="79"/>
      <c r="CW123" s="79"/>
      <c r="CX123" s="79"/>
      <c r="CY123" s="79"/>
      <c r="CZ123" s="79"/>
      <c r="DA123" s="79"/>
      <c r="DB123" s="79"/>
      <c r="DC123" s="79"/>
      <c r="DD123" s="79"/>
      <c r="DE123" s="79"/>
      <c r="DF123" s="79"/>
      <c r="DG123" s="79"/>
      <c r="DH123" s="79"/>
      <c r="DI123" s="79"/>
      <c r="DJ123" s="79"/>
      <c r="DK123" s="79"/>
      <c r="DL123" s="79"/>
      <c r="DM123" s="79"/>
      <c r="DN123" s="79"/>
      <c r="DO123" s="79"/>
      <c r="DP123" s="79"/>
      <c r="DQ123" s="79"/>
      <c r="DR123" s="79"/>
      <c r="DS123" s="79"/>
      <c r="DT123" s="79"/>
      <c r="DU123" s="79"/>
      <c r="DV123" s="79"/>
      <c r="DW123" s="79"/>
      <c r="DX123" s="79"/>
      <c r="DY123" s="79"/>
      <c r="DZ123" s="79"/>
      <c r="EA123" s="79"/>
      <c r="EB123" s="79"/>
      <c r="EC123" s="79"/>
      <c r="ED123" s="79"/>
      <c r="EE123" s="79"/>
      <c r="EF123" s="79"/>
      <c r="EG123" s="79"/>
      <c r="EH123" s="79"/>
      <c r="EI123" s="79"/>
      <c r="EJ123" s="79"/>
      <c r="EK123" s="79"/>
      <c r="EL123" s="79"/>
      <c r="EM123" s="79"/>
      <c r="EN123" s="79"/>
      <c r="EO123" s="79"/>
      <c r="EP123" s="79"/>
      <c r="EQ123" s="79"/>
      <c r="ER123" s="79"/>
      <c r="ES123" s="79"/>
      <c r="ET123" s="79"/>
      <c r="EU123" s="79"/>
      <c r="EV123" s="79"/>
      <c r="EW123" s="79"/>
      <c r="EX123" s="79"/>
      <c r="EY123" s="79"/>
      <c r="EZ123" s="79"/>
      <c r="FA123" s="79"/>
      <c r="FB123" s="79"/>
      <c r="FC123" s="79"/>
      <c r="FD123" s="79"/>
      <c r="FE123" s="79"/>
      <c r="FF123" s="79"/>
      <c r="FG123" s="79"/>
      <c r="FH123" s="79"/>
      <c r="FI123" s="79"/>
      <c r="FJ123" s="79"/>
      <c r="FK123" s="79"/>
      <c r="FL123" s="79"/>
      <c r="FM123" s="79"/>
      <c r="FN123" s="79"/>
      <c r="FO123" s="79"/>
      <c r="FP123" s="79"/>
      <c r="FQ123" s="79"/>
      <c r="FR123" s="79"/>
      <c r="FS123" s="79"/>
      <c r="FT123" s="79"/>
      <c r="FU123" s="79"/>
      <c r="FV123" s="79"/>
      <c r="FW123" s="79"/>
      <c r="FX123" s="79"/>
      <c r="FY123" s="79"/>
      <c r="FZ123" s="79"/>
      <c r="GA123" s="79"/>
      <c r="GB123" s="79"/>
      <c r="GC123" s="79"/>
      <c r="GD123" s="79"/>
      <c r="GE123" s="79"/>
      <c r="GF123" s="79"/>
      <c r="GG123" s="79"/>
      <c r="GH123" s="79"/>
    </row>
    <row r="124" spans="1:190" ht="14.25" x14ac:dyDescent="0.2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  <c r="BW124" s="79"/>
      <c r="BX124" s="79"/>
      <c r="BY124" s="79"/>
      <c r="BZ124" s="79"/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79"/>
      <c r="DO124" s="79"/>
      <c r="DP124" s="79"/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79"/>
      <c r="EB124" s="79"/>
      <c r="EC124" s="79"/>
      <c r="ED124" s="79"/>
      <c r="EE124" s="79"/>
      <c r="EF124" s="79"/>
      <c r="EG124" s="79"/>
      <c r="EH124" s="79"/>
      <c r="EI124" s="79"/>
      <c r="EJ124" s="79"/>
      <c r="EK124" s="79"/>
      <c r="EL124" s="79"/>
      <c r="EM124" s="79"/>
      <c r="EN124" s="79"/>
      <c r="EO124" s="79"/>
      <c r="EP124" s="79"/>
      <c r="EQ124" s="79"/>
      <c r="ER124" s="79"/>
      <c r="ES124" s="79"/>
      <c r="ET124" s="79"/>
      <c r="EU124" s="79"/>
      <c r="EV124" s="79"/>
      <c r="EW124" s="79"/>
      <c r="EX124" s="79"/>
      <c r="EY124" s="79"/>
      <c r="EZ124" s="79"/>
      <c r="FA124" s="79"/>
      <c r="FB124" s="79"/>
      <c r="FC124" s="79"/>
      <c r="FD124" s="79"/>
      <c r="FE124" s="79"/>
      <c r="FF124" s="79"/>
      <c r="FG124" s="79"/>
      <c r="FH124" s="79"/>
      <c r="FI124" s="79"/>
      <c r="FJ124" s="79"/>
      <c r="FK124" s="79"/>
      <c r="FL124" s="79"/>
      <c r="FM124" s="79"/>
      <c r="FN124" s="79"/>
      <c r="FO124" s="79"/>
      <c r="FP124" s="79"/>
      <c r="FQ124" s="79"/>
      <c r="FR124" s="79"/>
      <c r="FS124" s="79"/>
      <c r="FT124" s="79"/>
      <c r="FU124" s="79"/>
      <c r="FV124" s="79"/>
      <c r="FW124" s="79"/>
      <c r="FX124" s="79"/>
      <c r="FY124" s="79"/>
      <c r="FZ124" s="79"/>
      <c r="GA124" s="79"/>
      <c r="GB124" s="79"/>
      <c r="GC124" s="79"/>
      <c r="GD124" s="79"/>
      <c r="GE124" s="79"/>
      <c r="GF124" s="79"/>
      <c r="GG124" s="79"/>
      <c r="GH124" s="79"/>
    </row>
    <row r="125" spans="1:190" ht="14.25" x14ac:dyDescent="0.2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79"/>
      <c r="BQ125" s="79"/>
      <c r="BR125" s="79"/>
      <c r="BS125" s="79"/>
      <c r="BT125" s="79"/>
      <c r="BU125" s="79"/>
      <c r="BV125" s="79"/>
      <c r="BW125" s="79"/>
      <c r="BX125" s="79"/>
      <c r="BY125" s="79"/>
      <c r="BZ125" s="79"/>
      <c r="CA125" s="79"/>
      <c r="CB125" s="79"/>
      <c r="CC125" s="79"/>
      <c r="CD125" s="79"/>
      <c r="CE125" s="79"/>
      <c r="CF125" s="79"/>
      <c r="CG125" s="79"/>
      <c r="CH125" s="79"/>
      <c r="CI125" s="79"/>
      <c r="CJ125" s="79"/>
      <c r="CK125" s="79"/>
      <c r="CL125" s="79"/>
      <c r="CM125" s="79"/>
      <c r="CN125" s="79"/>
      <c r="CO125" s="79"/>
      <c r="CP125" s="79"/>
      <c r="CQ125" s="79"/>
      <c r="CR125" s="79"/>
      <c r="CS125" s="79"/>
      <c r="CT125" s="79"/>
      <c r="CU125" s="79"/>
      <c r="CV125" s="79"/>
      <c r="CW125" s="79"/>
      <c r="CX125" s="79"/>
      <c r="CY125" s="79"/>
      <c r="CZ125" s="79"/>
      <c r="DA125" s="79"/>
      <c r="DB125" s="79"/>
      <c r="DC125" s="79"/>
      <c r="DD125" s="79"/>
      <c r="DE125" s="79"/>
      <c r="DF125" s="79"/>
      <c r="DG125" s="79"/>
      <c r="DH125" s="79"/>
      <c r="DI125" s="79"/>
      <c r="DJ125" s="79"/>
      <c r="DK125" s="79"/>
      <c r="DL125" s="79"/>
      <c r="DM125" s="79"/>
      <c r="DN125" s="79"/>
      <c r="DO125" s="79"/>
      <c r="DP125" s="79"/>
      <c r="DQ125" s="79"/>
      <c r="DR125" s="79"/>
      <c r="DS125" s="79"/>
      <c r="DT125" s="79"/>
      <c r="DU125" s="79"/>
      <c r="DV125" s="79"/>
      <c r="DW125" s="79"/>
      <c r="DX125" s="79"/>
      <c r="DY125" s="79"/>
      <c r="DZ125" s="79"/>
      <c r="EA125" s="79"/>
      <c r="EB125" s="79"/>
      <c r="EC125" s="79"/>
      <c r="ED125" s="79"/>
      <c r="EE125" s="79"/>
      <c r="EF125" s="79"/>
      <c r="EG125" s="79"/>
      <c r="EH125" s="79"/>
      <c r="EI125" s="79"/>
      <c r="EJ125" s="79"/>
      <c r="EK125" s="79"/>
      <c r="EL125" s="79"/>
      <c r="EM125" s="79"/>
      <c r="EN125" s="79"/>
      <c r="EO125" s="79"/>
      <c r="EP125" s="79"/>
      <c r="EQ125" s="79"/>
      <c r="ER125" s="79"/>
      <c r="ES125" s="79"/>
      <c r="ET125" s="79"/>
      <c r="EU125" s="79"/>
      <c r="EV125" s="79"/>
      <c r="EW125" s="79"/>
      <c r="EX125" s="79"/>
      <c r="EY125" s="79"/>
      <c r="EZ125" s="79"/>
      <c r="FA125" s="79"/>
      <c r="FB125" s="79"/>
      <c r="FC125" s="79"/>
      <c r="FD125" s="79"/>
      <c r="FE125" s="79"/>
      <c r="FF125" s="79"/>
      <c r="FG125" s="79"/>
      <c r="FH125" s="79"/>
      <c r="FI125" s="79"/>
      <c r="FJ125" s="79"/>
      <c r="FK125" s="79"/>
      <c r="FL125" s="79"/>
      <c r="FM125" s="79"/>
      <c r="FN125" s="79"/>
      <c r="FO125" s="79"/>
      <c r="FP125" s="79"/>
      <c r="FQ125" s="79"/>
      <c r="FR125" s="79"/>
      <c r="FS125" s="79"/>
      <c r="FT125" s="79"/>
      <c r="FU125" s="79"/>
      <c r="FV125" s="79"/>
      <c r="FW125" s="79"/>
      <c r="FX125" s="79"/>
      <c r="FY125" s="79"/>
      <c r="FZ125" s="79"/>
      <c r="GA125" s="79"/>
      <c r="GB125" s="79"/>
      <c r="GC125" s="79"/>
      <c r="GD125" s="79"/>
      <c r="GE125" s="79"/>
      <c r="GF125" s="79"/>
      <c r="GG125" s="79"/>
      <c r="GH125" s="79"/>
    </row>
    <row r="126" spans="1:190" ht="14.25" x14ac:dyDescent="0.2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79"/>
      <c r="BX126" s="79"/>
      <c r="BY126" s="79"/>
      <c r="BZ126" s="79"/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79"/>
      <c r="CM126" s="79"/>
      <c r="CN126" s="7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F126" s="79"/>
      <c r="DG126" s="79"/>
      <c r="DH126" s="79"/>
      <c r="DI126" s="79"/>
      <c r="DJ126" s="79"/>
      <c r="DK126" s="79"/>
      <c r="DL126" s="79"/>
      <c r="DM126" s="79"/>
      <c r="DN126" s="79"/>
      <c r="DO126" s="79"/>
      <c r="DP126" s="79"/>
      <c r="DQ126" s="79"/>
      <c r="DR126" s="79"/>
      <c r="DS126" s="79"/>
      <c r="DT126" s="79"/>
      <c r="DU126" s="79"/>
      <c r="DV126" s="79"/>
      <c r="DW126" s="79"/>
      <c r="DX126" s="79"/>
      <c r="DY126" s="79"/>
      <c r="DZ126" s="79"/>
      <c r="EA126" s="79"/>
      <c r="EB126" s="79"/>
      <c r="EC126" s="79"/>
      <c r="ED126" s="79"/>
      <c r="EE126" s="79"/>
      <c r="EF126" s="79"/>
      <c r="EG126" s="79"/>
      <c r="EH126" s="79"/>
      <c r="EI126" s="79"/>
      <c r="EJ126" s="79"/>
      <c r="EK126" s="79"/>
      <c r="EL126" s="79"/>
      <c r="EM126" s="79"/>
      <c r="EN126" s="79"/>
      <c r="EO126" s="79"/>
      <c r="EP126" s="79"/>
      <c r="EQ126" s="79"/>
      <c r="ER126" s="79"/>
      <c r="ES126" s="79"/>
      <c r="ET126" s="79"/>
      <c r="EU126" s="79"/>
      <c r="EV126" s="79"/>
      <c r="EW126" s="79"/>
      <c r="EX126" s="79"/>
      <c r="EY126" s="79"/>
      <c r="EZ126" s="79"/>
      <c r="FA126" s="79"/>
      <c r="FB126" s="79"/>
      <c r="FC126" s="79"/>
      <c r="FD126" s="79"/>
      <c r="FE126" s="79"/>
      <c r="FF126" s="79"/>
      <c r="FG126" s="79"/>
      <c r="FH126" s="79"/>
      <c r="FI126" s="79"/>
      <c r="FJ126" s="79"/>
      <c r="FK126" s="79"/>
      <c r="FL126" s="79"/>
      <c r="FM126" s="79"/>
      <c r="FN126" s="79"/>
      <c r="FO126" s="79"/>
      <c r="FP126" s="79"/>
      <c r="FQ126" s="79"/>
      <c r="FR126" s="79"/>
      <c r="FS126" s="79"/>
      <c r="FT126" s="79"/>
      <c r="FU126" s="79"/>
      <c r="FV126" s="79"/>
      <c r="FW126" s="79"/>
      <c r="FX126" s="79"/>
      <c r="FY126" s="79"/>
      <c r="FZ126" s="79"/>
      <c r="GA126" s="79"/>
      <c r="GB126" s="79"/>
      <c r="GC126" s="79"/>
      <c r="GD126" s="79"/>
      <c r="GE126" s="79"/>
      <c r="GF126" s="79"/>
      <c r="GG126" s="79"/>
      <c r="GH126" s="79"/>
    </row>
    <row r="127" spans="1:190" ht="14.25" x14ac:dyDescent="0.2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  <c r="BW127" s="79"/>
      <c r="BX127" s="79"/>
      <c r="BY127" s="79"/>
      <c r="BZ127" s="79"/>
      <c r="CA127" s="79"/>
      <c r="CB127" s="79"/>
      <c r="CC127" s="79"/>
      <c r="CD127" s="79"/>
      <c r="CE127" s="79"/>
      <c r="CF127" s="79"/>
      <c r="CG127" s="79"/>
      <c r="CH127" s="79"/>
      <c r="CI127" s="79"/>
      <c r="CJ127" s="79"/>
      <c r="CK127" s="79"/>
      <c r="CL127" s="79"/>
      <c r="CM127" s="79"/>
      <c r="CN127" s="79"/>
      <c r="CO127" s="79"/>
      <c r="CP127" s="79"/>
      <c r="CQ127" s="79"/>
      <c r="CR127" s="79"/>
      <c r="CS127" s="79"/>
      <c r="CT127" s="79"/>
      <c r="CU127" s="79"/>
      <c r="CV127" s="79"/>
      <c r="CW127" s="79"/>
      <c r="CX127" s="79"/>
      <c r="CY127" s="79"/>
      <c r="CZ127" s="79"/>
      <c r="DA127" s="79"/>
      <c r="DB127" s="79"/>
      <c r="DC127" s="79"/>
      <c r="DD127" s="79"/>
      <c r="DE127" s="79"/>
      <c r="DF127" s="79"/>
      <c r="DG127" s="79"/>
      <c r="DH127" s="79"/>
      <c r="DI127" s="79"/>
      <c r="DJ127" s="79"/>
      <c r="DK127" s="79"/>
      <c r="DL127" s="79"/>
      <c r="DM127" s="79"/>
      <c r="DN127" s="79"/>
      <c r="DO127" s="79"/>
      <c r="DP127" s="79"/>
      <c r="DQ127" s="79"/>
      <c r="DR127" s="79"/>
      <c r="DS127" s="79"/>
      <c r="DT127" s="79"/>
      <c r="DU127" s="79"/>
      <c r="DV127" s="79"/>
      <c r="DW127" s="79"/>
      <c r="DX127" s="79"/>
      <c r="DY127" s="79"/>
      <c r="DZ127" s="79"/>
      <c r="EA127" s="79"/>
      <c r="EB127" s="79"/>
      <c r="EC127" s="79"/>
      <c r="ED127" s="79"/>
      <c r="EE127" s="79"/>
      <c r="EF127" s="79"/>
      <c r="EG127" s="79"/>
      <c r="EH127" s="79"/>
      <c r="EI127" s="79"/>
      <c r="EJ127" s="79"/>
      <c r="EK127" s="79"/>
      <c r="EL127" s="79"/>
      <c r="EM127" s="79"/>
      <c r="EN127" s="79"/>
      <c r="EO127" s="79"/>
      <c r="EP127" s="79"/>
      <c r="EQ127" s="79"/>
      <c r="ER127" s="79"/>
      <c r="ES127" s="79"/>
      <c r="ET127" s="79"/>
      <c r="EU127" s="79"/>
      <c r="EV127" s="79"/>
      <c r="EW127" s="79"/>
      <c r="EX127" s="79"/>
      <c r="EY127" s="79"/>
      <c r="EZ127" s="79"/>
      <c r="FA127" s="79"/>
      <c r="FB127" s="79"/>
      <c r="FC127" s="79"/>
      <c r="FD127" s="79"/>
      <c r="FE127" s="79"/>
      <c r="FF127" s="79"/>
      <c r="FG127" s="79"/>
      <c r="FH127" s="79"/>
      <c r="FI127" s="79"/>
      <c r="FJ127" s="79"/>
      <c r="FK127" s="79"/>
      <c r="FL127" s="79"/>
      <c r="FM127" s="79"/>
      <c r="FN127" s="79"/>
      <c r="FO127" s="79"/>
      <c r="FP127" s="79"/>
      <c r="FQ127" s="79"/>
      <c r="FR127" s="79"/>
      <c r="FS127" s="79"/>
      <c r="FT127" s="79"/>
      <c r="FU127" s="79"/>
      <c r="FV127" s="79"/>
      <c r="FW127" s="79"/>
      <c r="FX127" s="79"/>
      <c r="FY127" s="79"/>
      <c r="FZ127" s="79"/>
      <c r="GA127" s="79"/>
      <c r="GB127" s="79"/>
      <c r="GC127" s="79"/>
      <c r="GD127" s="79"/>
      <c r="GE127" s="79"/>
      <c r="GF127" s="79"/>
      <c r="GG127" s="79"/>
      <c r="GH127" s="79"/>
    </row>
    <row r="128" spans="1:190" ht="14.25" x14ac:dyDescent="0.2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  <c r="BI128" s="79"/>
      <c r="BJ128" s="79"/>
      <c r="BK128" s="79"/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  <c r="BW128" s="79"/>
      <c r="BX128" s="79"/>
      <c r="BY128" s="79"/>
      <c r="BZ128" s="79"/>
      <c r="CA128" s="79"/>
      <c r="CB128" s="79"/>
      <c r="CC128" s="79"/>
      <c r="CD128" s="79"/>
      <c r="CE128" s="79"/>
      <c r="CF128" s="79"/>
      <c r="CG128" s="79"/>
      <c r="CH128" s="79"/>
      <c r="CI128" s="79"/>
      <c r="CJ128" s="79"/>
      <c r="CK128" s="79"/>
      <c r="CL128" s="79"/>
      <c r="CM128" s="79"/>
      <c r="CN128" s="79"/>
      <c r="CO128" s="79"/>
      <c r="CP128" s="79"/>
      <c r="CQ128" s="79"/>
      <c r="CR128" s="79"/>
      <c r="CS128" s="79"/>
      <c r="CT128" s="79"/>
      <c r="CU128" s="79"/>
      <c r="CV128" s="79"/>
      <c r="CW128" s="79"/>
      <c r="CX128" s="79"/>
      <c r="CY128" s="79"/>
      <c r="CZ128" s="79"/>
      <c r="DA128" s="79"/>
      <c r="DB128" s="79"/>
      <c r="DC128" s="79"/>
      <c r="DD128" s="79"/>
      <c r="DE128" s="79"/>
      <c r="DF128" s="79"/>
      <c r="DG128" s="79"/>
      <c r="DH128" s="79"/>
      <c r="DI128" s="79"/>
      <c r="DJ128" s="79"/>
      <c r="DK128" s="79"/>
      <c r="DL128" s="79"/>
      <c r="DM128" s="79"/>
      <c r="DN128" s="79"/>
      <c r="DO128" s="79"/>
      <c r="DP128" s="79"/>
      <c r="DQ128" s="79"/>
      <c r="DR128" s="79"/>
      <c r="DS128" s="79"/>
      <c r="DT128" s="79"/>
      <c r="DU128" s="79"/>
      <c r="DV128" s="79"/>
      <c r="DW128" s="79"/>
      <c r="DX128" s="79"/>
      <c r="DY128" s="79"/>
      <c r="DZ128" s="79"/>
      <c r="EA128" s="79"/>
      <c r="EB128" s="79"/>
      <c r="EC128" s="79"/>
      <c r="ED128" s="79"/>
      <c r="EE128" s="79"/>
      <c r="EF128" s="79"/>
      <c r="EG128" s="79"/>
      <c r="EH128" s="79"/>
      <c r="EI128" s="79"/>
      <c r="EJ128" s="79"/>
      <c r="EK128" s="79"/>
      <c r="EL128" s="79"/>
      <c r="EM128" s="79"/>
      <c r="EN128" s="79"/>
      <c r="EO128" s="79"/>
      <c r="EP128" s="79"/>
      <c r="EQ128" s="79"/>
      <c r="ER128" s="79"/>
      <c r="ES128" s="79"/>
      <c r="ET128" s="79"/>
      <c r="EU128" s="79"/>
      <c r="EV128" s="79"/>
      <c r="EW128" s="79"/>
      <c r="EX128" s="79"/>
      <c r="EY128" s="79"/>
      <c r="EZ128" s="79"/>
      <c r="FA128" s="79"/>
      <c r="FB128" s="79"/>
      <c r="FC128" s="79"/>
      <c r="FD128" s="79"/>
      <c r="FE128" s="79"/>
      <c r="FF128" s="79"/>
      <c r="FG128" s="79"/>
      <c r="FH128" s="79"/>
      <c r="FI128" s="79"/>
      <c r="FJ128" s="79"/>
      <c r="FK128" s="79"/>
      <c r="FL128" s="79"/>
      <c r="FM128" s="79"/>
      <c r="FN128" s="79"/>
      <c r="FO128" s="79"/>
      <c r="FP128" s="79"/>
      <c r="FQ128" s="79"/>
      <c r="FR128" s="79"/>
      <c r="FS128" s="79"/>
      <c r="FT128" s="79"/>
      <c r="FU128" s="79"/>
      <c r="FV128" s="79"/>
      <c r="FW128" s="79"/>
      <c r="FX128" s="79"/>
      <c r="FY128" s="79"/>
      <c r="FZ128" s="79"/>
      <c r="GA128" s="79"/>
      <c r="GB128" s="79"/>
      <c r="GC128" s="79"/>
      <c r="GD128" s="79"/>
      <c r="GE128" s="79"/>
      <c r="GF128" s="79"/>
      <c r="GG128" s="79"/>
      <c r="GH128" s="79"/>
    </row>
    <row r="129" spans="1:190" ht="14.25" x14ac:dyDescent="0.2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BX129" s="79"/>
      <c r="BY129" s="79"/>
      <c r="BZ129" s="79"/>
      <c r="CA129" s="79"/>
      <c r="CB129" s="79"/>
      <c r="CC129" s="79"/>
      <c r="CD129" s="79"/>
      <c r="CE129" s="79"/>
      <c r="CF129" s="79"/>
      <c r="CG129" s="79"/>
      <c r="CH129" s="79"/>
      <c r="CI129" s="79"/>
      <c r="CJ129" s="79"/>
      <c r="CK129" s="79"/>
      <c r="CL129" s="79"/>
      <c r="CM129" s="79"/>
      <c r="CN129" s="79"/>
      <c r="CO129" s="79"/>
      <c r="CP129" s="79"/>
      <c r="CQ129" s="79"/>
      <c r="CR129" s="79"/>
      <c r="CS129" s="79"/>
      <c r="CT129" s="79"/>
      <c r="CU129" s="79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F129" s="79"/>
      <c r="DG129" s="79"/>
      <c r="DH129" s="79"/>
      <c r="DI129" s="79"/>
      <c r="DJ129" s="79"/>
      <c r="DK129" s="79"/>
      <c r="DL129" s="79"/>
      <c r="DM129" s="79"/>
      <c r="DN129" s="79"/>
      <c r="DO129" s="79"/>
      <c r="DP129" s="79"/>
      <c r="DQ129" s="79"/>
      <c r="DR129" s="79"/>
      <c r="DS129" s="79"/>
      <c r="DT129" s="79"/>
      <c r="DU129" s="79"/>
      <c r="DV129" s="79"/>
      <c r="DW129" s="79"/>
      <c r="DX129" s="79"/>
      <c r="DY129" s="79"/>
      <c r="DZ129" s="79"/>
      <c r="EA129" s="79"/>
      <c r="EB129" s="79"/>
      <c r="EC129" s="79"/>
      <c r="ED129" s="79"/>
      <c r="EE129" s="79"/>
      <c r="EF129" s="79"/>
      <c r="EG129" s="79"/>
      <c r="EH129" s="79"/>
      <c r="EI129" s="79"/>
      <c r="EJ129" s="79"/>
      <c r="EK129" s="79"/>
      <c r="EL129" s="79"/>
      <c r="EM129" s="79"/>
      <c r="EN129" s="79"/>
      <c r="EO129" s="79"/>
      <c r="EP129" s="79"/>
      <c r="EQ129" s="79"/>
      <c r="ER129" s="79"/>
      <c r="ES129" s="79"/>
      <c r="ET129" s="79"/>
      <c r="EU129" s="79"/>
      <c r="EV129" s="79"/>
      <c r="EW129" s="79"/>
      <c r="EX129" s="79"/>
      <c r="EY129" s="79"/>
      <c r="EZ129" s="79"/>
      <c r="FA129" s="79"/>
      <c r="FB129" s="79"/>
      <c r="FC129" s="79"/>
      <c r="FD129" s="79"/>
      <c r="FE129" s="79"/>
      <c r="FF129" s="79"/>
      <c r="FG129" s="79"/>
      <c r="FH129" s="79"/>
      <c r="FI129" s="79"/>
      <c r="FJ129" s="79"/>
      <c r="FK129" s="79"/>
      <c r="FL129" s="79"/>
      <c r="FM129" s="79"/>
      <c r="FN129" s="79"/>
      <c r="FO129" s="79"/>
      <c r="FP129" s="79"/>
      <c r="FQ129" s="79"/>
      <c r="FR129" s="79"/>
      <c r="FS129" s="79"/>
      <c r="FT129" s="79"/>
      <c r="FU129" s="79"/>
      <c r="FV129" s="79"/>
      <c r="FW129" s="79"/>
      <c r="FX129" s="79"/>
      <c r="FY129" s="79"/>
      <c r="FZ129" s="79"/>
      <c r="GA129" s="79"/>
      <c r="GB129" s="79"/>
      <c r="GC129" s="79"/>
      <c r="GD129" s="79"/>
      <c r="GE129" s="79"/>
      <c r="GF129" s="79"/>
      <c r="GG129" s="79"/>
      <c r="GH129" s="79"/>
    </row>
    <row r="130" spans="1:190" ht="14.25" x14ac:dyDescent="0.2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79"/>
      <c r="CB130" s="79"/>
      <c r="CC130" s="79"/>
      <c r="CD130" s="79"/>
      <c r="CE130" s="79"/>
      <c r="CF130" s="79"/>
      <c r="CG130" s="79"/>
      <c r="CH130" s="79"/>
      <c r="CI130" s="79"/>
      <c r="CJ130" s="79"/>
      <c r="CK130" s="79"/>
      <c r="CL130" s="79"/>
      <c r="CM130" s="79"/>
      <c r="CN130" s="79"/>
      <c r="CO130" s="79"/>
      <c r="CP130" s="79"/>
      <c r="CQ130" s="79"/>
      <c r="CR130" s="79"/>
      <c r="CS130" s="79"/>
      <c r="CT130" s="79"/>
      <c r="CU130" s="79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F130" s="79"/>
      <c r="DG130" s="79"/>
      <c r="DH130" s="79"/>
      <c r="DI130" s="79"/>
      <c r="DJ130" s="79"/>
      <c r="DK130" s="79"/>
      <c r="DL130" s="79"/>
      <c r="DM130" s="79"/>
      <c r="DN130" s="79"/>
      <c r="DO130" s="79"/>
      <c r="DP130" s="79"/>
      <c r="DQ130" s="79"/>
      <c r="DR130" s="79"/>
      <c r="DS130" s="79"/>
      <c r="DT130" s="79"/>
      <c r="DU130" s="79"/>
      <c r="DV130" s="79"/>
      <c r="DW130" s="79"/>
      <c r="DX130" s="79"/>
      <c r="DY130" s="79"/>
      <c r="DZ130" s="79"/>
      <c r="EA130" s="79"/>
      <c r="EB130" s="79"/>
      <c r="EC130" s="79"/>
      <c r="ED130" s="79"/>
      <c r="EE130" s="79"/>
      <c r="EF130" s="79"/>
      <c r="EG130" s="79"/>
      <c r="EH130" s="79"/>
      <c r="EI130" s="79"/>
      <c r="EJ130" s="79"/>
      <c r="EK130" s="79"/>
      <c r="EL130" s="79"/>
      <c r="EM130" s="79"/>
      <c r="EN130" s="79"/>
      <c r="EO130" s="79"/>
      <c r="EP130" s="79"/>
      <c r="EQ130" s="79"/>
      <c r="ER130" s="79"/>
      <c r="ES130" s="79"/>
      <c r="ET130" s="79"/>
      <c r="EU130" s="79"/>
      <c r="EV130" s="79"/>
      <c r="EW130" s="79"/>
      <c r="EX130" s="79"/>
      <c r="EY130" s="79"/>
      <c r="EZ130" s="79"/>
      <c r="FA130" s="79"/>
      <c r="FB130" s="79"/>
      <c r="FC130" s="79"/>
      <c r="FD130" s="79"/>
      <c r="FE130" s="79"/>
      <c r="FF130" s="79"/>
      <c r="FG130" s="79"/>
      <c r="FH130" s="79"/>
      <c r="FI130" s="79"/>
      <c r="FJ130" s="79"/>
      <c r="FK130" s="79"/>
      <c r="FL130" s="79"/>
      <c r="FM130" s="79"/>
      <c r="FN130" s="79"/>
      <c r="FO130" s="79"/>
      <c r="FP130" s="79"/>
      <c r="FQ130" s="79"/>
      <c r="FR130" s="79"/>
      <c r="FS130" s="79"/>
      <c r="FT130" s="79"/>
      <c r="FU130" s="79"/>
      <c r="FV130" s="79"/>
      <c r="FW130" s="79"/>
      <c r="FX130" s="79"/>
      <c r="FY130" s="79"/>
      <c r="FZ130" s="79"/>
      <c r="GA130" s="79"/>
      <c r="GB130" s="79"/>
      <c r="GC130" s="79"/>
      <c r="GD130" s="79"/>
      <c r="GE130" s="79"/>
      <c r="GF130" s="79"/>
      <c r="GG130" s="79"/>
      <c r="GH130" s="79"/>
    </row>
    <row r="131" spans="1:190" ht="14.25" x14ac:dyDescent="0.2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79"/>
      <c r="CB131" s="79"/>
      <c r="CC131" s="79"/>
      <c r="CD131" s="79"/>
      <c r="CE131" s="79"/>
      <c r="CF131" s="79"/>
      <c r="CG131" s="79"/>
      <c r="CH131" s="79"/>
      <c r="CI131" s="79"/>
      <c r="CJ131" s="79"/>
      <c r="CK131" s="79"/>
      <c r="CL131" s="79"/>
      <c r="CM131" s="79"/>
      <c r="CN131" s="79"/>
      <c r="CO131" s="79"/>
      <c r="CP131" s="79"/>
      <c r="CQ131" s="79"/>
      <c r="CR131" s="79"/>
      <c r="CS131" s="79"/>
      <c r="CT131" s="79"/>
      <c r="CU131" s="79"/>
      <c r="CV131" s="79"/>
      <c r="CW131" s="79"/>
      <c r="CX131" s="79"/>
      <c r="CY131" s="79"/>
      <c r="CZ131" s="79"/>
      <c r="DA131" s="79"/>
      <c r="DB131" s="79"/>
      <c r="DC131" s="79"/>
      <c r="DD131" s="79"/>
      <c r="DE131" s="79"/>
      <c r="DF131" s="79"/>
      <c r="DG131" s="79"/>
      <c r="DH131" s="79"/>
      <c r="DI131" s="79"/>
      <c r="DJ131" s="79"/>
      <c r="DK131" s="79"/>
      <c r="DL131" s="79"/>
      <c r="DM131" s="79"/>
      <c r="DN131" s="79"/>
      <c r="DO131" s="79"/>
      <c r="DP131" s="79"/>
      <c r="DQ131" s="79"/>
      <c r="DR131" s="79"/>
      <c r="DS131" s="79"/>
      <c r="DT131" s="79"/>
      <c r="DU131" s="79"/>
      <c r="DV131" s="79"/>
      <c r="DW131" s="79"/>
      <c r="DX131" s="79"/>
      <c r="DY131" s="79"/>
      <c r="DZ131" s="79"/>
      <c r="EA131" s="79"/>
      <c r="EB131" s="79"/>
      <c r="EC131" s="79"/>
      <c r="ED131" s="79"/>
      <c r="EE131" s="79"/>
      <c r="EF131" s="79"/>
      <c r="EG131" s="79"/>
      <c r="EH131" s="79"/>
      <c r="EI131" s="79"/>
      <c r="EJ131" s="79"/>
      <c r="EK131" s="79"/>
      <c r="EL131" s="79"/>
      <c r="EM131" s="79"/>
      <c r="EN131" s="79"/>
      <c r="EO131" s="79"/>
      <c r="EP131" s="79"/>
      <c r="EQ131" s="79"/>
      <c r="ER131" s="79"/>
      <c r="ES131" s="79"/>
      <c r="ET131" s="79"/>
      <c r="EU131" s="79"/>
      <c r="EV131" s="79"/>
      <c r="EW131" s="79"/>
      <c r="EX131" s="79"/>
      <c r="EY131" s="79"/>
      <c r="EZ131" s="79"/>
      <c r="FA131" s="79"/>
      <c r="FB131" s="79"/>
      <c r="FC131" s="79"/>
      <c r="FD131" s="79"/>
      <c r="FE131" s="79"/>
      <c r="FF131" s="79"/>
      <c r="FG131" s="79"/>
      <c r="FH131" s="79"/>
      <c r="FI131" s="79"/>
      <c r="FJ131" s="79"/>
      <c r="FK131" s="79"/>
      <c r="FL131" s="79"/>
      <c r="FM131" s="79"/>
      <c r="FN131" s="79"/>
      <c r="FO131" s="79"/>
      <c r="FP131" s="79"/>
      <c r="FQ131" s="79"/>
      <c r="FR131" s="79"/>
      <c r="FS131" s="79"/>
      <c r="FT131" s="79"/>
      <c r="FU131" s="79"/>
      <c r="FV131" s="79"/>
      <c r="FW131" s="79"/>
      <c r="FX131" s="79"/>
      <c r="FY131" s="79"/>
      <c r="FZ131" s="79"/>
      <c r="GA131" s="79"/>
      <c r="GB131" s="79"/>
      <c r="GC131" s="79"/>
      <c r="GD131" s="79"/>
      <c r="GE131" s="79"/>
      <c r="GF131" s="79"/>
      <c r="GG131" s="79"/>
      <c r="GH131" s="79"/>
    </row>
    <row r="132" spans="1:190" ht="14.25" x14ac:dyDescent="0.2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79"/>
      <c r="CB132" s="79"/>
      <c r="CC132" s="79"/>
      <c r="CD132" s="79"/>
      <c r="CE132" s="79"/>
      <c r="CF132" s="79"/>
      <c r="CG132" s="79"/>
      <c r="CH132" s="79"/>
      <c r="CI132" s="79"/>
      <c r="CJ132" s="79"/>
      <c r="CK132" s="79"/>
      <c r="CL132" s="79"/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F132" s="79"/>
      <c r="DG132" s="79"/>
      <c r="DH132" s="79"/>
      <c r="DI132" s="79"/>
      <c r="DJ132" s="79"/>
      <c r="DK132" s="79"/>
      <c r="DL132" s="79"/>
      <c r="DM132" s="79"/>
      <c r="DN132" s="79"/>
      <c r="DO132" s="79"/>
      <c r="DP132" s="79"/>
      <c r="DQ132" s="79"/>
      <c r="DR132" s="79"/>
      <c r="DS132" s="79"/>
      <c r="DT132" s="79"/>
      <c r="DU132" s="79"/>
      <c r="DV132" s="79"/>
      <c r="DW132" s="79"/>
      <c r="DX132" s="79"/>
      <c r="DY132" s="79"/>
      <c r="DZ132" s="79"/>
      <c r="EA132" s="79"/>
      <c r="EB132" s="79"/>
      <c r="EC132" s="79"/>
      <c r="ED132" s="79"/>
      <c r="EE132" s="79"/>
      <c r="EF132" s="79"/>
      <c r="EG132" s="79"/>
      <c r="EH132" s="79"/>
      <c r="EI132" s="79"/>
      <c r="EJ132" s="79"/>
      <c r="EK132" s="79"/>
      <c r="EL132" s="79"/>
      <c r="EM132" s="79"/>
      <c r="EN132" s="79"/>
      <c r="EO132" s="79"/>
      <c r="EP132" s="79"/>
      <c r="EQ132" s="79"/>
      <c r="ER132" s="79"/>
      <c r="ES132" s="79"/>
      <c r="ET132" s="79"/>
      <c r="EU132" s="79"/>
      <c r="EV132" s="79"/>
      <c r="EW132" s="79"/>
      <c r="EX132" s="79"/>
      <c r="EY132" s="79"/>
      <c r="EZ132" s="79"/>
      <c r="FA132" s="79"/>
      <c r="FB132" s="79"/>
      <c r="FC132" s="79"/>
      <c r="FD132" s="79"/>
      <c r="FE132" s="79"/>
      <c r="FF132" s="79"/>
      <c r="FG132" s="79"/>
      <c r="FH132" s="79"/>
      <c r="FI132" s="79"/>
      <c r="FJ132" s="79"/>
      <c r="FK132" s="79"/>
      <c r="FL132" s="79"/>
      <c r="FM132" s="79"/>
      <c r="FN132" s="79"/>
      <c r="FO132" s="79"/>
      <c r="FP132" s="79"/>
      <c r="FQ132" s="79"/>
      <c r="FR132" s="79"/>
      <c r="FS132" s="79"/>
      <c r="FT132" s="79"/>
      <c r="FU132" s="79"/>
      <c r="FV132" s="79"/>
      <c r="FW132" s="79"/>
      <c r="FX132" s="79"/>
      <c r="FY132" s="79"/>
      <c r="FZ132" s="79"/>
      <c r="GA132" s="79"/>
      <c r="GB132" s="79"/>
      <c r="GC132" s="79"/>
      <c r="GD132" s="79"/>
      <c r="GE132" s="79"/>
      <c r="GF132" s="79"/>
      <c r="GG132" s="79"/>
      <c r="GH132" s="79"/>
    </row>
    <row r="133" spans="1:190" ht="14.25" x14ac:dyDescent="0.2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BX133" s="79"/>
      <c r="BY133" s="79"/>
      <c r="BZ133" s="79"/>
      <c r="CA133" s="79"/>
      <c r="CB133" s="79"/>
      <c r="CC133" s="79"/>
      <c r="CD133" s="79"/>
      <c r="CE133" s="79"/>
      <c r="CF133" s="79"/>
      <c r="CG133" s="79"/>
      <c r="CH133" s="79"/>
      <c r="CI133" s="79"/>
      <c r="CJ133" s="79"/>
      <c r="CK133" s="79"/>
      <c r="CL133" s="79"/>
      <c r="CM133" s="79"/>
      <c r="CN133" s="79"/>
      <c r="CO133" s="79"/>
      <c r="CP133" s="79"/>
      <c r="CQ133" s="79"/>
      <c r="CR133" s="79"/>
      <c r="CS133" s="79"/>
      <c r="CT133" s="79"/>
      <c r="CU133" s="79"/>
      <c r="CV133" s="79"/>
      <c r="CW133" s="79"/>
      <c r="CX133" s="79"/>
      <c r="CY133" s="79"/>
      <c r="CZ133" s="79"/>
      <c r="DA133" s="79"/>
      <c r="DB133" s="79"/>
      <c r="DC133" s="79"/>
      <c r="DD133" s="79"/>
      <c r="DE133" s="79"/>
      <c r="DF133" s="79"/>
      <c r="DG133" s="79"/>
      <c r="DH133" s="79"/>
      <c r="DI133" s="79"/>
      <c r="DJ133" s="79"/>
      <c r="DK133" s="79"/>
      <c r="DL133" s="79"/>
      <c r="DM133" s="79"/>
      <c r="DN133" s="79"/>
      <c r="DO133" s="79"/>
      <c r="DP133" s="79"/>
      <c r="DQ133" s="79"/>
      <c r="DR133" s="79"/>
      <c r="DS133" s="79"/>
      <c r="DT133" s="79"/>
      <c r="DU133" s="79"/>
      <c r="DV133" s="79"/>
      <c r="DW133" s="79"/>
      <c r="DX133" s="79"/>
      <c r="DY133" s="79"/>
      <c r="DZ133" s="79"/>
      <c r="EA133" s="79"/>
      <c r="EB133" s="79"/>
      <c r="EC133" s="79"/>
      <c r="ED133" s="79"/>
      <c r="EE133" s="79"/>
      <c r="EF133" s="79"/>
      <c r="EG133" s="79"/>
      <c r="EH133" s="79"/>
      <c r="EI133" s="79"/>
      <c r="EJ133" s="79"/>
      <c r="EK133" s="79"/>
      <c r="EL133" s="79"/>
      <c r="EM133" s="79"/>
      <c r="EN133" s="79"/>
      <c r="EO133" s="79"/>
      <c r="EP133" s="79"/>
      <c r="EQ133" s="79"/>
      <c r="ER133" s="79"/>
      <c r="ES133" s="79"/>
      <c r="ET133" s="79"/>
      <c r="EU133" s="79"/>
      <c r="EV133" s="79"/>
      <c r="EW133" s="79"/>
      <c r="EX133" s="79"/>
      <c r="EY133" s="79"/>
      <c r="EZ133" s="79"/>
      <c r="FA133" s="79"/>
      <c r="FB133" s="79"/>
      <c r="FC133" s="79"/>
      <c r="FD133" s="79"/>
      <c r="FE133" s="79"/>
      <c r="FF133" s="79"/>
      <c r="FG133" s="79"/>
      <c r="FH133" s="79"/>
      <c r="FI133" s="79"/>
      <c r="FJ133" s="79"/>
      <c r="FK133" s="79"/>
      <c r="FL133" s="79"/>
      <c r="FM133" s="79"/>
      <c r="FN133" s="79"/>
      <c r="FO133" s="79"/>
      <c r="FP133" s="79"/>
      <c r="FQ133" s="79"/>
      <c r="FR133" s="79"/>
      <c r="FS133" s="79"/>
      <c r="FT133" s="79"/>
      <c r="FU133" s="79"/>
      <c r="FV133" s="79"/>
      <c r="FW133" s="79"/>
      <c r="FX133" s="79"/>
      <c r="FY133" s="79"/>
      <c r="FZ133" s="79"/>
      <c r="GA133" s="79"/>
      <c r="GB133" s="79"/>
      <c r="GC133" s="79"/>
      <c r="GD133" s="79"/>
      <c r="GE133" s="79"/>
      <c r="GF133" s="79"/>
      <c r="GG133" s="79"/>
      <c r="GH133" s="79"/>
    </row>
    <row r="134" spans="1:190" ht="14.25" x14ac:dyDescent="0.2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  <c r="BW134" s="79"/>
      <c r="BX134" s="79"/>
      <c r="BY134" s="79"/>
      <c r="BZ134" s="79"/>
      <c r="CA134" s="79"/>
      <c r="CB134" s="79"/>
      <c r="CC134" s="79"/>
      <c r="CD134" s="79"/>
      <c r="CE134" s="79"/>
      <c r="CF134" s="79"/>
      <c r="CG134" s="79"/>
      <c r="CH134" s="79"/>
      <c r="CI134" s="79"/>
      <c r="CJ134" s="79"/>
      <c r="CK134" s="79"/>
      <c r="CL134" s="79"/>
      <c r="CM134" s="79"/>
      <c r="CN134" s="79"/>
      <c r="CO134" s="79"/>
      <c r="CP134" s="79"/>
      <c r="CQ134" s="79"/>
      <c r="CR134" s="79"/>
      <c r="CS134" s="79"/>
      <c r="CT134" s="79"/>
      <c r="CU134" s="79"/>
      <c r="CV134" s="79"/>
      <c r="CW134" s="79"/>
      <c r="CX134" s="79"/>
      <c r="CY134" s="79"/>
      <c r="CZ134" s="79"/>
      <c r="DA134" s="79"/>
      <c r="DB134" s="79"/>
      <c r="DC134" s="79"/>
      <c r="DD134" s="79"/>
      <c r="DE134" s="79"/>
      <c r="DF134" s="79"/>
      <c r="DG134" s="79"/>
      <c r="DH134" s="79"/>
      <c r="DI134" s="79"/>
      <c r="DJ134" s="79"/>
      <c r="DK134" s="79"/>
      <c r="DL134" s="79"/>
      <c r="DM134" s="79"/>
      <c r="DN134" s="79"/>
      <c r="DO134" s="79"/>
      <c r="DP134" s="79"/>
      <c r="DQ134" s="79"/>
      <c r="DR134" s="79"/>
      <c r="DS134" s="79"/>
      <c r="DT134" s="79"/>
      <c r="DU134" s="79"/>
      <c r="DV134" s="79"/>
      <c r="DW134" s="79"/>
      <c r="DX134" s="79"/>
      <c r="DY134" s="79"/>
      <c r="DZ134" s="79"/>
      <c r="EA134" s="79"/>
      <c r="EB134" s="79"/>
      <c r="EC134" s="79"/>
      <c r="ED134" s="79"/>
      <c r="EE134" s="79"/>
      <c r="EF134" s="79"/>
      <c r="EG134" s="79"/>
      <c r="EH134" s="79"/>
      <c r="EI134" s="79"/>
      <c r="EJ134" s="79"/>
      <c r="EK134" s="79"/>
      <c r="EL134" s="79"/>
      <c r="EM134" s="79"/>
      <c r="EN134" s="79"/>
      <c r="EO134" s="79"/>
      <c r="EP134" s="79"/>
      <c r="EQ134" s="79"/>
      <c r="ER134" s="79"/>
      <c r="ES134" s="79"/>
      <c r="ET134" s="79"/>
      <c r="EU134" s="79"/>
      <c r="EV134" s="79"/>
      <c r="EW134" s="79"/>
      <c r="EX134" s="79"/>
      <c r="EY134" s="79"/>
      <c r="EZ134" s="79"/>
      <c r="FA134" s="79"/>
      <c r="FB134" s="79"/>
      <c r="FC134" s="79"/>
      <c r="FD134" s="79"/>
      <c r="FE134" s="79"/>
      <c r="FF134" s="79"/>
      <c r="FG134" s="79"/>
      <c r="FH134" s="79"/>
      <c r="FI134" s="79"/>
      <c r="FJ134" s="79"/>
      <c r="FK134" s="79"/>
      <c r="FL134" s="79"/>
      <c r="FM134" s="79"/>
      <c r="FN134" s="79"/>
      <c r="FO134" s="79"/>
      <c r="FP134" s="79"/>
      <c r="FQ134" s="79"/>
      <c r="FR134" s="79"/>
      <c r="FS134" s="79"/>
      <c r="FT134" s="79"/>
      <c r="FU134" s="79"/>
      <c r="FV134" s="79"/>
      <c r="FW134" s="79"/>
      <c r="FX134" s="79"/>
      <c r="FY134" s="79"/>
      <c r="FZ134" s="79"/>
      <c r="GA134" s="79"/>
      <c r="GB134" s="79"/>
      <c r="GC134" s="79"/>
      <c r="GD134" s="79"/>
      <c r="GE134" s="79"/>
      <c r="GF134" s="79"/>
      <c r="GG134" s="79"/>
      <c r="GH134" s="79"/>
    </row>
    <row r="135" spans="1:190" ht="14.25" x14ac:dyDescent="0.2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  <c r="CC135" s="79"/>
      <c r="CD135" s="79"/>
      <c r="CE135" s="79"/>
      <c r="CF135" s="79"/>
      <c r="CG135" s="79"/>
      <c r="CH135" s="79"/>
      <c r="CI135" s="79"/>
      <c r="CJ135" s="79"/>
      <c r="CK135" s="79"/>
      <c r="CL135" s="79"/>
      <c r="CM135" s="79"/>
      <c r="CN135" s="79"/>
      <c r="CO135" s="79"/>
      <c r="CP135" s="79"/>
      <c r="CQ135" s="79"/>
      <c r="CR135" s="79"/>
      <c r="CS135" s="79"/>
      <c r="CT135" s="79"/>
      <c r="CU135" s="79"/>
      <c r="CV135" s="79"/>
      <c r="CW135" s="79"/>
      <c r="CX135" s="79"/>
      <c r="CY135" s="79"/>
      <c r="CZ135" s="79"/>
      <c r="DA135" s="79"/>
      <c r="DB135" s="79"/>
      <c r="DC135" s="79"/>
      <c r="DD135" s="79"/>
      <c r="DE135" s="79"/>
      <c r="DF135" s="79"/>
      <c r="DG135" s="79"/>
      <c r="DH135" s="79"/>
      <c r="DI135" s="79"/>
      <c r="DJ135" s="79"/>
      <c r="DK135" s="79"/>
      <c r="DL135" s="79"/>
      <c r="DM135" s="79"/>
      <c r="DN135" s="79"/>
      <c r="DO135" s="79"/>
      <c r="DP135" s="79"/>
      <c r="DQ135" s="79"/>
      <c r="DR135" s="79"/>
      <c r="DS135" s="79"/>
      <c r="DT135" s="79"/>
      <c r="DU135" s="79"/>
      <c r="DV135" s="79"/>
      <c r="DW135" s="79"/>
      <c r="DX135" s="79"/>
      <c r="DY135" s="79"/>
      <c r="DZ135" s="79"/>
      <c r="EA135" s="79"/>
      <c r="EB135" s="79"/>
      <c r="EC135" s="79"/>
      <c r="ED135" s="79"/>
      <c r="EE135" s="79"/>
      <c r="EF135" s="79"/>
      <c r="EG135" s="79"/>
      <c r="EH135" s="79"/>
      <c r="EI135" s="79"/>
      <c r="EJ135" s="79"/>
      <c r="EK135" s="79"/>
      <c r="EL135" s="79"/>
      <c r="EM135" s="79"/>
      <c r="EN135" s="79"/>
      <c r="EO135" s="79"/>
      <c r="EP135" s="79"/>
      <c r="EQ135" s="79"/>
      <c r="ER135" s="79"/>
      <c r="ES135" s="79"/>
      <c r="ET135" s="79"/>
      <c r="EU135" s="79"/>
      <c r="EV135" s="79"/>
      <c r="EW135" s="79"/>
      <c r="EX135" s="79"/>
      <c r="EY135" s="79"/>
      <c r="EZ135" s="79"/>
      <c r="FA135" s="79"/>
      <c r="FB135" s="79"/>
      <c r="FC135" s="79"/>
      <c r="FD135" s="79"/>
      <c r="FE135" s="79"/>
      <c r="FF135" s="79"/>
      <c r="FG135" s="79"/>
      <c r="FH135" s="79"/>
      <c r="FI135" s="79"/>
      <c r="FJ135" s="79"/>
      <c r="FK135" s="79"/>
      <c r="FL135" s="79"/>
      <c r="FM135" s="79"/>
      <c r="FN135" s="79"/>
      <c r="FO135" s="79"/>
      <c r="FP135" s="79"/>
      <c r="FQ135" s="79"/>
      <c r="FR135" s="79"/>
      <c r="FS135" s="79"/>
      <c r="FT135" s="79"/>
      <c r="FU135" s="79"/>
      <c r="FV135" s="79"/>
      <c r="FW135" s="79"/>
      <c r="FX135" s="79"/>
      <c r="FY135" s="79"/>
      <c r="FZ135" s="79"/>
      <c r="GA135" s="79"/>
      <c r="GB135" s="79"/>
      <c r="GC135" s="79"/>
      <c r="GD135" s="79"/>
      <c r="GE135" s="79"/>
      <c r="GF135" s="79"/>
      <c r="GG135" s="79"/>
      <c r="GH135" s="79"/>
    </row>
    <row r="136" spans="1:190" ht="14.25" x14ac:dyDescent="0.2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79"/>
      <c r="CE136" s="79"/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F136" s="79"/>
      <c r="DG136" s="79"/>
      <c r="DH136" s="79"/>
      <c r="DI136" s="79"/>
      <c r="DJ136" s="79"/>
      <c r="DK136" s="79"/>
      <c r="DL136" s="79"/>
      <c r="DM136" s="79"/>
      <c r="DN136" s="79"/>
      <c r="DO136" s="79"/>
      <c r="DP136" s="79"/>
      <c r="DQ136" s="79"/>
      <c r="DR136" s="79"/>
      <c r="DS136" s="79"/>
      <c r="DT136" s="79"/>
      <c r="DU136" s="79"/>
      <c r="DV136" s="79"/>
      <c r="DW136" s="79"/>
      <c r="DX136" s="79"/>
      <c r="DY136" s="79"/>
      <c r="DZ136" s="79"/>
      <c r="EA136" s="79"/>
      <c r="EB136" s="79"/>
      <c r="EC136" s="79"/>
      <c r="ED136" s="79"/>
      <c r="EE136" s="79"/>
      <c r="EF136" s="79"/>
      <c r="EG136" s="79"/>
      <c r="EH136" s="79"/>
      <c r="EI136" s="79"/>
      <c r="EJ136" s="79"/>
      <c r="EK136" s="79"/>
      <c r="EL136" s="79"/>
      <c r="EM136" s="79"/>
      <c r="EN136" s="79"/>
      <c r="EO136" s="79"/>
      <c r="EP136" s="79"/>
      <c r="EQ136" s="79"/>
      <c r="ER136" s="79"/>
      <c r="ES136" s="79"/>
      <c r="ET136" s="79"/>
      <c r="EU136" s="79"/>
      <c r="EV136" s="79"/>
      <c r="EW136" s="79"/>
      <c r="EX136" s="79"/>
      <c r="EY136" s="79"/>
      <c r="EZ136" s="79"/>
      <c r="FA136" s="79"/>
      <c r="FB136" s="79"/>
      <c r="FC136" s="79"/>
      <c r="FD136" s="79"/>
      <c r="FE136" s="79"/>
      <c r="FF136" s="79"/>
      <c r="FG136" s="79"/>
      <c r="FH136" s="79"/>
      <c r="FI136" s="79"/>
      <c r="FJ136" s="79"/>
      <c r="FK136" s="79"/>
      <c r="FL136" s="79"/>
      <c r="FM136" s="79"/>
      <c r="FN136" s="79"/>
      <c r="FO136" s="79"/>
      <c r="FP136" s="79"/>
      <c r="FQ136" s="79"/>
      <c r="FR136" s="79"/>
      <c r="FS136" s="79"/>
      <c r="FT136" s="79"/>
      <c r="FU136" s="79"/>
      <c r="FV136" s="79"/>
      <c r="FW136" s="79"/>
      <c r="FX136" s="79"/>
      <c r="FY136" s="79"/>
      <c r="FZ136" s="79"/>
      <c r="GA136" s="79"/>
      <c r="GB136" s="79"/>
      <c r="GC136" s="79"/>
      <c r="GD136" s="79"/>
      <c r="GE136" s="79"/>
      <c r="GF136" s="79"/>
      <c r="GG136" s="79"/>
      <c r="GH136" s="79"/>
    </row>
    <row r="137" spans="1:190" ht="14.25" x14ac:dyDescent="0.2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  <c r="DT137" s="79"/>
      <c r="DU137" s="79"/>
      <c r="DV137" s="79"/>
      <c r="DW137" s="79"/>
      <c r="DX137" s="79"/>
      <c r="DY137" s="79"/>
      <c r="DZ137" s="79"/>
      <c r="EA137" s="79"/>
      <c r="EB137" s="79"/>
      <c r="EC137" s="79"/>
      <c r="ED137" s="79"/>
      <c r="EE137" s="79"/>
      <c r="EF137" s="79"/>
      <c r="EG137" s="79"/>
      <c r="EH137" s="79"/>
      <c r="EI137" s="79"/>
      <c r="EJ137" s="79"/>
      <c r="EK137" s="79"/>
      <c r="EL137" s="79"/>
      <c r="EM137" s="79"/>
      <c r="EN137" s="79"/>
      <c r="EO137" s="79"/>
      <c r="EP137" s="79"/>
      <c r="EQ137" s="79"/>
      <c r="ER137" s="79"/>
      <c r="ES137" s="79"/>
      <c r="ET137" s="79"/>
      <c r="EU137" s="79"/>
      <c r="EV137" s="79"/>
      <c r="EW137" s="79"/>
      <c r="EX137" s="79"/>
      <c r="EY137" s="79"/>
      <c r="EZ137" s="79"/>
      <c r="FA137" s="79"/>
      <c r="FB137" s="79"/>
      <c r="FC137" s="79"/>
      <c r="FD137" s="79"/>
      <c r="FE137" s="79"/>
      <c r="FF137" s="79"/>
      <c r="FG137" s="79"/>
      <c r="FH137" s="79"/>
      <c r="FI137" s="79"/>
      <c r="FJ137" s="79"/>
      <c r="FK137" s="79"/>
      <c r="FL137" s="79"/>
      <c r="FM137" s="79"/>
      <c r="FN137" s="79"/>
      <c r="FO137" s="79"/>
      <c r="FP137" s="79"/>
      <c r="FQ137" s="79"/>
      <c r="FR137" s="79"/>
      <c r="FS137" s="79"/>
      <c r="FT137" s="79"/>
      <c r="FU137" s="79"/>
      <c r="FV137" s="79"/>
      <c r="FW137" s="79"/>
      <c r="FX137" s="79"/>
      <c r="FY137" s="79"/>
      <c r="FZ137" s="79"/>
      <c r="GA137" s="79"/>
      <c r="GB137" s="79"/>
      <c r="GC137" s="79"/>
      <c r="GD137" s="79"/>
      <c r="GE137" s="79"/>
      <c r="GF137" s="79"/>
      <c r="GG137" s="79"/>
      <c r="GH137" s="79"/>
    </row>
    <row r="138" spans="1:190" ht="14.25" x14ac:dyDescent="0.2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  <c r="CC138" s="79"/>
      <c r="CD138" s="79"/>
      <c r="CE138" s="79"/>
      <c r="CF138" s="79"/>
      <c r="CG138" s="79"/>
      <c r="CH138" s="79"/>
      <c r="CI138" s="79"/>
      <c r="CJ138" s="79"/>
      <c r="CK138" s="79"/>
      <c r="CL138" s="79"/>
      <c r="CM138" s="79"/>
      <c r="CN138" s="79"/>
      <c r="CO138" s="79"/>
      <c r="CP138" s="79"/>
      <c r="CQ138" s="79"/>
      <c r="CR138" s="79"/>
      <c r="CS138" s="79"/>
      <c r="CT138" s="79"/>
      <c r="CU138" s="79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F138" s="79"/>
      <c r="DG138" s="79"/>
      <c r="DH138" s="79"/>
      <c r="DI138" s="79"/>
      <c r="DJ138" s="79"/>
      <c r="DK138" s="79"/>
      <c r="DL138" s="79"/>
      <c r="DM138" s="79"/>
      <c r="DN138" s="79"/>
      <c r="DO138" s="79"/>
      <c r="DP138" s="79"/>
      <c r="DQ138" s="79"/>
      <c r="DR138" s="79"/>
      <c r="DS138" s="79"/>
      <c r="DT138" s="79"/>
      <c r="DU138" s="79"/>
      <c r="DV138" s="79"/>
      <c r="DW138" s="79"/>
      <c r="DX138" s="79"/>
      <c r="DY138" s="79"/>
      <c r="DZ138" s="79"/>
      <c r="EA138" s="79"/>
      <c r="EB138" s="79"/>
      <c r="EC138" s="79"/>
      <c r="ED138" s="79"/>
      <c r="EE138" s="79"/>
      <c r="EF138" s="79"/>
      <c r="EG138" s="79"/>
      <c r="EH138" s="79"/>
      <c r="EI138" s="79"/>
      <c r="EJ138" s="79"/>
      <c r="EK138" s="79"/>
      <c r="EL138" s="79"/>
      <c r="EM138" s="79"/>
      <c r="EN138" s="79"/>
      <c r="EO138" s="79"/>
      <c r="EP138" s="79"/>
      <c r="EQ138" s="79"/>
      <c r="ER138" s="79"/>
      <c r="ES138" s="79"/>
      <c r="ET138" s="79"/>
      <c r="EU138" s="79"/>
      <c r="EV138" s="79"/>
      <c r="EW138" s="79"/>
      <c r="EX138" s="79"/>
      <c r="EY138" s="79"/>
      <c r="EZ138" s="79"/>
      <c r="FA138" s="79"/>
      <c r="FB138" s="79"/>
      <c r="FC138" s="79"/>
      <c r="FD138" s="79"/>
      <c r="FE138" s="79"/>
      <c r="FF138" s="79"/>
      <c r="FG138" s="79"/>
      <c r="FH138" s="79"/>
      <c r="FI138" s="79"/>
      <c r="FJ138" s="79"/>
      <c r="FK138" s="79"/>
      <c r="FL138" s="79"/>
      <c r="FM138" s="79"/>
      <c r="FN138" s="79"/>
      <c r="FO138" s="79"/>
      <c r="FP138" s="79"/>
      <c r="FQ138" s="79"/>
      <c r="FR138" s="79"/>
      <c r="FS138" s="79"/>
      <c r="FT138" s="79"/>
      <c r="FU138" s="79"/>
      <c r="FV138" s="79"/>
      <c r="FW138" s="79"/>
      <c r="FX138" s="79"/>
      <c r="FY138" s="79"/>
      <c r="FZ138" s="79"/>
      <c r="GA138" s="79"/>
      <c r="GB138" s="79"/>
      <c r="GC138" s="79"/>
      <c r="GD138" s="79"/>
      <c r="GE138" s="79"/>
      <c r="GF138" s="79"/>
      <c r="GG138" s="79"/>
      <c r="GH138" s="79"/>
    </row>
    <row r="139" spans="1:190" ht="14.25" x14ac:dyDescent="0.2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  <c r="CC139" s="79"/>
      <c r="CD139" s="79"/>
      <c r="CE139" s="79"/>
      <c r="CF139" s="79"/>
      <c r="CG139" s="79"/>
      <c r="CH139" s="79"/>
      <c r="CI139" s="79"/>
      <c r="CJ139" s="79"/>
      <c r="CK139" s="79"/>
      <c r="CL139" s="79"/>
      <c r="CM139" s="79"/>
      <c r="CN139" s="79"/>
      <c r="CO139" s="79"/>
      <c r="CP139" s="79"/>
      <c r="CQ139" s="79"/>
      <c r="CR139" s="79"/>
      <c r="CS139" s="79"/>
      <c r="CT139" s="79"/>
      <c r="CU139" s="79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F139" s="79"/>
      <c r="DG139" s="79"/>
      <c r="DH139" s="79"/>
      <c r="DI139" s="79"/>
      <c r="DJ139" s="79"/>
      <c r="DK139" s="79"/>
      <c r="DL139" s="79"/>
      <c r="DM139" s="79"/>
      <c r="DN139" s="79"/>
      <c r="DO139" s="79"/>
      <c r="DP139" s="79"/>
      <c r="DQ139" s="79"/>
      <c r="DR139" s="79"/>
      <c r="DS139" s="79"/>
      <c r="DT139" s="79"/>
      <c r="DU139" s="79"/>
      <c r="DV139" s="79"/>
      <c r="DW139" s="79"/>
      <c r="DX139" s="79"/>
      <c r="DY139" s="79"/>
      <c r="DZ139" s="79"/>
      <c r="EA139" s="79"/>
      <c r="EB139" s="79"/>
      <c r="EC139" s="79"/>
      <c r="ED139" s="79"/>
      <c r="EE139" s="79"/>
      <c r="EF139" s="79"/>
      <c r="EG139" s="79"/>
      <c r="EH139" s="79"/>
      <c r="EI139" s="79"/>
      <c r="EJ139" s="79"/>
      <c r="EK139" s="79"/>
      <c r="EL139" s="79"/>
      <c r="EM139" s="79"/>
      <c r="EN139" s="79"/>
      <c r="EO139" s="79"/>
      <c r="EP139" s="79"/>
      <c r="EQ139" s="79"/>
      <c r="ER139" s="79"/>
      <c r="ES139" s="79"/>
      <c r="ET139" s="79"/>
      <c r="EU139" s="79"/>
      <c r="EV139" s="79"/>
      <c r="EW139" s="79"/>
      <c r="EX139" s="79"/>
      <c r="EY139" s="79"/>
      <c r="EZ139" s="79"/>
      <c r="FA139" s="79"/>
      <c r="FB139" s="79"/>
      <c r="FC139" s="79"/>
      <c r="FD139" s="79"/>
      <c r="FE139" s="79"/>
      <c r="FF139" s="79"/>
      <c r="FG139" s="79"/>
      <c r="FH139" s="79"/>
      <c r="FI139" s="79"/>
      <c r="FJ139" s="79"/>
      <c r="FK139" s="79"/>
      <c r="FL139" s="79"/>
      <c r="FM139" s="79"/>
      <c r="FN139" s="79"/>
      <c r="FO139" s="79"/>
      <c r="FP139" s="79"/>
      <c r="FQ139" s="79"/>
      <c r="FR139" s="79"/>
      <c r="FS139" s="79"/>
      <c r="FT139" s="79"/>
      <c r="FU139" s="79"/>
      <c r="FV139" s="79"/>
      <c r="FW139" s="79"/>
      <c r="FX139" s="79"/>
      <c r="FY139" s="79"/>
      <c r="FZ139" s="79"/>
      <c r="GA139" s="79"/>
      <c r="GB139" s="79"/>
      <c r="GC139" s="79"/>
      <c r="GD139" s="79"/>
      <c r="GE139" s="79"/>
      <c r="GF139" s="79"/>
      <c r="GG139" s="79"/>
      <c r="GH139" s="79"/>
    </row>
    <row r="140" spans="1:190" ht="14.25" x14ac:dyDescent="0.2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  <c r="CC140" s="79"/>
      <c r="CD140" s="79"/>
      <c r="CE140" s="79"/>
      <c r="CF140" s="79"/>
      <c r="CG140" s="79"/>
      <c r="CH140" s="79"/>
      <c r="CI140" s="79"/>
      <c r="CJ140" s="79"/>
      <c r="CK140" s="79"/>
      <c r="CL140" s="79"/>
      <c r="CM140" s="79"/>
      <c r="CN140" s="79"/>
      <c r="CO140" s="79"/>
      <c r="CP140" s="79"/>
      <c r="CQ140" s="79"/>
      <c r="CR140" s="79"/>
      <c r="CS140" s="79"/>
      <c r="CT140" s="79"/>
      <c r="CU140" s="79"/>
      <c r="CV140" s="79"/>
      <c r="CW140" s="79"/>
      <c r="CX140" s="79"/>
      <c r="CY140" s="79"/>
      <c r="CZ140" s="79"/>
      <c r="DA140" s="79"/>
      <c r="DB140" s="79"/>
      <c r="DC140" s="79"/>
      <c r="DD140" s="79"/>
      <c r="DE140" s="79"/>
      <c r="DF140" s="79"/>
      <c r="DG140" s="79"/>
      <c r="DH140" s="79"/>
      <c r="DI140" s="79"/>
      <c r="DJ140" s="79"/>
      <c r="DK140" s="79"/>
      <c r="DL140" s="79"/>
      <c r="DM140" s="79"/>
      <c r="DN140" s="79"/>
      <c r="DO140" s="79"/>
      <c r="DP140" s="79"/>
      <c r="DQ140" s="79"/>
      <c r="DR140" s="79"/>
      <c r="DS140" s="79"/>
      <c r="DT140" s="79"/>
      <c r="DU140" s="79"/>
      <c r="DV140" s="79"/>
      <c r="DW140" s="79"/>
      <c r="DX140" s="79"/>
      <c r="DY140" s="79"/>
      <c r="DZ140" s="79"/>
      <c r="EA140" s="79"/>
      <c r="EB140" s="79"/>
      <c r="EC140" s="79"/>
      <c r="ED140" s="79"/>
      <c r="EE140" s="79"/>
      <c r="EF140" s="79"/>
      <c r="EG140" s="79"/>
      <c r="EH140" s="79"/>
      <c r="EI140" s="79"/>
      <c r="EJ140" s="79"/>
      <c r="EK140" s="79"/>
      <c r="EL140" s="79"/>
      <c r="EM140" s="79"/>
      <c r="EN140" s="79"/>
      <c r="EO140" s="79"/>
      <c r="EP140" s="79"/>
      <c r="EQ140" s="79"/>
      <c r="ER140" s="79"/>
      <c r="ES140" s="79"/>
      <c r="ET140" s="79"/>
      <c r="EU140" s="79"/>
      <c r="EV140" s="79"/>
      <c r="EW140" s="79"/>
      <c r="EX140" s="79"/>
      <c r="EY140" s="79"/>
      <c r="EZ140" s="79"/>
      <c r="FA140" s="79"/>
      <c r="FB140" s="79"/>
      <c r="FC140" s="79"/>
      <c r="FD140" s="79"/>
      <c r="FE140" s="79"/>
      <c r="FF140" s="79"/>
      <c r="FG140" s="79"/>
      <c r="FH140" s="79"/>
      <c r="FI140" s="79"/>
      <c r="FJ140" s="79"/>
      <c r="FK140" s="79"/>
      <c r="FL140" s="79"/>
      <c r="FM140" s="79"/>
      <c r="FN140" s="79"/>
      <c r="FO140" s="79"/>
      <c r="FP140" s="79"/>
      <c r="FQ140" s="79"/>
      <c r="FR140" s="79"/>
      <c r="FS140" s="79"/>
      <c r="FT140" s="79"/>
      <c r="FU140" s="79"/>
      <c r="FV140" s="79"/>
      <c r="FW140" s="79"/>
      <c r="FX140" s="79"/>
      <c r="FY140" s="79"/>
      <c r="FZ140" s="79"/>
      <c r="GA140" s="79"/>
      <c r="GB140" s="79"/>
      <c r="GC140" s="79"/>
      <c r="GD140" s="79"/>
      <c r="GE140" s="79"/>
      <c r="GF140" s="79"/>
      <c r="GG140" s="79"/>
      <c r="GH140" s="79"/>
    </row>
    <row r="141" spans="1:190" ht="14.25" x14ac:dyDescent="0.2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  <c r="AS141" s="79"/>
      <c r="AT141" s="79"/>
      <c r="AU141" s="79"/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  <c r="BW141" s="79"/>
      <c r="BX141" s="79"/>
      <c r="BY141" s="79"/>
      <c r="BZ141" s="79"/>
      <c r="CA141" s="79"/>
      <c r="CB141" s="79"/>
      <c r="CC141" s="79"/>
      <c r="CD141" s="79"/>
      <c r="CE141" s="79"/>
      <c r="CF141" s="79"/>
      <c r="CG141" s="79"/>
      <c r="CH141" s="79"/>
      <c r="CI141" s="79"/>
      <c r="CJ141" s="79"/>
      <c r="CK141" s="79"/>
      <c r="CL141" s="79"/>
      <c r="CM141" s="79"/>
      <c r="CN141" s="79"/>
      <c r="CO141" s="79"/>
      <c r="CP141" s="79"/>
      <c r="CQ141" s="79"/>
      <c r="CR141" s="79"/>
      <c r="CS141" s="79"/>
      <c r="CT141" s="79"/>
      <c r="CU141" s="79"/>
      <c r="CV141" s="79"/>
      <c r="CW141" s="79"/>
      <c r="CX141" s="79"/>
      <c r="CY141" s="79"/>
      <c r="CZ141" s="79"/>
      <c r="DA141" s="79"/>
      <c r="DB141" s="79"/>
      <c r="DC141" s="79"/>
      <c r="DD141" s="79"/>
      <c r="DE141" s="79"/>
      <c r="DF141" s="79"/>
      <c r="DG141" s="79"/>
      <c r="DH141" s="79"/>
      <c r="DI141" s="79"/>
      <c r="DJ141" s="79"/>
      <c r="DK141" s="79"/>
      <c r="DL141" s="79"/>
      <c r="DM141" s="79"/>
      <c r="DN141" s="79"/>
      <c r="DO141" s="79"/>
      <c r="DP141" s="79"/>
      <c r="DQ141" s="79"/>
      <c r="DR141" s="79"/>
      <c r="DS141" s="79"/>
      <c r="DT141" s="79"/>
      <c r="DU141" s="79"/>
      <c r="DV141" s="79"/>
      <c r="DW141" s="79"/>
      <c r="DX141" s="79"/>
      <c r="DY141" s="79"/>
      <c r="DZ141" s="79"/>
      <c r="EA141" s="79"/>
      <c r="EB141" s="79"/>
      <c r="EC141" s="79"/>
      <c r="ED141" s="79"/>
      <c r="EE141" s="79"/>
      <c r="EF141" s="79"/>
      <c r="EG141" s="79"/>
      <c r="EH141" s="79"/>
      <c r="EI141" s="79"/>
      <c r="EJ141" s="79"/>
      <c r="EK141" s="79"/>
      <c r="EL141" s="79"/>
      <c r="EM141" s="79"/>
      <c r="EN141" s="79"/>
      <c r="EO141" s="79"/>
      <c r="EP141" s="79"/>
      <c r="EQ141" s="79"/>
      <c r="ER141" s="79"/>
      <c r="ES141" s="79"/>
      <c r="ET141" s="79"/>
      <c r="EU141" s="79"/>
      <c r="EV141" s="79"/>
      <c r="EW141" s="79"/>
      <c r="EX141" s="79"/>
      <c r="EY141" s="79"/>
      <c r="EZ141" s="79"/>
      <c r="FA141" s="79"/>
      <c r="FB141" s="79"/>
      <c r="FC141" s="79"/>
      <c r="FD141" s="79"/>
      <c r="FE141" s="79"/>
      <c r="FF141" s="79"/>
      <c r="FG141" s="79"/>
      <c r="FH141" s="79"/>
      <c r="FI141" s="79"/>
      <c r="FJ141" s="79"/>
      <c r="FK141" s="79"/>
      <c r="FL141" s="79"/>
      <c r="FM141" s="79"/>
      <c r="FN141" s="79"/>
      <c r="FO141" s="79"/>
      <c r="FP141" s="79"/>
      <c r="FQ141" s="79"/>
      <c r="FR141" s="79"/>
      <c r="FS141" s="79"/>
      <c r="FT141" s="79"/>
      <c r="FU141" s="79"/>
      <c r="FV141" s="79"/>
      <c r="FW141" s="79"/>
      <c r="FX141" s="79"/>
      <c r="FY141" s="79"/>
      <c r="FZ141" s="79"/>
      <c r="GA141" s="79"/>
      <c r="GB141" s="79"/>
      <c r="GC141" s="79"/>
      <c r="GD141" s="79"/>
      <c r="GE141" s="79"/>
      <c r="GF141" s="79"/>
      <c r="GG141" s="79"/>
      <c r="GH141" s="79"/>
    </row>
    <row r="142" spans="1:190" ht="14.25" x14ac:dyDescent="0.2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BX142" s="79"/>
      <c r="BY142" s="79"/>
      <c r="BZ142" s="79"/>
      <c r="CA142" s="79"/>
      <c r="CB142" s="79"/>
      <c r="CC142" s="79"/>
      <c r="CD142" s="79"/>
      <c r="CE142" s="79"/>
      <c r="CF142" s="79"/>
      <c r="CG142" s="79"/>
      <c r="CH142" s="79"/>
      <c r="CI142" s="79"/>
      <c r="CJ142" s="79"/>
      <c r="CK142" s="79"/>
      <c r="CL142" s="79"/>
      <c r="CM142" s="79"/>
      <c r="CN142" s="79"/>
      <c r="CO142" s="79"/>
      <c r="CP142" s="79"/>
      <c r="CQ142" s="79"/>
      <c r="CR142" s="79"/>
      <c r="CS142" s="79"/>
      <c r="CT142" s="79"/>
      <c r="CU142" s="79"/>
      <c r="CV142" s="79"/>
      <c r="CW142" s="79"/>
      <c r="CX142" s="79"/>
      <c r="CY142" s="79"/>
      <c r="CZ142" s="79"/>
      <c r="DA142" s="79"/>
      <c r="DB142" s="79"/>
      <c r="DC142" s="79"/>
      <c r="DD142" s="79"/>
      <c r="DE142" s="79"/>
      <c r="DF142" s="79"/>
      <c r="DG142" s="79"/>
      <c r="DH142" s="79"/>
      <c r="DI142" s="79"/>
      <c r="DJ142" s="79"/>
      <c r="DK142" s="79"/>
      <c r="DL142" s="79"/>
      <c r="DM142" s="79"/>
      <c r="DN142" s="79"/>
      <c r="DO142" s="79"/>
      <c r="DP142" s="79"/>
      <c r="DQ142" s="79"/>
      <c r="DR142" s="79"/>
      <c r="DS142" s="79"/>
      <c r="DT142" s="79"/>
      <c r="DU142" s="79"/>
      <c r="DV142" s="79"/>
      <c r="DW142" s="79"/>
      <c r="DX142" s="79"/>
      <c r="DY142" s="79"/>
      <c r="DZ142" s="79"/>
      <c r="EA142" s="79"/>
      <c r="EB142" s="79"/>
      <c r="EC142" s="79"/>
      <c r="ED142" s="79"/>
      <c r="EE142" s="79"/>
      <c r="EF142" s="79"/>
      <c r="EG142" s="79"/>
      <c r="EH142" s="79"/>
      <c r="EI142" s="79"/>
      <c r="EJ142" s="79"/>
      <c r="EK142" s="79"/>
      <c r="EL142" s="79"/>
      <c r="EM142" s="79"/>
      <c r="EN142" s="79"/>
      <c r="EO142" s="79"/>
      <c r="EP142" s="79"/>
      <c r="EQ142" s="79"/>
      <c r="ER142" s="79"/>
      <c r="ES142" s="79"/>
      <c r="ET142" s="79"/>
      <c r="EU142" s="79"/>
      <c r="EV142" s="79"/>
      <c r="EW142" s="79"/>
      <c r="EX142" s="79"/>
      <c r="EY142" s="79"/>
      <c r="EZ142" s="79"/>
      <c r="FA142" s="79"/>
      <c r="FB142" s="79"/>
      <c r="FC142" s="79"/>
      <c r="FD142" s="79"/>
      <c r="FE142" s="79"/>
      <c r="FF142" s="79"/>
      <c r="FG142" s="79"/>
      <c r="FH142" s="79"/>
      <c r="FI142" s="79"/>
      <c r="FJ142" s="79"/>
      <c r="FK142" s="79"/>
      <c r="FL142" s="79"/>
      <c r="FM142" s="79"/>
      <c r="FN142" s="79"/>
      <c r="FO142" s="79"/>
      <c r="FP142" s="79"/>
      <c r="FQ142" s="79"/>
      <c r="FR142" s="79"/>
      <c r="FS142" s="79"/>
      <c r="FT142" s="79"/>
      <c r="FU142" s="79"/>
      <c r="FV142" s="79"/>
      <c r="FW142" s="79"/>
      <c r="FX142" s="79"/>
      <c r="FY142" s="79"/>
      <c r="FZ142" s="79"/>
      <c r="GA142" s="79"/>
      <c r="GB142" s="79"/>
      <c r="GC142" s="79"/>
      <c r="GD142" s="79"/>
      <c r="GE142" s="79"/>
      <c r="GF142" s="79"/>
      <c r="GG142" s="79"/>
      <c r="GH142" s="79"/>
    </row>
    <row r="143" spans="1:190" ht="14.25" x14ac:dyDescent="0.2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  <c r="BS143" s="79"/>
      <c r="BT143" s="79"/>
      <c r="BU143" s="79"/>
      <c r="BV143" s="79"/>
      <c r="BW143" s="79"/>
      <c r="BX143" s="79"/>
      <c r="BY143" s="79"/>
      <c r="BZ143" s="79"/>
      <c r="CA143" s="79"/>
      <c r="CB143" s="79"/>
      <c r="CC143" s="79"/>
      <c r="CD143" s="79"/>
      <c r="CE143" s="79"/>
      <c r="CF143" s="79"/>
      <c r="CG143" s="79"/>
      <c r="CH143" s="79"/>
      <c r="CI143" s="79"/>
      <c r="CJ143" s="79"/>
      <c r="CK143" s="79"/>
      <c r="CL143" s="79"/>
      <c r="CM143" s="79"/>
      <c r="CN143" s="79"/>
      <c r="CO143" s="79"/>
      <c r="CP143" s="79"/>
      <c r="CQ143" s="79"/>
      <c r="CR143" s="79"/>
      <c r="CS143" s="79"/>
      <c r="CT143" s="79"/>
      <c r="CU143" s="79"/>
      <c r="CV143" s="79"/>
      <c r="CW143" s="79"/>
      <c r="CX143" s="79"/>
      <c r="CY143" s="79"/>
      <c r="CZ143" s="79"/>
      <c r="DA143" s="79"/>
      <c r="DB143" s="79"/>
      <c r="DC143" s="79"/>
      <c r="DD143" s="79"/>
      <c r="DE143" s="79"/>
      <c r="DF143" s="79"/>
      <c r="DG143" s="79"/>
      <c r="DH143" s="79"/>
      <c r="DI143" s="79"/>
      <c r="DJ143" s="79"/>
      <c r="DK143" s="79"/>
      <c r="DL143" s="79"/>
      <c r="DM143" s="79"/>
      <c r="DN143" s="79"/>
      <c r="DO143" s="79"/>
      <c r="DP143" s="79"/>
      <c r="DQ143" s="79"/>
      <c r="DR143" s="79"/>
      <c r="DS143" s="79"/>
      <c r="DT143" s="79"/>
      <c r="DU143" s="79"/>
      <c r="DV143" s="79"/>
      <c r="DW143" s="79"/>
      <c r="DX143" s="79"/>
      <c r="DY143" s="79"/>
      <c r="DZ143" s="79"/>
      <c r="EA143" s="79"/>
      <c r="EB143" s="79"/>
      <c r="EC143" s="79"/>
      <c r="ED143" s="79"/>
      <c r="EE143" s="79"/>
      <c r="EF143" s="79"/>
      <c r="EG143" s="79"/>
      <c r="EH143" s="79"/>
      <c r="EI143" s="79"/>
      <c r="EJ143" s="79"/>
      <c r="EK143" s="79"/>
      <c r="EL143" s="79"/>
      <c r="EM143" s="79"/>
      <c r="EN143" s="79"/>
      <c r="EO143" s="79"/>
      <c r="EP143" s="79"/>
      <c r="EQ143" s="79"/>
      <c r="ER143" s="79"/>
      <c r="ES143" s="79"/>
      <c r="ET143" s="79"/>
      <c r="EU143" s="79"/>
      <c r="EV143" s="79"/>
      <c r="EW143" s="79"/>
      <c r="EX143" s="79"/>
      <c r="EY143" s="79"/>
      <c r="EZ143" s="79"/>
      <c r="FA143" s="79"/>
      <c r="FB143" s="79"/>
      <c r="FC143" s="79"/>
      <c r="FD143" s="79"/>
      <c r="FE143" s="79"/>
      <c r="FF143" s="79"/>
      <c r="FG143" s="79"/>
      <c r="FH143" s="79"/>
      <c r="FI143" s="79"/>
      <c r="FJ143" s="79"/>
      <c r="FK143" s="79"/>
      <c r="FL143" s="79"/>
      <c r="FM143" s="79"/>
      <c r="FN143" s="79"/>
      <c r="FO143" s="79"/>
      <c r="FP143" s="79"/>
      <c r="FQ143" s="79"/>
      <c r="FR143" s="79"/>
      <c r="FS143" s="79"/>
      <c r="FT143" s="79"/>
      <c r="FU143" s="79"/>
      <c r="FV143" s="79"/>
      <c r="FW143" s="79"/>
      <c r="FX143" s="79"/>
      <c r="FY143" s="79"/>
      <c r="FZ143" s="79"/>
      <c r="GA143" s="79"/>
      <c r="GB143" s="79"/>
      <c r="GC143" s="79"/>
      <c r="GD143" s="79"/>
      <c r="GE143" s="79"/>
      <c r="GF143" s="79"/>
      <c r="GG143" s="79"/>
      <c r="GH143" s="79"/>
    </row>
    <row r="144" spans="1:190" ht="14.25" x14ac:dyDescent="0.2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79"/>
      <c r="BU144" s="79"/>
      <c r="BV144" s="79"/>
      <c r="BW144" s="79"/>
      <c r="BX144" s="79"/>
      <c r="BY144" s="79"/>
      <c r="BZ144" s="79"/>
      <c r="CA144" s="79"/>
      <c r="CB144" s="79"/>
      <c r="CC144" s="79"/>
      <c r="CD144" s="79"/>
      <c r="CE144" s="79"/>
      <c r="CF144" s="79"/>
      <c r="CG144" s="79"/>
      <c r="CH144" s="79"/>
      <c r="CI144" s="79"/>
      <c r="CJ144" s="79"/>
      <c r="CK144" s="79"/>
      <c r="CL144" s="79"/>
      <c r="CM144" s="79"/>
      <c r="CN144" s="79"/>
      <c r="CO144" s="79"/>
      <c r="CP144" s="79"/>
      <c r="CQ144" s="79"/>
      <c r="CR144" s="79"/>
      <c r="CS144" s="79"/>
      <c r="CT144" s="79"/>
      <c r="CU144" s="79"/>
      <c r="CV144" s="79"/>
      <c r="CW144" s="79"/>
      <c r="CX144" s="79"/>
      <c r="CY144" s="79"/>
      <c r="CZ144" s="79"/>
      <c r="DA144" s="79"/>
      <c r="DB144" s="79"/>
      <c r="DC144" s="79"/>
      <c r="DD144" s="79"/>
      <c r="DE144" s="79"/>
      <c r="DF144" s="79"/>
      <c r="DG144" s="79"/>
      <c r="DH144" s="79"/>
      <c r="DI144" s="79"/>
      <c r="DJ144" s="79"/>
      <c r="DK144" s="79"/>
      <c r="DL144" s="79"/>
      <c r="DM144" s="79"/>
      <c r="DN144" s="79"/>
      <c r="DO144" s="79"/>
      <c r="DP144" s="79"/>
      <c r="DQ144" s="79"/>
      <c r="DR144" s="79"/>
      <c r="DS144" s="79"/>
      <c r="DT144" s="79"/>
      <c r="DU144" s="79"/>
      <c r="DV144" s="79"/>
      <c r="DW144" s="79"/>
      <c r="DX144" s="79"/>
      <c r="DY144" s="79"/>
      <c r="DZ144" s="79"/>
      <c r="EA144" s="79"/>
      <c r="EB144" s="79"/>
      <c r="EC144" s="79"/>
      <c r="ED144" s="79"/>
      <c r="EE144" s="79"/>
      <c r="EF144" s="79"/>
      <c r="EG144" s="79"/>
      <c r="EH144" s="79"/>
      <c r="EI144" s="79"/>
      <c r="EJ144" s="79"/>
      <c r="EK144" s="79"/>
      <c r="EL144" s="79"/>
      <c r="EM144" s="79"/>
      <c r="EN144" s="79"/>
      <c r="EO144" s="79"/>
      <c r="EP144" s="79"/>
      <c r="EQ144" s="79"/>
      <c r="ER144" s="79"/>
      <c r="ES144" s="79"/>
      <c r="ET144" s="79"/>
      <c r="EU144" s="79"/>
      <c r="EV144" s="79"/>
      <c r="EW144" s="79"/>
      <c r="EX144" s="79"/>
      <c r="EY144" s="79"/>
      <c r="EZ144" s="79"/>
      <c r="FA144" s="79"/>
      <c r="FB144" s="79"/>
      <c r="FC144" s="79"/>
      <c r="FD144" s="79"/>
      <c r="FE144" s="79"/>
      <c r="FF144" s="79"/>
      <c r="FG144" s="79"/>
      <c r="FH144" s="79"/>
      <c r="FI144" s="79"/>
      <c r="FJ144" s="79"/>
      <c r="FK144" s="79"/>
      <c r="FL144" s="79"/>
      <c r="FM144" s="79"/>
      <c r="FN144" s="79"/>
      <c r="FO144" s="79"/>
      <c r="FP144" s="79"/>
      <c r="FQ144" s="79"/>
      <c r="FR144" s="79"/>
      <c r="FS144" s="79"/>
      <c r="FT144" s="79"/>
      <c r="FU144" s="79"/>
      <c r="FV144" s="79"/>
      <c r="FW144" s="79"/>
      <c r="FX144" s="79"/>
      <c r="FY144" s="79"/>
      <c r="FZ144" s="79"/>
      <c r="GA144" s="79"/>
      <c r="GB144" s="79"/>
      <c r="GC144" s="79"/>
      <c r="GD144" s="79"/>
      <c r="GE144" s="79"/>
      <c r="GF144" s="79"/>
      <c r="GG144" s="79"/>
      <c r="GH144" s="79"/>
    </row>
    <row r="145" spans="1:190" ht="14.25" x14ac:dyDescent="0.2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BX145" s="79"/>
      <c r="BY145" s="79"/>
      <c r="BZ145" s="79"/>
      <c r="CA145" s="79"/>
      <c r="CB145" s="79"/>
      <c r="CC145" s="79"/>
      <c r="CD145" s="79"/>
      <c r="CE145" s="79"/>
      <c r="CF145" s="79"/>
      <c r="CG145" s="79"/>
      <c r="CH145" s="79"/>
      <c r="CI145" s="79"/>
      <c r="CJ145" s="79"/>
      <c r="CK145" s="79"/>
      <c r="CL145" s="79"/>
      <c r="CM145" s="79"/>
      <c r="CN145" s="79"/>
      <c r="CO145" s="79"/>
      <c r="CP145" s="79"/>
      <c r="CQ145" s="79"/>
      <c r="CR145" s="79"/>
      <c r="CS145" s="79"/>
      <c r="CT145" s="79"/>
      <c r="CU145" s="79"/>
      <c r="CV145" s="79"/>
      <c r="CW145" s="79"/>
      <c r="CX145" s="79"/>
      <c r="CY145" s="79"/>
      <c r="CZ145" s="79"/>
      <c r="DA145" s="79"/>
      <c r="DB145" s="79"/>
      <c r="DC145" s="79"/>
      <c r="DD145" s="79"/>
      <c r="DE145" s="79"/>
      <c r="DF145" s="79"/>
      <c r="DG145" s="79"/>
      <c r="DH145" s="79"/>
      <c r="DI145" s="79"/>
      <c r="DJ145" s="79"/>
      <c r="DK145" s="79"/>
      <c r="DL145" s="79"/>
      <c r="DM145" s="79"/>
      <c r="DN145" s="79"/>
      <c r="DO145" s="79"/>
      <c r="DP145" s="79"/>
      <c r="DQ145" s="79"/>
      <c r="DR145" s="79"/>
      <c r="DS145" s="79"/>
      <c r="DT145" s="79"/>
      <c r="DU145" s="79"/>
      <c r="DV145" s="79"/>
      <c r="DW145" s="79"/>
      <c r="DX145" s="79"/>
      <c r="DY145" s="79"/>
      <c r="DZ145" s="79"/>
      <c r="EA145" s="79"/>
      <c r="EB145" s="79"/>
      <c r="EC145" s="79"/>
      <c r="ED145" s="79"/>
      <c r="EE145" s="79"/>
      <c r="EF145" s="79"/>
      <c r="EG145" s="79"/>
      <c r="EH145" s="79"/>
      <c r="EI145" s="79"/>
      <c r="EJ145" s="79"/>
      <c r="EK145" s="79"/>
      <c r="EL145" s="79"/>
      <c r="EM145" s="79"/>
      <c r="EN145" s="79"/>
      <c r="EO145" s="79"/>
      <c r="EP145" s="79"/>
      <c r="EQ145" s="79"/>
      <c r="ER145" s="79"/>
      <c r="ES145" s="79"/>
      <c r="ET145" s="79"/>
      <c r="EU145" s="79"/>
      <c r="EV145" s="79"/>
      <c r="EW145" s="79"/>
      <c r="EX145" s="79"/>
      <c r="EY145" s="79"/>
      <c r="EZ145" s="79"/>
      <c r="FA145" s="79"/>
      <c r="FB145" s="79"/>
      <c r="FC145" s="79"/>
      <c r="FD145" s="79"/>
      <c r="FE145" s="79"/>
      <c r="FF145" s="79"/>
      <c r="FG145" s="79"/>
      <c r="FH145" s="79"/>
      <c r="FI145" s="79"/>
      <c r="FJ145" s="79"/>
      <c r="FK145" s="79"/>
      <c r="FL145" s="79"/>
      <c r="FM145" s="79"/>
      <c r="FN145" s="79"/>
      <c r="FO145" s="79"/>
      <c r="FP145" s="79"/>
      <c r="FQ145" s="79"/>
      <c r="FR145" s="79"/>
      <c r="FS145" s="79"/>
      <c r="FT145" s="79"/>
      <c r="FU145" s="79"/>
      <c r="FV145" s="79"/>
      <c r="FW145" s="79"/>
      <c r="FX145" s="79"/>
      <c r="FY145" s="79"/>
      <c r="FZ145" s="79"/>
      <c r="GA145" s="79"/>
      <c r="GB145" s="79"/>
      <c r="GC145" s="79"/>
      <c r="GD145" s="79"/>
      <c r="GE145" s="79"/>
      <c r="GF145" s="79"/>
      <c r="GG145" s="79"/>
      <c r="GH145" s="79"/>
    </row>
    <row r="146" spans="1:190" ht="14.25" x14ac:dyDescent="0.2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  <c r="AS146" s="79"/>
      <c r="AT146" s="79"/>
      <c r="AU146" s="79"/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BX146" s="79"/>
      <c r="BY146" s="79"/>
      <c r="BZ146" s="79"/>
      <c r="CA146" s="79"/>
      <c r="CB146" s="79"/>
      <c r="CC146" s="79"/>
      <c r="CD146" s="79"/>
      <c r="CE146" s="79"/>
      <c r="CF146" s="79"/>
      <c r="CG146" s="79"/>
      <c r="CH146" s="79"/>
      <c r="CI146" s="79"/>
      <c r="CJ146" s="79"/>
      <c r="CK146" s="79"/>
      <c r="CL146" s="79"/>
      <c r="CM146" s="79"/>
      <c r="CN146" s="79"/>
      <c r="CO146" s="79"/>
      <c r="CP146" s="79"/>
      <c r="CQ146" s="79"/>
      <c r="CR146" s="79"/>
      <c r="CS146" s="79"/>
      <c r="CT146" s="79"/>
      <c r="CU146" s="79"/>
      <c r="CV146" s="79"/>
      <c r="CW146" s="79"/>
      <c r="CX146" s="79"/>
      <c r="CY146" s="79"/>
      <c r="CZ146" s="79"/>
      <c r="DA146" s="79"/>
      <c r="DB146" s="79"/>
      <c r="DC146" s="79"/>
      <c r="DD146" s="79"/>
      <c r="DE146" s="79"/>
      <c r="DF146" s="79"/>
      <c r="DG146" s="79"/>
      <c r="DH146" s="79"/>
      <c r="DI146" s="79"/>
      <c r="DJ146" s="79"/>
      <c r="DK146" s="79"/>
      <c r="DL146" s="79"/>
      <c r="DM146" s="79"/>
      <c r="DN146" s="79"/>
      <c r="DO146" s="79"/>
      <c r="DP146" s="79"/>
      <c r="DQ146" s="79"/>
      <c r="DR146" s="79"/>
      <c r="DS146" s="79"/>
      <c r="DT146" s="79"/>
      <c r="DU146" s="79"/>
      <c r="DV146" s="79"/>
      <c r="DW146" s="79"/>
      <c r="DX146" s="79"/>
      <c r="DY146" s="79"/>
      <c r="DZ146" s="79"/>
      <c r="EA146" s="79"/>
      <c r="EB146" s="79"/>
      <c r="EC146" s="79"/>
      <c r="ED146" s="79"/>
      <c r="EE146" s="79"/>
      <c r="EF146" s="79"/>
      <c r="EG146" s="79"/>
      <c r="EH146" s="79"/>
      <c r="EI146" s="79"/>
      <c r="EJ146" s="79"/>
      <c r="EK146" s="79"/>
      <c r="EL146" s="79"/>
      <c r="EM146" s="79"/>
      <c r="EN146" s="79"/>
      <c r="EO146" s="79"/>
      <c r="EP146" s="79"/>
      <c r="EQ146" s="79"/>
      <c r="ER146" s="79"/>
      <c r="ES146" s="79"/>
      <c r="ET146" s="79"/>
      <c r="EU146" s="79"/>
      <c r="EV146" s="79"/>
      <c r="EW146" s="79"/>
      <c r="EX146" s="79"/>
      <c r="EY146" s="79"/>
      <c r="EZ146" s="79"/>
      <c r="FA146" s="79"/>
      <c r="FB146" s="79"/>
      <c r="FC146" s="79"/>
      <c r="FD146" s="79"/>
      <c r="FE146" s="79"/>
      <c r="FF146" s="79"/>
      <c r="FG146" s="79"/>
      <c r="FH146" s="79"/>
      <c r="FI146" s="79"/>
      <c r="FJ146" s="79"/>
      <c r="FK146" s="79"/>
      <c r="FL146" s="79"/>
      <c r="FM146" s="79"/>
      <c r="FN146" s="79"/>
      <c r="FO146" s="79"/>
      <c r="FP146" s="79"/>
      <c r="FQ146" s="79"/>
      <c r="FR146" s="79"/>
      <c r="FS146" s="79"/>
      <c r="FT146" s="79"/>
      <c r="FU146" s="79"/>
      <c r="FV146" s="79"/>
      <c r="FW146" s="79"/>
      <c r="FX146" s="79"/>
      <c r="FY146" s="79"/>
      <c r="FZ146" s="79"/>
      <c r="GA146" s="79"/>
      <c r="GB146" s="79"/>
      <c r="GC146" s="79"/>
      <c r="GD146" s="79"/>
      <c r="GE146" s="79"/>
      <c r="GF146" s="79"/>
      <c r="GG146" s="79"/>
      <c r="GH146" s="79"/>
    </row>
    <row r="147" spans="1:190" ht="14.25" x14ac:dyDescent="0.2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79"/>
      <c r="CC147" s="79"/>
      <c r="CD147" s="79"/>
      <c r="CE147" s="79"/>
      <c r="CF147" s="79"/>
      <c r="CG147" s="79"/>
      <c r="CH147" s="79"/>
      <c r="CI147" s="79"/>
      <c r="CJ147" s="79"/>
      <c r="CK147" s="79"/>
      <c r="CL147" s="79"/>
      <c r="CM147" s="79"/>
      <c r="CN147" s="79"/>
      <c r="CO147" s="79"/>
      <c r="CP147" s="79"/>
      <c r="CQ147" s="79"/>
      <c r="CR147" s="79"/>
      <c r="CS147" s="79"/>
      <c r="CT147" s="79"/>
      <c r="CU147" s="79"/>
      <c r="CV147" s="79"/>
      <c r="CW147" s="79"/>
      <c r="CX147" s="79"/>
      <c r="CY147" s="79"/>
      <c r="CZ147" s="79"/>
      <c r="DA147" s="79"/>
      <c r="DB147" s="79"/>
      <c r="DC147" s="79"/>
      <c r="DD147" s="79"/>
      <c r="DE147" s="79"/>
      <c r="DF147" s="79"/>
      <c r="DG147" s="79"/>
      <c r="DH147" s="79"/>
      <c r="DI147" s="79"/>
      <c r="DJ147" s="79"/>
      <c r="DK147" s="79"/>
      <c r="DL147" s="79"/>
      <c r="DM147" s="79"/>
      <c r="DN147" s="79"/>
      <c r="DO147" s="79"/>
      <c r="DP147" s="79"/>
      <c r="DQ147" s="79"/>
      <c r="DR147" s="79"/>
      <c r="DS147" s="79"/>
      <c r="DT147" s="79"/>
      <c r="DU147" s="79"/>
      <c r="DV147" s="79"/>
      <c r="DW147" s="79"/>
      <c r="DX147" s="79"/>
      <c r="DY147" s="79"/>
      <c r="DZ147" s="79"/>
      <c r="EA147" s="79"/>
      <c r="EB147" s="79"/>
      <c r="EC147" s="79"/>
      <c r="ED147" s="79"/>
      <c r="EE147" s="79"/>
      <c r="EF147" s="79"/>
      <c r="EG147" s="79"/>
      <c r="EH147" s="79"/>
      <c r="EI147" s="79"/>
      <c r="EJ147" s="79"/>
      <c r="EK147" s="79"/>
      <c r="EL147" s="79"/>
      <c r="EM147" s="79"/>
      <c r="EN147" s="79"/>
      <c r="EO147" s="79"/>
      <c r="EP147" s="79"/>
      <c r="EQ147" s="79"/>
      <c r="ER147" s="79"/>
      <c r="ES147" s="79"/>
      <c r="ET147" s="79"/>
      <c r="EU147" s="79"/>
      <c r="EV147" s="79"/>
      <c r="EW147" s="79"/>
      <c r="EX147" s="79"/>
      <c r="EY147" s="79"/>
      <c r="EZ147" s="79"/>
      <c r="FA147" s="79"/>
      <c r="FB147" s="79"/>
      <c r="FC147" s="79"/>
      <c r="FD147" s="79"/>
      <c r="FE147" s="79"/>
      <c r="FF147" s="79"/>
      <c r="FG147" s="79"/>
      <c r="FH147" s="79"/>
      <c r="FI147" s="79"/>
      <c r="FJ147" s="79"/>
      <c r="FK147" s="79"/>
      <c r="FL147" s="79"/>
      <c r="FM147" s="79"/>
      <c r="FN147" s="79"/>
      <c r="FO147" s="79"/>
      <c r="FP147" s="79"/>
      <c r="FQ147" s="79"/>
      <c r="FR147" s="79"/>
      <c r="FS147" s="79"/>
      <c r="FT147" s="79"/>
      <c r="FU147" s="79"/>
      <c r="FV147" s="79"/>
      <c r="FW147" s="79"/>
      <c r="FX147" s="79"/>
      <c r="FY147" s="79"/>
      <c r="FZ147" s="79"/>
      <c r="GA147" s="79"/>
      <c r="GB147" s="79"/>
      <c r="GC147" s="79"/>
      <c r="GD147" s="79"/>
      <c r="GE147" s="79"/>
      <c r="GF147" s="79"/>
      <c r="GG147" s="79"/>
      <c r="GH147" s="79"/>
    </row>
    <row r="148" spans="1:190" ht="14.25" x14ac:dyDescent="0.2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  <c r="CC148" s="79"/>
      <c r="CD148" s="79"/>
      <c r="CE148" s="79"/>
      <c r="CF148" s="79"/>
      <c r="CG148" s="79"/>
      <c r="CH148" s="79"/>
      <c r="CI148" s="79"/>
      <c r="CJ148" s="79"/>
      <c r="CK148" s="79"/>
      <c r="CL148" s="79"/>
      <c r="CM148" s="79"/>
      <c r="CN148" s="79"/>
      <c r="CO148" s="79"/>
      <c r="CP148" s="79"/>
      <c r="CQ148" s="79"/>
      <c r="CR148" s="79"/>
      <c r="CS148" s="79"/>
      <c r="CT148" s="79"/>
      <c r="CU148" s="79"/>
      <c r="CV148" s="79"/>
      <c r="CW148" s="79"/>
      <c r="CX148" s="79"/>
      <c r="CY148" s="79"/>
      <c r="CZ148" s="79"/>
      <c r="DA148" s="79"/>
      <c r="DB148" s="79"/>
      <c r="DC148" s="79"/>
      <c r="DD148" s="79"/>
      <c r="DE148" s="79"/>
      <c r="DF148" s="79"/>
      <c r="DG148" s="79"/>
      <c r="DH148" s="79"/>
      <c r="DI148" s="79"/>
      <c r="DJ148" s="79"/>
      <c r="DK148" s="79"/>
      <c r="DL148" s="79"/>
      <c r="DM148" s="79"/>
      <c r="DN148" s="79"/>
      <c r="DO148" s="79"/>
      <c r="DP148" s="79"/>
      <c r="DQ148" s="79"/>
      <c r="DR148" s="79"/>
      <c r="DS148" s="79"/>
      <c r="DT148" s="79"/>
      <c r="DU148" s="79"/>
      <c r="DV148" s="79"/>
      <c r="DW148" s="79"/>
      <c r="DX148" s="79"/>
      <c r="DY148" s="79"/>
      <c r="DZ148" s="79"/>
      <c r="EA148" s="79"/>
      <c r="EB148" s="79"/>
      <c r="EC148" s="79"/>
      <c r="ED148" s="79"/>
      <c r="EE148" s="79"/>
      <c r="EF148" s="79"/>
      <c r="EG148" s="79"/>
      <c r="EH148" s="79"/>
      <c r="EI148" s="79"/>
      <c r="EJ148" s="79"/>
      <c r="EK148" s="79"/>
      <c r="EL148" s="79"/>
      <c r="EM148" s="79"/>
      <c r="EN148" s="79"/>
      <c r="EO148" s="79"/>
      <c r="EP148" s="79"/>
      <c r="EQ148" s="79"/>
      <c r="ER148" s="79"/>
      <c r="ES148" s="79"/>
      <c r="ET148" s="79"/>
      <c r="EU148" s="79"/>
      <c r="EV148" s="79"/>
      <c r="EW148" s="79"/>
      <c r="EX148" s="79"/>
      <c r="EY148" s="79"/>
      <c r="EZ148" s="79"/>
      <c r="FA148" s="79"/>
      <c r="FB148" s="79"/>
      <c r="FC148" s="79"/>
      <c r="FD148" s="79"/>
      <c r="FE148" s="79"/>
      <c r="FF148" s="79"/>
      <c r="FG148" s="79"/>
      <c r="FH148" s="79"/>
      <c r="FI148" s="79"/>
      <c r="FJ148" s="79"/>
      <c r="FK148" s="79"/>
      <c r="FL148" s="79"/>
      <c r="FM148" s="79"/>
      <c r="FN148" s="79"/>
      <c r="FO148" s="79"/>
      <c r="FP148" s="79"/>
      <c r="FQ148" s="79"/>
      <c r="FR148" s="79"/>
      <c r="FS148" s="79"/>
      <c r="FT148" s="79"/>
      <c r="FU148" s="79"/>
      <c r="FV148" s="79"/>
      <c r="FW148" s="79"/>
      <c r="FX148" s="79"/>
      <c r="FY148" s="79"/>
      <c r="FZ148" s="79"/>
      <c r="GA148" s="79"/>
      <c r="GB148" s="79"/>
      <c r="GC148" s="79"/>
      <c r="GD148" s="79"/>
      <c r="GE148" s="79"/>
      <c r="GF148" s="79"/>
      <c r="GG148" s="79"/>
      <c r="GH148" s="79"/>
    </row>
    <row r="149" spans="1:190" ht="14.25" x14ac:dyDescent="0.2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  <c r="CR149" s="79"/>
      <c r="CS149" s="79"/>
      <c r="CT149" s="79"/>
      <c r="CU149" s="79"/>
      <c r="CV149" s="79"/>
      <c r="CW149" s="79"/>
      <c r="CX149" s="79"/>
      <c r="CY149" s="79"/>
      <c r="CZ149" s="79"/>
      <c r="DA149" s="79"/>
      <c r="DB149" s="79"/>
      <c r="DC149" s="79"/>
      <c r="DD149" s="79"/>
      <c r="DE149" s="79"/>
      <c r="DF149" s="79"/>
      <c r="DG149" s="79"/>
      <c r="DH149" s="79"/>
      <c r="DI149" s="79"/>
      <c r="DJ149" s="79"/>
      <c r="DK149" s="79"/>
      <c r="DL149" s="79"/>
      <c r="DM149" s="79"/>
      <c r="DN149" s="79"/>
      <c r="DO149" s="79"/>
      <c r="DP149" s="79"/>
      <c r="DQ149" s="79"/>
      <c r="DR149" s="79"/>
      <c r="DS149" s="79"/>
      <c r="DT149" s="79"/>
      <c r="DU149" s="79"/>
      <c r="DV149" s="79"/>
      <c r="DW149" s="79"/>
      <c r="DX149" s="79"/>
      <c r="DY149" s="79"/>
      <c r="DZ149" s="79"/>
      <c r="EA149" s="79"/>
      <c r="EB149" s="79"/>
      <c r="EC149" s="79"/>
      <c r="ED149" s="79"/>
      <c r="EE149" s="79"/>
      <c r="EF149" s="79"/>
      <c r="EG149" s="79"/>
      <c r="EH149" s="79"/>
      <c r="EI149" s="79"/>
      <c r="EJ149" s="79"/>
      <c r="EK149" s="79"/>
      <c r="EL149" s="79"/>
      <c r="EM149" s="79"/>
      <c r="EN149" s="79"/>
      <c r="EO149" s="79"/>
      <c r="EP149" s="79"/>
      <c r="EQ149" s="79"/>
      <c r="ER149" s="79"/>
      <c r="ES149" s="79"/>
      <c r="ET149" s="79"/>
      <c r="EU149" s="79"/>
      <c r="EV149" s="79"/>
      <c r="EW149" s="79"/>
      <c r="EX149" s="79"/>
      <c r="EY149" s="79"/>
      <c r="EZ149" s="79"/>
      <c r="FA149" s="79"/>
      <c r="FB149" s="79"/>
      <c r="FC149" s="79"/>
      <c r="FD149" s="79"/>
      <c r="FE149" s="79"/>
      <c r="FF149" s="79"/>
      <c r="FG149" s="79"/>
      <c r="FH149" s="79"/>
      <c r="FI149" s="79"/>
      <c r="FJ149" s="79"/>
      <c r="FK149" s="79"/>
      <c r="FL149" s="79"/>
      <c r="FM149" s="79"/>
      <c r="FN149" s="79"/>
      <c r="FO149" s="79"/>
      <c r="FP149" s="79"/>
      <c r="FQ149" s="79"/>
      <c r="FR149" s="79"/>
      <c r="FS149" s="79"/>
      <c r="FT149" s="79"/>
      <c r="FU149" s="79"/>
      <c r="FV149" s="79"/>
      <c r="FW149" s="79"/>
      <c r="FX149" s="79"/>
      <c r="FY149" s="79"/>
      <c r="FZ149" s="79"/>
      <c r="GA149" s="79"/>
      <c r="GB149" s="79"/>
      <c r="GC149" s="79"/>
      <c r="GD149" s="79"/>
      <c r="GE149" s="79"/>
      <c r="GF149" s="79"/>
      <c r="GG149" s="79"/>
      <c r="GH149" s="79"/>
    </row>
    <row r="150" spans="1:190" ht="14.25" x14ac:dyDescent="0.2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  <c r="CC150" s="79"/>
      <c r="CD150" s="79"/>
      <c r="CE150" s="79"/>
      <c r="CF150" s="79"/>
      <c r="CG150" s="79"/>
      <c r="CH150" s="79"/>
      <c r="CI150" s="79"/>
      <c r="CJ150" s="79"/>
      <c r="CK150" s="79"/>
      <c r="CL150" s="79"/>
      <c r="CM150" s="79"/>
      <c r="CN150" s="79"/>
      <c r="CO150" s="79"/>
      <c r="CP150" s="79"/>
      <c r="CQ150" s="79"/>
      <c r="CR150" s="79"/>
      <c r="CS150" s="79"/>
      <c r="CT150" s="79"/>
      <c r="CU150" s="79"/>
      <c r="CV150" s="79"/>
      <c r="CW150" s="79"/>
      <c r="CX150" s="79"/>
      <c r="CY150" s="79"/>
      <c r="CZ150" s="79"/>
      <c r="DA150" s="79"/>
      <c r="DB150" s="79"/>
      <c r="DC150" s="79"/>
      <c r="DD150" s="79"/>
      <c r="DE150" s="79"/>
      <c r="DF150" s="79"/>
      <c r="DG150" s="79"/>
      <c r="DH150" s="79"/>
      <c r="DI150" s="79"/>
      <c r="DJ150" s="79"/>
      <c r="DK150" s="79"/>
      <c r="DL150" s="79"/>
      <c r="DM150" s="79"/>
      <c r="DN150" s="79"/>
      <c r="DO150" s="79"/>
      <c r="DP150" s="79"/>
      <c r="DQ150" s="79"/>
      <c r="DR150" s="79"/>
      <c r="DS150" s="79"/>
      <c r="DT150" s="79"/>
      <c r="DU150" s="79"/>
      <c r="DV150" s="79"/>
      <c r="DW150" s="79"/>
      <c r="DX150" s="79"/>
      <c r="DY150" s="79"/>
      <c r="DZ150" s="79"/>
      <c r="EA150" s="79"/>
      <c r="EB150" s="79"/>
      <c r="EC150" s="79"/>
      <c r="ED150" s="79"/>
      <c r="EE150" s="79"/>
      <c r="EF150" s="79"/>
      <c r="EG150" s="79"/>
      <c r="EH150" s="79"/>
      <c r="EI150" s="79"/>
      <c r="EJ150" s="79"/>
      <c r="EK150" s="79"/>
      <c r="EL150" s="79"/>
      <c r="EM150" s="79"/>
      <c r="EN150" s="79"/>
      <c r="EO150" s="79"/>
      <c r="EP150" s="79"/>
      <c r="EQ150" s="79"/>
      <c r="ER150" s="79"/>
      <c r="ES150" s="79"/>
      <c r="ET150" s="79"/>
      <c r="EU150" s="79"/>
      <c r="EV150" s="79"/>
      <c r="EW150" s="79"/>
      <c r="EX150" s="79"/>
      <c r="EY150" s="79"/>
      <c r="EZ150" s="79"/>
      <c r="FA150" s="79"/>
      <c r="FB150" s="79"/>
      <c r="FC150" s="79"/>
      <c r="FD150" s="79"/>
      <c r="FE150" s="79"/>
      <c r="FF150" s="79"/>
      <c r="FG150" s="79"/>
      <c r="FH150" s="79"/>
      <c r="FI150" s="79"/>
      <c r="FJ150" s="79"/>
      <c r="FK150" s="79"/>
      <c r="FL150" s="79"/>
      <c r="FM150" s="79"/>
      <c r="FN150" s="79"/>
      <c r="FO150" s="79"/>
      <c r="FP150" s="79"/>
      <c r="FQ150" s="79"/>
      <c r="FR150" s="79"/>
      <c r="FS150" s="79"/>
      <c r="FT150" s="79"/>
      <c r="FU150" s="79"/>
      <c r="FV150" s="79"/>
      <c r="FW150" s="79"/>
      <c r="FX150" s="79"/>
      <c r="FY150" s="79"/>
      <c r="FZ150" s="79"/>
      <c r="GA150" s="79"/>
      <c r="GB150" s="79"/>
      <c r="GC150" s="79"/>
      <c r="GD150" s="79"/>
      <c r="GE150" s="79"/>
      <c r="GF150" s="79"/>
      <c r="GG150" s="79"/>
      <c r="GH150" s="79"/>
    </row>
    <row r="151" spans="1:190" ht="14.25" x14ac:dyDescent="0.2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  <c r="CC151" s="79"/>
      <c r="CD151" s="79"/>
      <c r="CE151" s="79"/>
      <c r="CF151" s="79"/>
      <c r="CG151" s="79"/>
      <c r="CH151" s="79"/>
      <c r="CI151" s="79"/>
      <c r="CJ151" s="79"/>
      <c r="CK151" s="79"/>
      <c r="CL151" s="79"/>
      <c r="CM151" s="79"/>
      <c r="CN151" s="79"/>
      <c r="CO151" s="79"/>
      <c r="CP151" s="79"/>
      <c r="CQ151" s="79"/>
      <c r="CR151" s="79"/>
      <c r="CS151" s="79"/>
      <c r="CT151" s="79"/>
      <c r="CU151" s="79"/>
      <c r="CV151" s="79"/>
      <c r="CW151" s="79"/>
      <c r="CX151" s="79"/>
      <c r="CY151" s="79"/>
      <c r="CZ151" s="79"/>
      <c r="DA151" s="79"/>
      <c r="DB151" s="79"/>
      <c r="DC151" s="79"/>
      <c r="DD151" s="79"/>
      <c r="DE151" s="79"/>
      <c r="DF151" s="79"/>
      <c r="DG151" s="79"/>
      <c r="DH151" s="79"/>
      <c r="DI151" s="79"/>
      <c r="DJ151" s="79"/>
      <c r="DK151" s="79"/>
      <c r="DL151" s="79"/>
      <c r="DM151" s="79"/>
      <c r="DN151" s="79"/>
      <c r="DO151" s="79"/>
      <c r="DP151" s="79"/>
      <c r="DQ151" s="79"/>
      <c r="DR151" s="79"/>
      <c r="DS151" s="79"/>
      <c r="DT151" s="79"/>
      <c r="DU151" s="79"/>
      <c r="DV151" s="79"/>
      <c r="DW151" s="79"/>
      <c r="DX151" s="79"/>
      <c r="DY151" s="79"/>
      <c r="DZ151" s="79"/>
      <c r="EA151" s="79"/>
      <c r="EB151" s="79"/>
      <c r="EC151" s="79"/>
      <c r="ED151" s="79"/>
      <c r="EE151" s="79"/>
      <c r="EF151" s="79"/>
      <c r="EG151" s="79"/>
      <c r="EH151" s="79"/>
      <c r="EI151" s="79"/>
      <c r="EJ151" s="79"/>
      <c r="EK151" s="79"/>
      <c r="EL151" s="79"/>
      <c r="EM151" s="79"/>
      <c r="EN151" s="79"/>
      <c r="EO151" s="79"/>
      <c r="EP151" s="79"/>
      <c r="EQ151" s="79"/>
      <c r="ER151" s="79"/>
      <c r="ES151" s="79"/>
      <c r="ET151" s="79"/>
      <c r="EU151" s="79"/>
      <c r="EV151" s="79"/>
      <c r="EW151" s="79"/>
      <c r="EX151" s="79"/>
      <c r="EY151" s="79"/>
      <c r="EZ151" s="79"/>
      <c r="FA151" s="79"/>
      <c r="FB151" s="79"/>
      <c r="FC151" s="79"/>
      <c r="FD151" s="79"/>
      <c r="FE151" s="79"/>
      <c r="FF151" s="79"/>
      <c r="FG151" s="79"/>
      <c r="FH151" s="79"/>
      <c r="FI151" s="79"/>
      <c r="FJ151" s="79"/>
      <c r="FK151" s="79"/>
      <c r="FL151" s="79"/>
      <c r="FM151" s="79"/>
      <c r="FN151" s="79"/>
      <c r="FO151" s="79"/>
      <c r="FP151" s="79"/>
      <c r="FQ151" s="79"/>
      <c r="FR151" s="79"/>
      <c r="FS151" s="79"/>
      <c r="FT151" s="79"/>
      <c r="FU151" s="79"/>
      <c r="FV151" s="79"/>
      <c r="FW151" s="79"/>
      <c r="FX151" s="79"/>
      <c r="FY151" s="79"/>
      <c r="FZ151" s="79"/>
      <c r="GA151" s="79"/>
      <c r="GB151" s="79"/>
      <c r="GC151" s="79"/>
      <c r="GD151" s="79"/>
      <c r="GE151" s="79"/>
      <c r="GF151" s="79"/>
      <c r="GG151" s="79"/>
      <c r="GH151" s="79"/>
    </row>
    <row r="152" spans="1:190" ht="14.25" x14ac:dyDescent="0.2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  <c r="CC152" s="79"/>
      <c r="CD152" s="79"/>
      <c r="CE152" s="79"/>
      <c r="CF152" s="79"/>
      <c r="CG152" s="79"/>
      <c r="CH152" s="79"/>
      <c r="CI152" s="79"/>
      <c r="CJ152" s="79"/>
      <c r="CK152" s="79"/>
      <c r="CL152" s="79"/>
      <c r="CM152" s="79"/>
      <c r="CN152" s="79"/>
      <c r="CO152" s="79"/>
      <c r="CP152" s="79"/>
      <c r="CQ152" s="79"/>
      <c r="CR152" s="79"/>
      <c r="CS152" s="79"/>
      <c r="CT152" s="79"/>
      <c r="CU152" s="79"/>
      <c r="CV152" s="79"/>
      <c r="CW152" s="79"/>
      <c r="CX152" s="79"/>
      <c r="CY152" s="79"/>
      <c r="CZ152" s="79"/>
      <c r="DA152" s="79"/>
      <c r="DB152" s="79"/>
      <c r="DC152" s="79"/>
      <c r="DD152" s="79"/>
      <c r="DE152" s="79"/>
      <c r="DF152" s="79"/>
      <c r="DG152" s="79"/>
      <c r="DH152" s="79"/>
      <c r="DI152" s="79"/>
      <c r="DJ152" s="79"/>
      <c r="DK152" s="79"/>
      <c r="DL152" s="79"/>
      <c r="DM152" s="79"/>
      <c r="DN152" s="79"/>
      <c r="DO152" s="79"/>
      <c r="DP152" s="79"/>
      <c r="DQ152" s="79"/>
      <c r="DR152" s="79"/>
      <c r="DS152" s="79"/>
      <c r="DT152" s="79"/>
      <c r="DU152" s="79"/>
      <c r="DV152" s="79"/>
      <c r="DW152" s="79"/>
      <c r="DX152" s="79"/>
      <c r="DY152" s="79"/>
      <c r="DZ152" s="79"/>
      <c r="EA152" s="79"/>
      <c r="EB152" s="79"/>
      <c r="EC152" s="79"/>
      <c r="ED152" s="79"/>
      <c r="EE152" s="79"/>
      <c r="EF152" s="79"/>
      <c r="EG152" s="79"/>
      <c r="EH152" s="79"/>
      <c r="EI152" s="79"/>
      <c r="EJ152" s="79"/>
      <c r="EK152" s="79"/>
      <c r="EL152" s="79"/>
      <c r="EM152" s="79"/>
      <c r="EN152" s="79"/>
      <c r="EO152" s="79"/>
      <c r="EP152" s="79"/>
      <c r="EQ152" s="79"/>
      <c r="ER152" s="79"/>
      <c r="ES152" s="79"/>
      <c r="ET152" s="79"/>
      <c r="EU152" s="79"/>
      <c r="EV152" s="79"/>
      <c r="EW152" s="79"/>
      <c r="EX152" s="79"/>
      <c r="EY152" s="79"/>
      <c r="EZ152" s="79"/>
      <c r="FA152" s="79"/>
      <c r="FB152" s="79"/>
      <c r="FC152" s="79"/>
      <c r="FD152" s="79"/>
      <c r="FE152" s="79"/>
      <c r="FF152" s="79"/>
      <c r="FG152" s="79"/>
      <c r="FH152" s="79"/>
      <c r="FI152" s="79"/>
      <c r="FJ152" s="79"/>
      <c r="FK152" s="79"/>
      <c r="FL152" s="79"/>
      <c r="FM152" s="79"/>
      <c r="FN152" s="79"/>
      <c r="FO152" s="79"/>
      <c r="FP152" s="79"/>
      <c r="FQ152" s="79"/>
      <c r="FR152" s="79"/>
      <c r="FS152" s="79"/>
      <c r="FT152" s="79"/>
      <c r="FU152" s="79"/>
      <c r="FV152" s="79"/>
      <c r="FW152" s="79"/>
      <c r="FX152" s="79"/>
      <c r="FY152" s="79"/>
      <c r="FZ152" s="79"/>
      <c r="GA152" s="79"/>
      <c r="GB152" s="79"/>
      <c r="GC152" s="79"/>
      <c r="GD152" s="79"/>
      <c r="GE152" s="79"/>
      <c r="GF152" s="79"/>
      <c r="GG152" s="79"/>
      <c r="GH152" s="79"/>
    </row>
    <row r="153" spans="1:190" ht="14.25" x14ac:dyDescent="0.2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  <c r="BZ153" s="79"/>
      <c r="CA153" s="79"/>
      <c r="CB153" s="79"/>
      <c r="CC153" s="79"/>
      <c r="CD153" s="79"/>
      <c r="CE153" s="79"/>
      <c r="CF153" s="79"/>
      <c r="CG153" s="79"/>
      <c r="CH153" s="79"/>
      <c r="CI153" s="79"/>
      <c r="CJ153" s="79"/>
      <c r="CK153" s="79"/>
      <c r="CL153" s="79"/>
      <c r="CM153" s="79"/>
      <c r="CN153" s="79"/>
      <c r="CO153" s="79"/>
      <c r="CP153" s="79"/>
      <c r="CQ153" s="79"/>
      <c r="CR153" s="79"/>
      <c r="CS153" s="79"/>
      <c r="CT153" s="79"/>
      <c r="CU153" s="79"/>
      <c r="CV153" s="79"/>
      <c r="CW153" s="79"/>
      <c r="CX153" s="79"/>
      <c r="CY153" s="79"/>
      <c r="CZ153" s="79"/>
      <c r="DA153" s="79"/>
      <c r="DB153" s="79"/>
      <c r="DC153" s="79"/>
      <c r="DD153" s="79"/>
      <c r="DE153" s="79"/>
      <c r="DF153" s="79"/>
      <c r="DG153" s="79"/>
      <c r="DH153" s="79"/>
      <c r="DI153" s="79"/>
      <c r="DJ153" s="79"/>
      <c r="DK153" s="79"/>
      <c r="DL153" s="79"/>
      <c r="DM153" s="79"/>
      <c r="DN153" s="79"/>
      <c r="DO153" s="79"/>
      <c r="DP153" s="79"/>
      <c r="DQ153" s="79"/>
      <c r="DR153" s="79"/>
      <c r="DS153" s="79"/>
      <c r="DT153" s="79"/>
      <c r="DU153" s="79"/>
      <c r="DV153" s="79"/>
      <c r="DW153" s="79"/>
      <c r="DX153" s="79"/>
      <c r="DY153" s="79"/>
      <c r="DZ153" s="79"/>
      <c r="EA153" s="79"/>
      <c r="EB153" s="79"/>
      <c r="EC153" s="79"/>
      <c r="ED153" s="79"/>
      <c r="EE153" s="79"/>
      <c r="EF153" s="79"/>
      <c r="EG153" s="79"/>
      <c r="EH153" s="79"/>
      <c r="EI153" s="79"/>
      <c r="EJ153" s="79"/>
      <c r="EK153" s="79"/>
      <c r="EL153" s="79"/>
      <c r="EM153" s="79"/>
      <c r="EN153" s="79"/>
      <c r="EO153" s="79"/>
      <c r="EP153" s="79"/>
      <c r="EQ153" s="79"/>
      <c r="ER153" s="79"/>
      <c r="ES153" s="79"/>
      <c r="ET153" s="79"/>
      <c r="EU153" s="79"/>
      <c r="EV153" s="79"/>
      <c r="EW153" s="79"/>
      <c r="EX153" s="79"/>
      <c r="EY153" s="79"/>
      <c r="EZ153" s="79"/>
      <c r="FA153" s="79"/>
      <c r="FB153" s="79"/>
      <c r="FC153" s="79"/>
      <c r="FD153" s="79"/>
      <c r="FE153" s="79"/>
      <c r="FF153" s="79"/>
      <c r="FG153" s="79"/>
      <c r="FH153" s="79"/>
      <c r="FI153" s="79"/>
      <c r="FJ153" s="79"/>
      <c r="FK153" s="79"/>
      <c r="FL153" s="79"/>
      <c r="FM153" s="79"/>
      <c r="FN153" s="79"/>
      <c r="FO153" s="79"/>
      <c r="FP153" s="79"/>
      <c r="FQ153" s="79"/>
      <c r="FR153" s="79"/>
      <c r="FS153" s="79"/>
      <c r="FT153" s="79"/>
      <c r="FU153" s="79"/>
      <c r="FV153" s="79"/>
      <c r="FW153" s="79"/>
      <c r="FX153" s="79"/>
      <c r="FY153" s="79"/>
      <c r="FZ153" s="79"/>
      <c r="GA153" s="79"/>
      <c r="GB153" s="79"/>
      <c r="GC153" s="79"/>
      <c r="GD153" s="79"/>
      <c r="GE153" s="79"/>
      <c r="GF153" s="79"/>
      <c r="GG153" s="79"/>
      <c r="GH153" s="79"/>
    </row>
    <row r="154" spans="1:190" ht="14.25" x14ac:dyDescent="0.2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  <c r="AU154" s="79"/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  <c r="CC154" s="79"/>
      <c r="CD154" s="79"/>
      <c r="CE154" s="79"/>
      <c r="CF154" s="79"/>
      <c r="CG154" s="79"/>
      <c r="CH154" s="79"/>
      <c r="CI154" s="79"/>
      <c r="CJ154" s="79"/>
      <c r="CK154" s="79"/>
      <c r="CL154" s="79"/>
      <c r="CM154" s="79"/>
      <c r="CN154" s="79"/>
      <c r="CO154" s="79"/>
      <c r="CP154" s="79"/>
      <c r="CQ154" s="79"/>
      <c r="CR154" s="79"/>
      <c r="CS154" s="79"/>
      <c r="CT154" s="79"/>
      <c r="CU154" s="79"/>
      <c r="CV154" s="79"/>
      <c r="CW154" s="79"/>
      <c r="CX154" s="79"/>
      <c r="CY154" s="79"/>
      <c r="CZ154" s="79"/>
      <c r="DA154" s="79"/>
      <c r="DB154" s="79"/>
      <c r="DC154" s="79"/>
      <c r="DD154" s="79"/>
      <c r="DE154" s="79"/>
      <c r="DF154" s="79"/>
      <c r="DG154" s="79"/>
      <c r="DH154" s="79"/>
      <c r="DI154" s="79"/>
      <c r="DJ154" s="79"/>
      <c r="DK154" s="79"/>
      <c r="DL154" s="79"/>
      <c r="DM154" s="79"/>
      <c r="DN154" s="79"/>
      <c r="DO154" s="79"/>
      <c r="DP154" s="79"/>
      <c r="DQ154" s="79"/>
      <c r="DR154" s="79"/>
      <c r="DS154" s="79"/>
      <c r="DT154" s="79"/>
      <c r="DU154" s="79"/>
      <c r="DV154" s="79"/>
      <c r="DW154" s="79"/>
      <c r="DX154" s="79"/>
      <c r="DY154" s="79"/>
      <c r="DZ154" s="79"/>
      <c r="EA154" s="79"/>
      <c r="EB154" s="79"/>
      <c r="EC154" s="79"/>
      <c r="ED154" s="79"/>
      <c r="EE154" s="79"/>
      <c r="EF154" s="79"/>
      <c r="EG154" s="79"/>
      <c r="EH154" s="79"/>
      <c r="EI154" s="79"/>
      <c r="EJ154" s="79"/>
      <c r="EK154" s="79"/>
      <c r="EL154" s="79"/>
      <c r="EM154" s="79"/>
      <c r="EN154" s="79"/>
      <c r="EO154" s="79"/>
      <c r="EP154" s="79"/>
      <c r="EQ154" s="79"/>
      <c r="ER154" s="79"/>
      <c r="ES154" s="79"/>
      <c r="ET154" s="79"/>
      <c r="EU154" s="79"/>
      <c r="EV154" s="79"/>
      <c r="EW154" s="79"/>
      <c r="EX154" s="79"/>
      <c r="EY154" s="79"/>
      <c r="EZ154" s="79"/>
      <c r="FA154" s="79"/>
      <c r="FB154" s="79"/>
      <c r="FC154" s="79"/>
      <c r="FD154" s="79"/>
      <c r="FE154" s="79"/>
      <c r="FF154" s="79"/>
      <c r="FG154" s="79"/>
      <c r="FH154" s="79"/>
      <c r="FI154" s="79"/>
      <c r="FJ154" s="79"/>
      <c r="FK154" s="79"/>
      <c r="FL154" s="79"/>
      <c r="FM154" s="79"/>
      <c r="FN154" s="79"/>
      <c r="FO154" s="79"/>
      <c r="FP154" s="79"/>
      <c r="FQ154" s="79"/>
      <c r="FR154" s="79"/>
      <c r="FS154" s="79"/>
      <c r="FT154" s="79"/>
      <c r="FU154" s="79"/>
      <c r="FV154" s="79"/>
      <c r="FW154" s="79"/>
      <c r="FX154" s="79"/>
      <c r="FY154" s="79"/>
      <c r="FZ154" s="79"/>
      <c r="GA154" s="79"/>
      <c r="GB154" s="79"/>
      <c r="GC154" s="79"/>
      <c r="GD154" s="79"/>
      <c r="GE154" s="79"/>
      <c r="GF154" s="79"/>
      <c r="GG154" s="79"/>
      <c r="GH154" s="79"/>
    </row>
    <row r="155" spans="1:190" ht="14.25" x14ac:dyDescent="0.2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BX155" s="79"/>
      <c r="BY155" s="79"/>
      <c r="BZ155" s="79"/>
      <c r="CA155" s="79"/>
      <c r="CB155" s="79"/>
      <c r="CC155" s="79"/>
      <c r="CD155" s="79"/>
      <c r="CE155" s="79"/>
      <c r="CF155" s="79"/>
      <c r="CG155" s="79"/>
      <c r="CH155" s="79"/>
      <c r="CI155" s="79"/>
      <c r="CJ155" s="79"/>
      <c r="CK155" s="79"/>
      <c r="CL155" s="79"/>
      <c r="CM155" s="79"/>
      <c r="CN155" s="79"/>
      <c r="CO155" s="79"/>
      <c r="CP155" s="79"/>
      <c r="CQ155" s="79"/>
      <c r="CR155" s="79"/>
      <c r="CS155" s="79"/>
      <c r="CT155" s="79"/>
      <c r="CU155" s="79"/>
      <c r="CV155" s="79"/>
      <c r="CW155" s="79"/>
      <c r="CX155" s="79"/>
      <c r="CY155" s="79"/>
      <c r="CZ155" s="79"/>
      <c r="DA155" s="79"/>
      <c r="DB155" s="79"/>
      <c r="DC155" s="79"/>
      <c r="DD155" s="79"/>
      <c r="DE155" s="79"/>
      <c r="DF155" s="79"/>
      <c r="DG155" s="79"/>
      <c r="DH155" s="79"/>
      <c r="DI155" s="79"/>
      <c r="DJ155" s="79"/>
      <c r="DK155" s="79"/>
      <c r="DL155" s="79"/>
      <c r="DM155" s="79"/>
      <c r="DN155" s="79"/>
      <c r="DO155" s="79"/>
      <c r="DP155" s="79"/>
      <c r="DQ155" s="79"/>
      <c r="DR155" s="79"/>
      <c r="DS155" s="79"/>
      <c r="DT155" s="79"/>
      <c r="DU155" s="79"/>
      <c r="DV155" s="79"/>
      <c r="DW155" s="79"/>
      <c r="DX155" s="79"/>
      <c r="DY155" s="79"/>
      <c r="DZ155" s="79"/>
      <c r="EA155" s="79"/>
      <c r="EB155" s="79"/>
      <c r="EC155" s="79"/>
      <c r="ED155" s="79"/>
      <c r="EE155" s="79"/>
      <c r="EF155" s="79"/>
      <c r="EG155" s="79"/>
      <c r="EH155" s="79"/>
      <c r="EI155" s="79"/>
      <c r="EJ155" s="79"/>
      <c r="EK155" s="79"/>
      <c r="EL155" s="79"/>
      <c r="EM155" s="79"/>
      <c r="EN155" s="79"/>
      <c r="EO155" s="79"/>
      <c r="EP155" s="79"/>
      <c r="EQ155" s="79"/>
      <c r="ER155" s="79"/>
      <c r="ES155" s="79"/>
      <c r="ET155" s="79"/>
      <c r="EU155" s="79"/>
      <c r="EV155" s="79"/>
      <c r="EW155" s="79"/>
      <c r="EX155" s="79"/>
      <c r="EY155" s="79"/>
      <c r="EZ155" s="79"/>
      <c r="FA155" s="79"/>
      <c r="FB155" s="79"/>
      <c r="FC155" s="79"/>
      <c r="FD155" s="79"/>
      <c r="FE155" s="79"/>
      <c r="FF155" s="79"/>
      <c r="FG155" s="79"/>
      <c r="FH155" s="79"/>
      <c r="FI155" s="79"/>
      <c r="FJ155" s="79"/>
      <c r="FK155" s="79"/>
      <c r="FL155" s="79"/>
      <c r="FM155" s="79"/>
      <c r="FN155" s="79"/>
      <c r="FO155" s="79"/>
      <c r="FP155" s="79"/>
      <c r="FQ155" s="79"/>
      <c r="FR155" s="79"/>
      <c r="FS155" s="79"/>
      <c r="FT155" s="79"/>
      <c r="FU155" s="79"/>
      <c r="FV155" s="79"/>
      <c r="FW155" s="79"/>
      <c r="FX155" s="79"/>
      <c r="FY155" s="79"/>
      <c r="FZ155" s="79"/>
      <c r="GA155" s="79"/>
      <c r="GB155" s="79"/>
      <c r="GC155" s="79"/>
      <c r="GD155" s="79"/>
      <c r="GE155" s="79"/>
      <c r="GF155" s="79"/>
      <c r="GG155" s="79"/>
      <c r="GH155" s="79"/>
    </row>
    <row r="156" spans="1:190" ht="14.25" x14ac:dyDescent="0.2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  <c r="AU156" s="79"/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  <c r="BV156" s="79"/>
      <c r="BW156" s="79"/>
      <c r="BX156" s="79"/>
      <c r="BY156" s="79"/>
      <c r="BZ156" s="79"/>
      <c r="CA156" s="79"/>
      <c r="CB156" s="79"/>
      <c r="CC156" s="79"/>
      <c r="CD156" s="79"/>
      <c r="CE156" s="79"/>
      <c r="CF156" s="79"/>
      <c r="CG156" s="79"/>
      <c r="CH156" s="79"/>
      <c r="CI156" s="79"/>
      <c r="CJ156" s="79"/>
      <c r="CK156" s="79"/>
      <c r="CL156" s="79"/>
      <c r="CM156" s="79"/>
      <c r="CN156" s="79"/>
      <c r="CO156" s="79"/>
      <c r="CP156" s="79"/>
      <c r="CQ156" s="79"/>
      <c r="CR156" s="79"/>
      <c r="CS156" s="79"/>
      <c r="CT156" s="79"/>
      <c r="CU156" s="79"/>
      <c r="CV156" s="79"/>
      <c r="CW156" s="79"/>
      <c r="CX156" s="79"/>
      <c r="CY156" s="79"/>
      <c r="CZ156" s="79"/>
      <c r="DA156" s="79"/>
      <c r="DB156" s="79"/>
      <c r="DC156" s="79"/>
      <c r="DD156" s="79"/>
      <c r="DE156" s="79"/>
      <c r="DF156" s="79"/>
      <c r="DG156" s="79"/>
      <c r="DH156" s="79"/>
      <c r="DI156" s="79"/>
      <c r="DJ156" s="79"/>
      <c r="DK156" s="79"/>
      <c r="DL156" s="79"/>
      <c r="DM156" s="79"/>
      <c r="DN156" s="79"/>
      <c r="DO156" s="79"/>
      <c r="DP156" s="79"/>
      <c r="DQ156" s="79"/>
      <c r="DR156" s="79"/>
      <c r="DS156" s="79"/>
      <c r="DT156" s="79"/>
      <c r="DU156" s="79"/>
      <c r="DV156" s="79"/>
      <c r="DW156" s="79"/>
      <c r="DX156" s="79"/>
      <c r="DY156" s="79"/>
      <c r="DZ156" s="79"/>
      <c r="EA156" s="79"/>
      <c r="EB156" s="79"/>
      <c r="EC156" s="79"/>
      <c r="ED156" s="79"/>
      <c r="EE156" s="79"/>
      <c r="EF156" s="79"/>
      <c r="EG156" s="79"/>
      <c r="EH156" s="79"/>
      <c r="EI156" s="79"/>
      <c r="EJ156" s="79"/>
      <c r="EK156" s="79"/>
      <c r="EL156" s="79"/>
      <c r="EM156" s="79"/>
      <c r="EN156" s="79"/>
      <c r="EO156" s="79"/>
      <c r="EP156" s="79"/>
      <c r="EQ156" s="79"/>
      <c r="ER156" s="79"/>
      <c r="ES156" s="79"/>
      <c r="ET156" s="79"/>
      <c r="EU156" s="79"/>
      <c r="EV156" s="79"/>
      <c r="EW156" s="79"/>
      <c r="EX156" s="79"/>
      <c r="EY156" s="79"/>
      <c r="EZ156" s="79"/>
      <c r="FA156" s="79"/>
      <c r="FB156" s="79"/>
      <c r="FC156" s="79"/>
      <c r="FD156" s="79"/>
      <c r="FE156" s="79"/>
      <c r="FF156" s="79"/>
      <c r="FG156" s="79"/>
      <c r="FH156" s="79"/>
      <c r="FI156" s="79"/>
      <c r="FJ156" s="79"/>
      <c r="FK156" s="79"/>
      <c r="FL156" s="79"/>
      <c r="FM156" s="79"/>
      <c r="FN156" s="79"/>
      <c r="FO156" s="79"/>
      <c r="FP156" s="79"/>
      <c r="FQ156" s="79"/>
      <c r="FR156" s="79"/>
      <c r="FS156" s="79"/>
      <c r="FT156" s="79"/>
      <c r="FU156" s="79"/>
      <c r="FV156" s="79"/>
      <c r="FW156" s="79"/>
      <c r="FX156" s="79"/>
      <c r="FY156" s="79"/>
      <c r="FZ156" s="79"/>
      <c r="GA156" s="79"/>
      <c r="GB156" s="79"/>
      <c r="GC156" s="79"/>
      <c r="GD156" s="79"/>
      <c r="GE156" s="79"/>
      <c r="GF156" s="79"/>
      <c r="GG156" s="79"/>
      <c r="GH156" s="79"/>
    </row>
    <row r="157" spans="1:190" ht="14.25" x14ac:dyDescent="0.2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  <c r="BH157" s="79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9"/>
      <c r="BV157" s="79"/>
      <c r="BW157" s="79"/>
      <c r="BX157" s="79"/>
      <c r="BY157" s="79"/>
      <c r="BZ157" s="79"/>
      <c r="CA157" s="79"/>
      <c r="CB157" s="79"/>
      <c r="CC157" s="79"/>
      <c r="CD157" s="79"/>
      <c r="CE157" s="79"/>
      <c r="CF157" s="79"/>
      <c r="CG157" s="79"/>
      <c r="CH157" s="79"/>
      <c r="CI157" s="79"/>
      <c r="CJ157" s="79"/>
      <c r="CK157" s="79"/>
      <c r="CL157" s="79"/>
      <c r="CM157" s="79"/>
      <c r="CN157" s="79"/>
      <c r="CO157" s="79"/>
      <c r="CP157" s="79"/>
      <c r="CQ157" s="79"/>
      <c r="CR157" s="79"/>
      <c r="CS157" s="79"/>
      <c r="CT157" s="79"/>
      <c r="CU157" s="79"/>
      <c r="CV157" s="79"/>
      <c r="CW157" s="79"/>
      <c r="CX157" s="79"/>
      <c r="CY157" s="79"/>
      <c r="CZ157" s="79"/>
      <c r="DA157" s="79"/>
      <c r="DB157" s="79"/>
      <c r="DC157" s="79"/>
      <c r="DD157" s="79"/>
      <c r="DE157" s="79"/>
      <c r="DF157" s="79"/>
      <c r="DG157" s="79"/>
      <c r="DH157" s="79"/>
      <c r="DI157" s="79"/>
      <c r="DJ157" s="79"/>
      <c r="DK157" s="79"/>
      <c r="DL157" s="79"/>
      <c r="DM157" s="79"/>
      <c r="DN157" s="79"/>
      <c r="DO157" s="79"/>
      <c r="DP157" s="79"/>
      <c r="DQ157" s="79"/>
      <c r="DR157" s="79"/>
      <c r="DS157" s="79"/>
      <c r="DT157" s="79"/>
      <c r="DU157" s="79"/>
      <c r="DV157" s="79"/>
      <c r="DW157" s="79"/>
      <c r="DX157" s="79"/>
      <c r="DY157" s="79"/>
      <c r="DZ157" s="79"/>
      <c r="EA157" s="79"/>
      <c r="EB157" s="79"/>
      <c r="EC157" s="79"/>
      <c r="ED157" s="79"/>
      <c r="EE157" s="79"/>
      <c r="EF157" s="79"/>
      <c r="EG157" s="79"/>
      <c r="EH157" s="79"/>
      <c r="EI157" s="79"/>
      <c r="EJ157" s="79"/>
      <c r="EK157" s="79"/>
      <c r="EL157" s="79"/>
      <c r="EM157" s="79"/>
      <c r="EN157" s="79"/>
      <c r="EO157" s="79"/>
      <c r="EP157" s="79"/>
      <c r="EQ157" s="79"/>
      <c r="ER157" s="79"/>
      <c r="ES157" s="79"/>
      <c r="ET157" s="79"/>
      <c r="EU157" s="79"/>
      <c r="EV157" s="79"/>
      <c r="EW157" s="79"/>
      <c r="EX157" s="79"/>
      <c r="EY157" s="79"/>
      <c r="EZ157" s="79"/>
      <c r="FA157" s="79"/>
      <c r="FB157" s="79"/>
      <c r="FC157" s="79"/>
      <c r="FD157" s="79"/>
      <c r="FE157" s="79"/>
      <c r="FF157" s="79"/>
      <c r="FG157" s="79"/>
      <c r="FH157" s="79"/>
      <c r="FI157" s="79"/>
      <c r="FJ157" s="79"/>
      <c r="FK157" s="79"/>
      <c r="FL157" s="79"/>
      <c r="FM157" s="79"/>
      <c r="FN157" s="79"/>
      <c r="FO157" s="79"/>
      <c r="FP157" s="79"/>
      <c r="FQ157" s="79"/>
      <c r="FR157" s="79"/>
      <c r="FS157" s="79"/>
      <c r="FT157" s="79"/>
      <c r="FU157" s="79"/>
      <c r="FV157" s="79"/>
      <c r="FW157" s="79"/>
      <c r="FX157" s="79"/>
      <c r="FY157" s="79"/>
      <c r="FZ157" s="79"/>
      <c r="GA157" s="79"/>
      <c r="GB157" s="79"/>
      <c r="GC157" s="79"/>
      <c r="GD157" s="79"/>
      <c r="GE157" s="79"/>
      <c r="GF157" s="79"/>
      <c r="GG157" s="79"/>
      <c r="GH157" s="79"/>
    </row>
    <row r="158" spans="1:190" ht="14.25" x14ac:dyDescent="0.2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79"/>
      <c r="AO158" s="79"/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9"/>
      <c r="BH158" s="79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9"/>
      <c r="BV158" s="79"/>
      <c r="BW158" s="79"/>
      <c r="BX158" s="79"/>
      <c r="BY158" s="79"/>
      <c r="BZ158" s="79"/>
      <c r="CA158" s="79"/>
      <c r="CB158" s="79"/>
      <c r="CC158" s="79"/>
      <c r="CD158" s="79"/>
      <c r="CE158" s="79"/>
      <c r="CF158" s="79"/>
      <c r="CG158" s="79"/>
      <c r="CH158" s="79"/>
      <c r="CI158" s="79"/>
      <c r="CJ158" s="79"/>
      <c r="CK158" s="79"/>
      <c r="CL158" s="79"/>
      <c r="CM158" s="79"/>
      <c r="CN158" s="79"/>
      <c r="CO158" s="79"/>
      <c r="CP158" s="79"/>
      <c r="CQ158" s="79"/>
      <c r="CR158" s="79"/>
      <c r="CS158" s="79"/>
      <c r="CT158" s="79"/>
      <c r="CU158" s="79"/>
      <c r="CV158" s="79"/>
      <c r="CW158" s="79"/>
      <c r="CX158" s="79"/>
      <c r="CY158" s="79"/>
      <c r="CZ158" s="79"/>
      <c r="DA158" s="79"/>
      <c r="DB158" s="79"/>
      <c r="DC158" s="79"/>
      <c r="DD158" s="79"/>
      <c r="DE158" s="79"/>
      <c r="DF158" s="79"/>
      <c r="DG158" s="79"/>
      <c r="DH158" s="79"/>
      <c r="DI158" s="79"/>
      <c r="DJ158" s="79"/>
      <c r="DK158" s="79"/>
      <c r="DL158" s="79"/>
      <c r="DM158" s="79"/>
      <c r="DN158" s="79"/>
      <c r="DO158" s="79"/>
      <c r="DP158" s="79"/>
      <c r="DQ158" s="79"/>
      <c r="DR158" s="79"/>
      <c r="DS158" s="79"/>
      <c r="DT158" s="79"/>
      <c r="DU158" s="79"/>
      <c r="DV158" s="79"/>
      <c r="DW158" s="79"/>
      <c r="DX158" s="79"/>
      <c r="DY158" s="79"/>
      <c r="DZ158" s="79"/>
      <c r="EA158" s="79"/>
      <c r="EB158" s="79"/>
      <c r="EC158" s="79"/>
      <c r="ED158" s="79"/>
      <c r="EE158" s="79"/>
      <c r="EF158" s="79"/>
      <c r="EG158" s="79"/>
      <c r="EH158" s="79"/>
      <c r="EI158" s="79"/>
      <c r="EJ158" s="79"/>
      <c r="EK158" s="79"/>
      <c r="EL158" s="79"/>
      <c r="EM158" s="79"/>
      <c r="EN158" s="79"/>
      <c r="EO158" s="79"/>
      <c r="EP158" s="79"/>
      <c r="EQ158" s="79"/>
      <c r="ER158" s="79"/>
      <c r="ES158" s="79"/>
      <c r="ET158" s="79"/>
      <c r="EU158" s="79"/>
      <c r="EV158" s="79"/>
      <c r="EW158" s="79"/>
      <c r="EX158" s="79"/>
      <c r="EY158" s="79"/>
      <c r="EZ158" s="79"/>
      <c r="FA158" s="79"/>
      <c r="FB158" s="79"/>
      <c r="FC158" s="79"/>
      <c r="FD158" s="79"/>
      <c r="FE158" s="79"/>
      <c r="FF158" s="79"/>
      <c r="FG158" s="79"/>
      <c r="FH158" s="79"/>
      <c r="FI158" s="79"/>
      <c r="FJ158" s="79"/>
      <c r="FK158" s="79"/>
      <c r="FL158" s="79"/>
      <c r="FM158" s="79"/>
      <c r="FN158" s="79"/>
      <c r="FO158" s="79"/>
      <c r="FP158" s="79"/>
      <c r="FQ158" s="79"/>
      <c r="FR158" s="79"/>
      <c r="FS158" s="79"/>
      <c r="FT158" s="79"/>
      <c r="FU158" s="79"/>
      <c r="FV158" s="79"/>
      <c r="FW158" s="79"/>
      <c r="FX158" s="79"/>
      <c r="FY158" s="79"/>
      <c r="FZ158" s="79"/>
      <c r="GA158" s="79"/>
      <c r="GB158" s="79"/>
      <c r="GC158" s="79"/>
      <c r="GD158" s="79"/>
      <c r="GE158" s="79"/>
      <c r="GF158" s="79"/>
      <c r="GG158" s="79"/>
      <c r="GH158" s="79"/>
    </row>
    <row r="159" spans="1:190" ht="14.25" x14ac:dyDescent="0.2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79"/>
      <c r="CB159" s="79"/>
      <c r="CC159" s="79"/>
      <c r="CD159" s="79"/>
      <c r="CE159" s="79"/>
      <c r="CF159" s="79"/>
      <c r="CG159" s="79"/>
      <c r="CH159" s="79"/>
      <c r="CI159" s="79"/>
      <c r="CJ159" s="79"/>
      <c r="CK159" s="79"/>
      <c r="CL159" s="79"/>
      <c r="CM159" s="79"/>
      <c r="CN159" s="79"/>
      <c r="CO159" s="79"/>
      <c r="CP159" s="79"/>
      <c r="CQ159" s="79"/>
      <c r="CR159" s="79"/>
      <c r="CS159" s="79"/>
      <c r="CT159" s="79"/>
      <c r="CU159" s="79"/>
      <c r="CV159" s="79"/>
      <c r="CW159" s="79"/>
      <c r="CX159" s="79"/>
      <c r="CY159" s="79"/>
      <c r="CZ159" s="79"/>
      <c r="DA159" s="79"/>
      <c r="DB159" s="79"/>
      <c r="DC159" s="79"/>
      <c r="DD159" s="79"/>
      <c r="DE159" s="79"/>
      <c r="DF159" s="79"/>
      <c r="DG159" s="79"/>
      <c r="DH159" s="79"/>
      <c r="DI159" s="79"/>
      <c r="DJ159" s="79"/>
      <c r="DK159" s="79"/>
      <c r="DL159" s="79"/>
      <c r="DM159" s="79"/>
      <c r="DN159" s="79"/>
      <c r="DO159" s="79"/>
      <c r="DP159" s="79"/>
      <c r="DQ159" s="79"/>
      <c r="DR159" s="79"/>
      <c r="DS159" s="79"/>
      <c r="DT159" s="79"/>
      <c r="DU159" s="79"/>
      <c r="DV159" s="79"/>
      <c r="DW159" s="79"/>
      <c r="DX159" s="79"/>
      <c r="DY159" s="79"/>
      <c r="DZ159" s="79"/>
      <c r="EA159" s="79"/>
      <c r="EB159" s="79"/>
      <c r="EC159" s="79"/>
      <c r="ED159" s="79"/>
      <c r="EE159" s="79"/>
      <c r="EF159" s="79"/>
      <c r="EG159" s="79"/>
      <c r="EH159" s="79"/>
      <c r="EI159" s="79"/>
      <c r="EJ159" s="79"/>
      <c r="EK159" s="79"/>
      <c r="EL159" s="79"/>
      <c r="EM159" s="79"/>
      <c r="EN159" s="79"/>
      <c r="EO159" s="79"/>
      <c r="EP159" s="79"/>
      <c r="EQ159" s="79"/>
      <c r="ER159" s="79"/>
      <c r="ES159" s="79"/>
      <c r="ET159" s="79"/>
      <c r="EU159" s="79"/>
      <c r="EV159" s="79"/>
      <c r="EW159" s="79"/>
      <c r="EX159" s="79"/>
      <c r="EY159" s="79"/>
      <c r="EZ159" s="79"/>
      <c r="FA159" s="79"/>
      <c r="FB159" s="79"/>
      <c r="FC159" s="79"/>
      <c r="FD159" s="79"/>
      <c r="FE159" s="79"/>
      <c r="FF159" s="79"/>
      <c r="FG159" s="79"/>
      <c r="FH159" s="79"/>
      <c r="FI159" s="79"/>
      <c r="FJ159" s="79"/>
      <c r="FK159" s="79"/>
      <c r="FL159" s="79"/>
      <c r="FM159" s="79"/>
      <c r="FN159" s="79"/>
      <c r="FO159" s="79"/>
      <c r="FP159" s="79"/>
      <c r="FQ159" s="79"/>
      <c r="FR159" s="79"/>
      <c r="FS159" s="79"/>
      <c r="FT159" s="79"/>
      <c r="FU159" s="79"/>
      <c r="FV159" s="79"/>
      <c r="FW159" s="79"/>
      <c r="FX159" s="79"/>
      <c r="FY159" s="79"/>
      <c r="FZ159" s="79"/>
      <c r="GA159" s="79"/>
      <c r="GB159" s="79"/>
      <c r="GC159" s="79"/>
      <c r="GD159" s="79"/>
      <c r="GE159" s="79"/>
      <c r="GF159" s="79"/>
      <c r="GG159" s="79"/>
      <c r="GH159" s="79"/>
    </row>
    <row r="160" spans="1:190" ht="14.25" x14ac:dyDescent="0.2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  <c r="CC160" s="79"/>
      <c r="CD160" s="79"/>
      <c r="CE160" s="79"/>
      <c r="CF160" s="79"/>
      <c r="CG160" s="79"/>
      <c r="CH160" s="79"/>
      <c r="CI160" s="79"/>
      <c r="CJ160" s="79"/>
      <c r="CK160" s="79"/>
      <c r="CL160" s="79"/>
      <c r="CM160" s="79"/>
      <c r="CN160" s="79"/>
      <c r="CO160" s="79"/>
      <c r="CP160" s="79"/>
      <c r="CQ160" s="79"/>
      <c r="CR160" s="79"/>
      <c r="CS160" s="79"/>
      <c r="CT160" s="79"/>
      <c r="CU160" s="79"/>
      <c r="CV160" s="79"/>
      <c r="CW160" s="79"/>
      <c r="CX160" s="79"/>
      <c r="CY160" s="79"/>
      <c r="CZ160" s="79"/>
      <c r="DA160" s="79"/>
      <c r="DB160" s="79"/>
      <c r="DC160" s="79"/>
      <c r="DD160" s="79"/>
      <c r="DE160" s="79"/>
      <c r="DF160" s="79"/>
      <c r="DG160" s="79"/>
      <c r="DH160" s="79"/>
      <c r="DI160" s="79"/>
      <c r="DJ160" s="79"/>
      <c r="DK160" s="79"/>
      <c r="DL160" s="79"/>
      <c r="DM160" s="79"/>
      <c r="DN160" s="79"/>
      <c r="DO160" s="79"/>
      <c r="DP160" s="79"/>
      <c r="DQ160" s="79"/>
      <c r="DR160" s="79"/>
      <c r="DS160" s="79"/>
      <c r="DT160" s="79"/>
      <c r="DU160" s="79"/>
      <c r="DV160" s="79"/>
      <c r="DW160" s="79"/>
      <c r="DX160" s="79"/>
      <c r="DY160" s="79"/>
      <c r="DZ160" s="79"/>
      <c r="EA160" s="79"/>
      <c r="EB160" s="79"/>
      <c r="EC160" s="79"/>
      <c r="ED160" s="79"/>
      <c r="EE160" s="79"/>
      <c r="EF160" s="79"/>
      <c r="EG160" s="79"/>
      <c r="EH160" s="79"/>
      <c r="EI160" s="79"/>
      <c r="EJ160" s="79"/>
      <c r="EK160" s="79"/>
      <c r="EL160" s="79"/>
      <c r="EM160" s="79"/>
      <c r="EN160" s="79"/>
      <c r="EO160" s="79"/>
      <c r="EP160" s="79"/>
      <c r="EQ160" s="79"/>
      <c r="ER160" s="79"/>
      <c r="ES160" s="79"/>
      <c r="ET160" s="79"/>
      <c r="EU160" s="79"/>
      <c r="EV160" s="79"/>
      <c r="EW160" s="79"/>
      <c r="EX160" s="79"/>
      <c r="EY160" s="79"/>
      <c r="EZ160" s="79"/>
      <c r="FA160" s="79"/>
      <c r="FB160" s="79"/>
      <c r="FC160" s="79"/>
      <c r="FD160" s="79"/>
      <c r="FE160" s="79"/>
      <c r="FF160" s="79"/>
      <c r="FG160" s="79"/>
      <c r="FH160" s="79"/>
      <c r="FI160" s="79"/>
      <c r="FJ160" s="79"/>
      <c r="FK160" s="79"/>
      <c r="FL160" s="79"/>
      <c r="FM160" s="79"/>
      <c r="FN160" s="79"/>
      <c r="FO160" s="79"/>
      <c r="FP160" s="79"/>
      <c r="FQ160" s="79"/>
      <c r="FR160" s="79"/>
      <c r="FS160" s="79"/>
      <c r="FT160" s="79"/>
      <c r="FU160" s="79"/>
      <c r="FV160" s="79"/>
      <c r="FW160" s="79"/>
      <c r="FX160" s="79"/>
      <c r="FY160" s="79"/>
      <c r="FZ160" s="79"/>
      <c r="GA160" s="79"/>
      <c r="GB160" s="79"/>
      <c r="GC160" s="79"/>
      <c r="GD160" s="79"/>
      <c r="GE160" s="79"/>
      <c r="GF160" s="79"/>
      <c r="GG160" s="79"/>
      <c r="GH160" s="79"/>
    </row>
    <row r="161" spans="1:190" ht="14.25" x14ac:dyDescent="0.2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  <c r="CC161" s="79"/>
      <c r="CD161" s="79"/>
      <c r="CE161" s="79"/>
      <c r="CF161" s="79"/>
      <c r="CG161" s="79"/>
      <c r="CH161" s="79"/>
      <c r="CI161" s="79"/>
      <c r="CJ161" s="79"/>
      <c r="CK161" s="79"/>
      <c r="CL161" s="79"/>
      <c r="CM161" s="79"/>
      <c r="CN161" s="79"/>
      <c r="CO161" s="79"/>
      <c r="CP161" s="79"/>
      <c r="CQ161" s="79"/>
      <c r="CR161" s="79"/>
      <c r="CS161" s="79"/>
      <c r="CT161" s="79"/>
      <c r="CU161" s="79"/>
      <c r="CV161" s="79"/>
      <c r="CW161" s="79"/>
      <c r="CX161" s="79"/>
      <c r="CY161" s="79"/>
      <c r="CZ161" s="79"/>
      <c r="DA161" s="79"/>
      <c r="DB161" s="79"/>
      <c r="DC161" s="79"/>
      <c r="DD161" s="79"/>
      <c r="DE161" s="79"/>
      <c r="DF161" s="79"/>
      <c r="DG161" s="79"/>
      <c r="DH161" s="79"/>
      <c r="DI161" s="79"/>
      <c r="DJ161" s="79"/>
      <c r="DK161" s="79"/>
      <c r="DL161" s="79"/>
      <c r="DM161" s="79"/>
      <c r="DN161" s="79"/>
      <c r="DO161" s="79"/>
      <c r="DP161" s="79"/>
      <c r="DQ161" s="79"/>
      <c r="DR161" s="79"/>
      <c r="DS161" s="79"/>
      <c r="DT161" s="79"/>
      <c r="DU161" s="79"/>
      <c r="DV161" s="79"/>
      <c r="DW161" s="79"/>
      <c r="DX161" s="79"/>
      <c r="DY161" s="79"/>
      <c r="DZ161" s="79"/>
      <c r="EA161" s="79"/>
      <c r="EB161" s="79"/>
      <c r="EC161" s="79"/>
      <c r="ED161" s="79"/>
      <c r="EE161" s="79"/>
      <c r="EF161" s="79"/>
      <c r="EG161" s="79"/>
      <c r="EH161" s="79"/>
      <c r="EI161" s="79"/>
      <c r="EJ161" s="79"/>
      <c r="EK161" s="79"/>
      <c r="EL161" s="79"/>
      <c r="EM161" s="79"/>
      <c r="EN161" s="79"/>
      <c r="EO161" s="79"/>
      <c r="EP161" s="79"/>
      <c r="EQ161" s="79"/>
      <c r="ER161" s="79"/>
      <c r="ES161" s="79"/>
      <c r="ET161" s="79"/>
      <c r="EU161" s="79"/>
      <c r="EV161" s="79"/>
      <c r="EW161" s="79"/>
      <c r="EX161" s="79"/>
      <c r="EY161" s="79"/>
      <c r="EZ161" s="79"/>
      <c r="FA161" s="79"/>
      <c r="FB161" s="79"/>
      <c r="FC161" s="79"/>
      <c r="FD161" s="79"/>
      <c r="FE161" s="79"/>
      <c r="FF161" s="79"/>
      <c r="FG161" s="79"/>
      <c r="FH161" s="79"/>
      <c r="FI161" s="79"/>
      <c r="FJ161" s="79"/>
      <c r="FK161" s="79"/>
      <c r="FL161" s="79"/>
      <c r="FM161" s="79"/>
      <c r="FN161" s="79"/>
      <c r="FO161" s="79"/>
      <c r="FP161" s="79"/>
      <c r="FQ161" s="79"/>
      <c r="FR161" s="79"/>
      <c r="FS161" s="79"/>
      <c r="FT161" s="79"/>
      <c r="FU161" s="79"/>
      <c r="FV161" s="79"/>
      <c r="FW161" s="79"/>
      <c r="FX161" s="79"/>
      <c r="FY161" s="79"/>
      <c r="FZ161" s="79"/>
      <c r="GA161" s="79"/>
      <c r="GB161" s="79"/>
      <c r="GC161" s="79"/>
      <c r="GD161" s="79"/>
      <c r="GE161" s="79"/>
      <c r="GF161" s="79"/>
      <c r="GG161" s="79"/>
      <c r="GH161" s="79"/>
    </row>
    <row r="162" spans="1:190" ht="14.25" x14ac:dyDescent="0.2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79"/>
      <c r="AU162" s="79"/>
      <c r="AV162" s="79"/>
      <c r="AW162" s="79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  <c r="CC162" s="79"/>
      <c r="CD162" s="79"/>
      <c r="CE162" s="79"/>
      <c r="CF162" s="79"/>
      <c r="CG162" s="79"/>
      <c r="CH162" s="79"/>
      <c r="CI162" s="79"/>
      <c r="CJ162" s="79"/>
      <c r="CK162" s="79"/>
      <c r="CL162" s="79"/>
      <c r="CM162" s="79"/>
      <c r="CN162" s="79"/>
      <c r="CO162" s="79"/>
      <c r="CP162" s="79"/>
      <c r="CQ162" s="79"/>
      <c r="CR162" s="79"/>
      <c r="CS162" s="79"/>
      <c r="CT162" s="79"/>
      <c r="CU162" s="79"/>
      <c r="CV162" s="79"/>
      <c r="CW162" s="79"/>
      <c r="CX162" s="79"/>
      <c r="CY162" s="79"/>
      <c r="CZ162" s="79"/>
      <c r="DA162" s="79"/>
      <c r="DB162" s="79"/>
      <c r="DC162" s="79"/>
      <c r="DD162" s="79"/>
      <c r="DE162" s="79"/>
      <c r="DF162" s="79"/>
      <c r="DG162" s="79"/>
      <c r="DH162" s="79"/>
      <c r="DI162" s="79"/>
      <c r="DJ162" s="79"/>
      <c r="DK162" s="79"/>
      <c r="DL162" s="79"/>
      <c r="DM162" s="79"/>
      <c r="DN162" s="79"/>
      <c r="DO162" s="79"/>
      <c r="DP162" s="79"/>
      <c r="DQ162" s="79"/>
      <c r="DR162" s="79"/>
      <c r="DS162" s="79"/>
      <c r="DT162" s="79"/>
      <c r="DU162" s="79"/>
      <c r="DV162" s="79"/>
      <c r="DW162" s="79"/>
      <c r="DX162" s="79"/>
      <c r="DY162" s="79"/>
      <c r="DZ162" s="79"/>
      <c r="EA162" s="79"/>
      <c r="EB162" s="79"/>
      <c r="EC162" s="79"/>
      <c r="ED162" s="79"/>
      <c r="EE162" s="79"/>
      <c r="EF162" s="79"/>
      <c r="EG162" s="79"/>
      <c r="EH162" s="79"/>
      <c r="EI162" s="79"/>
      <c r="EJ162" s="79"/>
      <c r="EK162" s="79"/>
      <c r="EL162" s="79"/>
      <c r="EM162" s="79"/>
      <c r="EN162" s="79"/>
      <c r="EO162" s="79"/>
      <c r="EP162" s="79"/>
      <c r="EQ162" s="79"/>
      <c r="ER162" s="79"/>
      <c r="ES162" s="79"/>
      <c r="ET162" s="79"/>
      <c r="EU162" s="79"/>
      <c r="EV162" s="79"/>
      <c r="EW162" s="79"/>
      <c r="EX162" s="79"/>
      <c r="EY162" s="79"/>
      <c r="EZ162" s="79"/>
      <c r="FA162" s="79"/>
      <c r="FB162" s="79"/>
      <c r="FC162" s="79"/>
      <c r="FD162" s="79"/>
      <c r="FE162" s="79"/>
      <c r="FF162" s="79"/>
      <c r="FG162" s="79"/>
      <c r="FH162" s="79"/>
      <c r="FI162" s="79"/>
      <c r="FJ162" s="79"/>
      <c r="FK162" s="79"/>
      <c r="FL162" s="79"/>
      <c r="FM162" s="79"/>
      <c r="FN162" s="79"/>
      <c r="FO162" s="79"/>
      <c r="FP162" s="79"/>
      <c r="FQ162" s="79"/>
      <c r="FR162" s="79"/>
      <c r="FS162" s="79"/>
      <c r="FT162" s="79"/>
      <c r="FU162" s="79"/>
      <c r="FV162" s="79"/>
      <c r="FW162" s="79"/>
      <c r="FX162" s="79"/>
      <c r="FY162" s="79"/>
      <c r="FZ162" s="79"/>
      <c r="GA162" s="79"/>
      <c r="GB162" s="79"/>
      <c r="GC162" s="79"/>
      <c r="GD162" s="79"/>
      <c r="GE162" s="79"/>
      <c r="GF162" s="79"/>
      <c r="GG162" s="79"/>
      <c r="GH162" s="79"/>
    </row>
    <row r="163" spans="1:190" ht="14.25" x14ac:dyDescent="0.2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79"/>
      <c r="AU163" s="79"/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  <c r="CC163" s="79"/>
      <c r="CD163" s="79"/>
      <c r="CE163" s="79"/>
      <c r="CF163" s="79"/>
      <c r="CG163" s="79"/>
      <c r="CH163" s="79"/>
      <c r="CI163" s="79"/>
      <c r="CJ163" s="79"/>
      <c r="CK163" s="79"/>
      <c r="CL163" s="79"/>
      <c r="CM163" s="79"/>
      <c r="CN163" s="79"/>
      <c r="CO163" s="79"/>
      <c r="CP163" s="79"/>
      <c r="CQ163" s="79"/>
      <c r="CR163" s="79"/>
      <c r="CS163" s="79"/>
      <c r="CT163" s="79"/>
      <c r="CU163" s="79"/>
      <c r="CV163" s="79"/>
      <c r="CW163" s="79"/>
      <c r="CX163" s="79"/>
      <c r="CY163" s="79"/>
      <c r="CZ163" s="79"/>
      <c r="DA163" s="79"/>
      <c r="DB163" s="79"/>
      <c r="DC163" s="79"/>
      <c r="DD163" s="79"/>
      <c r="DE163" s="79"/>
      <c r="DF163" s="79"/>
      <c r="DG163" s="79"/>
      <c r="DH163" s="79"/>
      <c r="DI163" s="79"/>
      <c r="DJ163" s="79"/>
      <c r="DK163" s="79"/>
      <c r="DL163" s="79"/>
      <c r="DM163" s="79"/>
      <c r="DN163" s="79"/>
      <c r="DO163" s="79"/>
      <c r="DP163" s="79"/>
      <c r="DQ163" s="79"/>
      <c r="DR163" s="79"/>
      <c r="DS163" s="79"/>
      <c r="DT163" s="79"/>
      <c r="DU163" s="79"/>
      <c r="DV163" s="79"/>
      <c r="DW163" s="79"/>
      <c r="DX163" s="79"/>
      <c r="DY163" s="79"/>
      <c r="DZ163" s="79"/>
      <c r="EA163" s="79"/>
      <c r="EB163" s="79"/>
      <c r="EC163" s="79"/>
      <c r="ED163" s="79"/>
      <c r="EE163" s="79"/>
      <c r="EF163" s="79"/>
      <c r="EG163" s="79"/>
      <c r="EH163" s="79"/>
      <c r="EI163" s="79"/>
      <c r="EJ163" s="79"/>
      <c r="EK163" s="79"/>
      <c r="EL163" s="79"/>
      <c r="EM163" s="79"/>
      <c r="EN163" s="79"/>
      <c r="EO163" s="79"/>
      <c r="EP163" s="79"/>
      <c r="EQ163" s="79"/>
      <c r="ER163" s="79"/>
      <c r="ES163" s="79"/>
      <c r="ET163" s="79"/>
      <c r="EU163" s="79"/>
      <c r="EV163" s="79"/>
      <c r="EW163" s="79"/>
      <c r="EX163" s="79"/>
      <c r="EY163" s="79"/>
      <c r="EZ163" s="79"/>
      <c r="FA163" s="79"/>
      <c r="FB163" s="79"/>
      <c r="FC163" s="79"/>
      <c r="FD163" s="79"/>
      <c r="FE163" s="79"/>
      <c r="FF163" s="79"/>
      <c r="FG163" s="79"/>
      <c r="FH163" s="79"/>
      <c r="FI163" s="79"/>
      <c r="FJ163" s="79"/>
      <c r="FK163" s="79"/>
      <c r="FL163" s="79"/>
      <c r="FM163" s="79"/>
      <c r="FN163" s="79"/>
      <c r="FO163" s="79"/>
      <c r="FP163" s="79"/>
      <c r="FQ163" s="79"/>
      <c r="FR163" s="79"/>
      <c r="FS163" s="79"/>
      <c r="FT163" s="79"/>
      <c r="FU163" s="79"/>
      <c r="FV163" s="79"/>
      <c r="FW163" s="79"/>
      <c r="FX163" s="79"/>
      <c r="FY163" s="79"/>
      <c r="FZ163" s="79"/>
      <c r="GA163" s="79"/>
      <c r="GB163" s="79"/>
      <c r="GC163" s="79"/>
      <c r="GD163" s="79"/>
      <c r="GE163" s="79"/>
      <c r="GF163" s="79"/>
      <c r="GG163" s="79"/>
      <c r="GH163" s="79"/>
    </row>
    <row r="164" spans="1:190" ht="14.25" x14ac:dyDescent="0.2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  <c r="AS164" s="79"/>
      <c r="AT164" s="79"/>
      <c r="AU164" s="79"/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79"/>
      <c r="BG164" s="79"/>
      <c r="BH164" s="79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79"/>
      <c r="CB164" s="79"/>
      <c r="CC164" s="79"/>
      <c r="CD164" s="79"/>
      <c r="CE164" s="79"/>
      <c r="CF164" s="79"/>
      <c r="CG164" s="79"/>
      <c r="CH164" s="79"/>
      <c r="CI164" s="79"/>
      <c r="CJ164" s="79"/>
      <c r="CK164" s="79"/>
      <c r="CL164" s="79"/>
      <c r="CM164" s="79"/>
      <c r="CN164" s="79"/>
      <c r="CO164" s="79"/>
      <c r="CP164" s="79"/>
      <c r="CQ164" s="79"/>
      <c r="CR164" s="79"/>
      <c r="CS164" s="79"/>
      <c r="CT164" s="79"/>
      <c r="CU164" s="79"/>
      <c r="CV164" s="79"/>
      <c r="CW164" s="79"/>
      <c r="CX164" s="79"/>
      <c r="CY164" s="79"/>
      <c r="CZ164" s="79"/>
      <c r="DA164" s="79"/>
      <c r="DB164" s="79"/>
      <c r="DC164" s="79"/>
      <c r="DD164" s="79"/>
      <c r="DE164" s="79"/>
      <c r="DF164" s="79"/>
      <c r="DG164" s="79"/>
      <c r="DH164" s="79"/>
      <c r="DI164" s="79"/>
      <c r="DJ164" s="79"/>
      <c r="DK164" s="79"/>
      <c r="DL164" s="79"/>
      <c r="DM164" s="79"/>
      <c r="DN164" s="79"/>
      <c r="DO164" s="79"/>
      <c r="DP164" s="79"/>
      <c r="DQ164" s="79"/>
      <c r="DR164" s="79"/>
      <c r="DS164" s="79"/>
      <c r="DT164" s="79"/>
      <c r="DU164" s="79"/>
      <c r="DV164" s="79"/>
      <c r="DW164" s="79"/>
      <c r="DX164" s="79"/>
      <c r="DY164" s="79"/>
      <c r="DZ164" s="79"/>
      <c r="EA164" s="79"/>
      <c r="EB164" s="79"/>
      <c r="EC164" s="79"/>
      <c r="ED164" s="79"/>
      <c r="EE164" s="79"/>
      <c r="EF164" s="79"/>
      <c r="EG164" s="79"/>
      <c r="EH164" s="79"/>
      <c r="EI164" s="79"/>
      <c r="EJ164" s="79"/>
      <c r="EK164" s="79"/>
      <c r="EL164" s="79"/>
      <c r="EM164" s="79"/>
      <c r="EN164" s="79"/>
      <c r="EO164" s="79"/>
      <c r="EP164" s="79"/>
      <c r="EQ164" s="79"/>
      <c r="ER164" s="79"/>
      <c r="ES164" s="79"/>
      <c r="ET164" s="79"/>
      <c r="EU164" s="79"/>
      <c r="EV164" s="79"/>
      <c r="EW164" s="79"/>
      <c r="EX164" s="79"/>
      <c r="EY164" s="79"/>
      <c r="EZ164" s="79"/>
      <c r="FA164" s="79"/>
      <c r="FB164" s="79"/>
      <c r="FC164" s="79"/>
      <c r="FD164" s="79"/>
      <c r="FE164" s="79"/>
      <c r="FF164" s="79"/>
      <c r="FG164" s="79"/>
      <c r="FH164" s="79"/>
      <c r="FI164" s="79"/>
      <c r="FJ164" s="79"/>
      <c r="FK164" s="79"/>
      <c r="FL164" s="79"/>
      <c r="FM164" s="79"/>
      <c r="FN164" s="79"/>
      <c r="FO164" s="79"/>
      <c r="FP164" s="79"/>
      <c r="FQ164" s="79"/>
      <c r="FR164" s="79"/>
      <c r="FS164" s="79"/>
      <c r="FT164" s="79"/>
      <c r="FU164" s="79"/>
      <c r="FV164" s="79"/>
      <c r="FW164" s="79"/>
      <c r="FX164" s="79"/>
      <c r="FY164" s="79"/>
      <c r="FZ164" s="79"/>
      <c r="GA164" s="79"/>
      <c r="GB164" s="79"/>
      <c r="GC164" s="79"/>
      <c r="GD164" s="79"/>
      <c r="GE164" s="79"/>
      <c r="GF164" s="79"/>
      <c r="GG164" s="79"/>
      <c r="GH164" s="79"/>
    </row>
    <row r="165" spans="1:190" ht="14.25" x14ac:dyDescent="0.2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79"/>
      <c r="AU165" s="79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79"/>
      <c r="BT165" s="79"/>
      <c r="BU165" s="79"/>
      <c r="BV165" s="79"/>
      <c r="BW165" s="79"/>
      <c r="BX165" s="79"/>
      <c r="BY165" s="79"/>
      <c r="BZ165" s="79"/>
      <c r="CA165" s="79"/>
      <c r="CB165" s="79"/>
      <c r="CC165" s="79"/>
      <c r="CD165" s="79"/>
      <c r="CE165" s="79"/>
      <c r="CF165" s="79"/>
      <c r="CG165" s="79"/>
      <c r="CH165" s="79"/>
      <c r="CI165" s="79"/>
      <c r="CJ165" s="79"/>
      <c r="CK165" s="79"/>
      <c r="CL165" s="79"/>
      <c r="CM165" s="79"/>
      <c r="CN165" s="79"/>
      <c r="CO165" s="79"/>
      <c r="CP165" s="79"/>
      <c r="CQ165" s="79"/>
      <c r="CR165" s="79"/>
      <c r="CS165" s="79"/>
      <c r="CT165" s="79"/>
      <c r="CU165" s="79"/>
      <c r="CV165" s="79"/>
      <c r="CW165" s="79"/>
      <c r="CX165" s="79"/>
      <c r="CY165" s="79"/>
      <c r="CZ165" s="79"/>
      <c r="DA165" s="79"/>
      <c r="DB165" s="79"/>
      <c r="DC165" s="79"/>
      <c r="DD165" s="79"/>
      <c r="DE165" s="79"/>
      <c r="DF165" s="79"/>
      <c r="DG165" s="79"/>
      <c r="DH165" s="79"/>
      <c r="DI165" s="79"/>
      <c r="DJ165" s="79"/>
      <c r="DK165" s="79"/>
      <c r="DL165" s="79"/>
      <c r="DM165" s="79"/>
      <c r="DN165" s="79"/>
      <c r="DO165" s="79"/>
      <c r="DP165" s="79"/>
      <c r="DQ165" s="79"/>
      <c r="DR165" s="79"/>
      <c r="DS165" s="79"/>
      <c r="DT165" s="79"/>
      <c r="DU165" s="79"/>
      <c r="DV165" s="79"/>
      <c r="DW165" s="79"/>
      <c r="DX165" s="79"/>
      <c r="DY165" s="79"/>
      <c r="DZ165" s="79"/>
      <c r="EA165" s="79"/>
      <c r="EB165" s="79"/>
      <c r="EC165" s="79"/>
      <c r="ED165" s="79"/>
      <c r="EE165" s="79"/>
      <c r="EF165" s="79"/>
      <c r="EG165" s="79"/>
      <c r="EH165" s="79"/>
      <c r="EI165" s="79"/>
      <c r="EJ165" s="79"/>
      <c r="EK165" s="79"/>
      <c r="EL165" s="79"/>
      <c r="EM165" s="79"/>
      <c r="EN165" s="79"/>
      <c r="EO165" s="79"/>
      <c r="EP165" s="79"/>
      <c r="EQ165" s="79"/>
      <c r="ER165" s="79"/>
      <c r="ES165" s="79"/>
      <c r="ET165" s="79"/>
      <c r="EU165" s="79"/>
      <c r="EV165" s="79"/>
      <c r="EW165" s="79"/>
      <c r="EX165" s="79"/>
      <c r="EY165" s="79"/>
      <c r="EZ165" s="79"/>
      <c r="FA165" s="79"/>
      <c r="FB165" s="79"/>
      <c r="FC165" s="79"/>
      <c r="FD165" s="79"/>
      <c r="FE165" s="79"/>
      <c r="FF165" s="79"/>
      <c r="FG165" s="79"/>
      <c r="FH165" s="79"/>
      <c r="FI165" s="79"/>
      <c r="FJ165" s="79"/>
      <c r="FK165" s="79"/>
      <c r="FL165" s="79"/>
      <c r="FM165" s="79"/>
      <c r="FN165" s="79"/>
      <c r="FO165" s="79"/>
      <c r="FP165" s="79"/>
      <c r="FQ165" s="79"/>
      <c r="FR165" s="79"/>
      <c r="FS165" s="79"/>
      <c r="FT165" s="79"/>
      <c r="FU165" s="79"/>
      <c r="FV165" s="79"/>
      <c r="FW165" s="79"/>
      <c r="FX165" s="79"/>
      <c r="FY165" s="79"/>
      <c r="FZ165" s="79"/>
      <c r="GA165" s="79"/>
      <c r="GB165" s="79"/>
      <c r="GC165" s="79"/>
      <c r="GD165" s="79"/>
      <c r="GE165" s="79"/>
      <c r="GF165" s="79"/>
      <c r="GG165" s="79"/>
      <c r="GH165" s="79"/>
    </row>
    <row r="166" spans="1:190" ht="14.25" x14ac:dyDescent="0.2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  <c r="AS166" s="79"/>
      <c r="AT166" s="79"/>
      <c r="AU166" s="79"/>
      <c r="AV166" s="79"/>
      <c r="AW166" s="79"/>
      <c r="AX166" s="79"/>
      <c r="AY166" s="79"/>
      <c r="AZ166" s="79"/>
      <c r="BA166" s="79"/>
      <c r="BB166" s="79"/>
      <c r="BC166" s="79"/>
      <c r="BD166" s="79"/>
      <c r="BE166" s="79"/>
      <c r="BF166" s="79"/>
      <c r="BG166" s="79"/>
      <c r="BH166" s="79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BX166" s="79"/>
      <c r="BY166" s="79"/>
      <c r="BZ166" s="79"/>
      <c r="CA166" s="79"/>
      <c r="CB166" s="79"/>
      <c r="CC166" s="79"/>
      <c r="CD166" s="79"/>
      <c r="CE166" s="79"/>
      <c r="CF166" s="79"/>
      <c r="CG166" s="79"/>
      <c r="CH166" s="79"/>
      <c r="CI166" s="79"/>
      <c r="CJ166" s="79"/>
      <c r="CK166" s="79"/>
      <c r="CL166" s="79"/>
      <c r="CM166" s="79"/>
      <c r="CN166" s="79"/>
      <c r="CO166" s="79"/>
      <c r="CP166" s="79"/>
      <c r="CQ166" s="79"/>
      <c r="CR166" s="79"/>
      <c r="CS166" s="79"/>
      <c r="CT166" s="79"/>
      <c r="CU166" s="79"/>
      <c r="CV166" s="79"/>
      <c r="CW166" s="79"/>
      <c r="CX166" s="79"/>
      <c r="CY166" s="79"/>
      <c r="CZ166" s="79"/>
      <c r="DA166" s="79"/>
      <c r="DB166" s="79"/>
      <c r="DC166" s="79"/>
      <c r="DD166" s="79"/>
      <c r="DE166" s="79"/>
      <c r="DF166" s="79"/>
      <c r="DG166" s="79"/>
      <c r="DH166" s="79"/>
      <c r="DI166" s="79"/>
      <c r="DJ166" s="79"/>
      <c r="DK166" s="79"/>
      <c r="DL166" s="79"/>
      <c r="DM166" s="79"/>
      <c r="DN166" s="79"/>
      <c r="DO166" s="79"/>
      <c r="DP166" s="79"/>
      <c r="DQ166" s="79"/>
      <c r="DR166" s="79"/>
      <c r="DS166" s="79"/>
      <c r="DT166" s="79"/>
      <c r="DU166" s="79"/>
      <c r="DV166" s="79"/>
      <c r="DW166" s="79"/>
      <c r="DX166" s="79"/>
      <c r="DY166" s="79"/>
      <c r="DZ166" s="79"/>
      <c r="EA166" s="79"/>
      <c r="EB166" s="79"/>
      <c r="EC166" s="79"/>
      <c r="ED166" s="79"/>
      <c r="EE166" s="79"/>
      <c r="EF166" s="79"/>
      <c r="EG166" s="79"/>
      <c r="EH166" s="79"/>
      <c r="EI166" s="79"/>
      <c r="EJ166" s="79"/>
      <c r="EK166" s="79"/>
      <c r="EL166" s="79"/>
      <c r="EM166" s="79"/>
      <c r="EN166" s="79"/>
      <c r="EO166" s="79"/>
      <c r="EP166" s="79"/>
      <c r="EQ166" s="79"/>
      <c r="ER166" s="79"/>
      <c r="ES166" s="79"/>
      <c r="ET166" s="79"/>
      <c r="EU166" s="79"/>
      <c r="EV166" s="79"/>
      <c r="EW166" s="79"/>
      <c r="EX166" s="79"/>
      <c r="EY166" s="79"/>
      <c r="EZ166" s="79"/>
      <c r="FA166" s="79"/>
      <c r="FB166" s="79"/>
      <c r="FC166" s="79"/>
      <c r="FD166" s="79"/>
      <c r="FE166" s="79"/>
      <c r="FF166" s="79"/>
      <c r="FG166" s="79"/>
      <c r="FH166" s="79"/>
      <c r="FI166" s="79"/>
      <c r="FJ166" s="79"/>
      <c r="FK166" s="79"/>
      <c r="FL166" s="79"/>
      <c r="FM166" s="79"/>
      <c r="FN166" s="79"/>
      <c r="FO166" s="79"/>
      <c r="FP166" s="79"/>
      <c r="FQ166" s="79"/>
      <c r="FR166" s="79"/>
      <c r="FS166" s="79"/>
      <c r="FT166" s="79"/>
      <c r="FU166" s="79"/>
      <c r="FV166" s="79"/>
      <c r="FW166" s="79"/>
      <c r="FX166" s="79"/>
      <c r="FY166" s="79"/>
      <c r="FZ166" s="79"/>
      <c r="GA166" s="79"/>
      <c r="GB166" s="79"/>
      <c r="GC166" s="79"/>
      <c r="GD166" s="79"/>
      <c r="GE166" s="79"/>
      <c r="GF166" s="79"/>
      <c r="GG166" s="79"/>
      <c r="GH166" s="79"/>
    </row>
    <row r="167" spans="1:190" ht="14.25" x14ac:dyDescent="0.2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9"/>
      <c r="BZ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79"/>
      <c r="CK167" s="79"/>
      <c r="CL167" s="79"/>
      <c r="CM167" s="79"/>
      <c r="CN167" s="79"/>
      <c r="CO167" s="79"/>
      <c r="CP167" s="79"/>
      <c r="CQ167" s="79"/>
      <c r="CR167" s="79"/>
      <c r="CS167" s="79"/>
      <c r="CT167" s="79"/>
      <c r="CU167" s="79"/>
      <c r="CV167" s="79"/>
      <c r="CW167" s="79"/>
      <c r="CX167" s="79"/>
      <c r="CY167" s="79"/>
      <c r="CZ167" s="79"/>
      <c r="DA167" s="79"/>
      <c r="DB167" s="79"/>
      <c r="DC167" s="79"/>
      <c r="DD167" s="79"/>
      <c r="DE167" s="79"/>
      <c r="DF167" s="79"/>
      <c r="DG167" s="79"/>
      <c r="DH167" s="79"/>
      <c r="DI167" s="79"/>
      <c r="DJ167" s="79"/>
      <c r="DK167" s="79"/>
      <c r="DL167" s="79"/>
      <c r="DM167" s="79"/>
      <c r="DN167" s="79"/>
      <c r="DO167" s="79"/>
      <c r="DP167" s="79"/>
      <c r="DQ167" s="79"/>
      <c r="DR167" s="79"/>
      <c r="DS167" s="79"/>
      <c r="DT167" s="79"/>
      <c r="DU167" s="79"/>
      <c r="DV167" s="79"/>
      <c r="DW167" s="79"/>
      <c r="DX167" s="79"/>
      <c r="DY167" s="79"/>
      <c r="DZ167" s="79"/>
      <c r="EA167" s="79"/>
      <c r="EB167" s="79"/>
      <c r="EC167" s="79"/>
      <c r="ED167" s="79"/>
      <c r="EE167" s="79"/>
      <c r="EF167" s="79"/>
      <c r="EG167" s="79"/>
      <c r="EH167" s="79"/>
      <c r="EI167" s="79"/>
      <c r="EJ167" s="79"/>
      <c r="EK167" s="79"/>
      <c r="EL167" s="79"/>
      <c r="EM167" s="79"/>
      <c r="EN167" s="79"/>
      <c r="EO167" s="79"/>
      <c r="EP167" s="79"/>
      <c r="EQ167" s="79"/>
      <c r="ER167" s="79"/>
      <c r="ES167" s="79"/>
      <c r="ET167" s="79"/>
      <c r="EU167" s="79"/>
      <c r="EV167" s="79"/>
      <c r="EW167" s="79"/>
      <c r="EX167" s="79"/>
      <c r="EY167" s="79"/>
      <c r="EZ167" s="79"/>
      <c r="FA167" s="79"/>
      <c r="FB167" s="79"/>
      <c r="FC167" s="79"/>
      <c r="FD167" s="79"/>
      <c r="FE167" s="79"/>
      <c r="FF167" s="79"/>
      <c r="FG167" s="79"/>
      <c r="FH167" s="79"/>
      <c r="FI167" s="79"/>
      <c r="FJ167" s="79"/>
      <c r="FK167" s="79"/>
      <c r="FL167" s="79"/>
      <c r="FM167" s="79"/>
      <c r="FN167" s="79"/>
      <c r="FO167" s="79"/>
      <c r="FP167" s="79"/>
      <c r="FQ167" s="79"/>
      <c r="FR167" s="79"/>
      <c r="FS167" s="79"/>
      <c r="FT167" s="79"/>
      <c r="FU167" s="79"/>
      <c r="FV167" s="79"/>
      <c r="FW167" s="79"/>
      <c r="FX167" s="79"/>
      <c r="FY167" s="79"/>
      <c r="FZ167" s="79"/>
      <c r="GA167" s="79"/>
      <c r="GB167" s="79"/>
      <c r="GC167" s="79"/>
      <c r="GD167" s="79"/>
      <c r="GE167" s="79"/>
      <c r="GF167" s="79"/>
      <c r="GG167" s="79"/>
      <c r="GH167" s="79"/>
    </row>
    <row r="168" spans="1:190" ht="14.25" x14ac:dyDescent="0.2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9"/>
      <c r="BZ168" s="79"/>
      <c r="CA168" s="79"/>
      <c r="CB168" s="79"/>
      <c r="CC168" s="79"/>
      <c r="CD168" s="79"/>
      <c r="CE168" s="79"/>
      <c r="CF168" s="79"/>
      <c r="CG168" s="79"/>
      <c r="CH168" s="79"/>
      <c r="CI168" s="79"/>
      <c r="CJ168" s="79"/>
      <c r="CK168" s="79"/>
      <c r="CL168" s="79"/>
      <c r="CM168" s="79"/>
      <c r="CN168" s="79"/>
      <c r="CO168" s="79"/>
      <c r="CP168" s="79"/>
      <c r="CQ168" s="79"/>
      <c r="CR168" s="79"/>
      <c r="CS168" s="79"/>
      <c r="CT168" s="79"/>
      <c r="CU168" s="79"/>
      <c r="CV168" s="79"/>
      <c r="CW168" s="79"/>
      <c r="CX168" s="79"/>
      <c r="CY168" s="79"/>
      <c r="CZ168" s="79"/>
      <c r="DA168" s="79"/>
      <c r="DB168" s="79"/>
      <c r="DC168" s="79"/>
      <c r="DD168" s="79"/>
      <c r="DE168" s="79"/>
      <c r="DF168" s="79"/>
      <c r="DG168" s="79"/>
      <c r="DH168" s="79"/>
      <c r="DI168" s="79"/>
      <c r="DJ168" s="79"/>
      <c r="DK168" s="79"/>
      <c r="DL168" s="79"/>
      <c r="DM168" s="79"/>
      <c r="DN168" s="79"/>
      <c r="DO168" s="79"/>
      <c r="DP168" s="79"/>
      <c r="DQ168" s="79"/>
      <c r="DR168" s="79"/>
      <c r="DS168" s="79"/>
      <c r="DT168" s="79"/>
      <c r="DU168" s="79"/>
      <c r="DV168" s="79"/>
      <c r="DW168" s="79"/>
      <c r="DX168" s="79"/>
      <c r="DY168" s="79"/>
      <c r="DZ168" s="79"/>
      <c r="EA168" s="79"/>
      <c r="EB168" s="79"/>
      <c r="EC168" s="79"/>
      <c r="ED168" s="79"/>
      <c r="EE168" s="79"/>
      <c r="EF168" s="79"/>
      <c r="EG168" s="79"/>
      <c r="EH168" s="79"/>
      <c r="EI168" s="79"/>
      <c r="EJ168" s="79"/>
      <c r="EK168" s="79"/>
      <c r="EL168" s="79"/>
      <c r="EM168" s="79"/>
      <c r="EN168" s="79"/>
      <c r="EO168" s="79"/>
      <c r="EP168" s="79"/>
      <c r="EQ168" s="79"/>
      <c r="ER168" s="79"/>
      <c r="ES168" s="79"/>
      <c r="ET168" s="79"/>
      <c r="EU168" s="79"/>
      <c r="EV168" s="79"/>
      <c r="EW168" s="79"/>
      <c r="EX168" s="79"/>
      <c r="EY168" s="79"/>
      <c r="EZ168" s="79"/>
      <c r="FA168" s="79"/>
      <c r="FB168" s="79"/>
      <c r="FC168" s="79"/>
      <c r="FD168" s="79"/>
      <c r="FE168" s="79"/>
      <c r="FF168" s="79"/>
      <c r="FG168" s="79"/>
      <c r="FH168" s="79"/>
      <c r="FI168" s="79"/>
      <c r="FJ168" s="79"/>
      <c r="FK168" s="79"/>
      <c r="FL168" s="79"/>
      <c r="FM168" s="79"/>
      <c r="FN168" s="79"/>
      <c r="FO168" s="79"/>
      <c r="FP168" s="79"/>
      <c r="FQ168" s="79"/>
      <c r="FR168" s="79"/>
      <c r="FS168" s="79"/>
      <c r="FT168" s="79"/>
      <c r="FU168" s="79"/>
      <c r="FV168" s="79"/>
      <c r="FW168" s="79"/>
      <c r="FX168" s="79"/>
      <c r="FY168" s="79"/>
      <c r="FZ168" s="79"/>
      <c r="GA168" s="79"/>
      <c r="GB168" s="79"/>
      <c r="GC168" s="79"/>
      <c r="GD168" s="79"/>
      <c r="GE168" s="79"/>
      <c r="GF168" s="79"/>
      <c r="GG168" s="79"/>
      <c r="GH168" s="79"/>
    </row>
    <row r="169" spans="1:190" ht="14.25" x14ac:dyDescent="0.2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79"/>
      <c r="AR169" s="79"/>
      <c r="AS169" s="79"/>
      <c r="AT169" s="79"/>
      <c r="AU169" s="79"/>
      <c r="AV169" s="79"/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BX169" s="79"/>
      <c r="BY169" s="79"/>
      <c r="BZ169" s="79"/>
      <c r="CA169" s="79"/>
      <c r="CB169" s="79"/>
      <c r="CC169" s="79"/>
      <c r="CD169" s="79"/>
      <c r="CE169" s="79"/>
      <c r="CF169" s="79"/>
      <c r="CG169" s="79"/>
      <c r="CH169" s="79"/>
      <c r="CI169" s="79"/>
      <c r="CJ169" s="79"/>
      <c r="CK169" s="79"/>
      <c r="CL169" s="79"/>
      <c r="CM169" s="79"/>
      <c r="CN169" s="79"/>
      <c r="CO169" s="79"/>
      <c r="CP169" s="79"/>
      <c r="CQ169" s="79"/>
      <c r="CR169" s="79"/>
      <c r="CS169" s="79"/>
      <c r="CT169" s="79"/>
      <c r="CU169" s="79"/>
      <c r="CV169" s="79"/>
      <c r="CW169" s="79"/>
      <c r="CX169" s="79"/>
      <c r="CY169" s="79"/>
      <c r="CZ169" s="79"/>
      <c r="DA169" s="79"/>
      <c r="DB169" s="79"/>
      <c r="DC169" s="79"/>
      <c r="DD169" s="79"/>
      <c r="DE169" s="79"/>
      <c r="DF169" s="79"/>
      <c r="DG169" s="79"/>
      <c r="DH169" s="79"/>
      <c r="DI169" s="79"/>
      <c r="DJ169" s="79"/>
      <c r="DK169" s="79"/>
      <c r="DL169" s="79"/>
      <c r="DM169" s="79"/>
      <c r="DN169" s="79"/>
      <c r="DO169" s="79"/>
      <c r="DP169" s="79"/>
      <c r="DQ169" s="79"/>
      <c r="DR169" s="79"/>
      <c r="DS169" s="79"/>
      <c r="DT169" s="79"/>
      <c r="DU169" s="79"/>
      <c r="DV169" s="79"/>
      <c r="DW169" s="79"/>
      <c r="DX169" s="79"/>
      <c r="DY169" s="79"/>
      <c r="DZ169" s="79"/>
      <c r="EA169" s="79"/>
      <c r="EB169" s="79"/>
      <c r="EC169" s="79"/>
      <c r="ED169" s="79"/>
      <c r="EE169" s="79"/>
      <c r="EF169" s="79"/>
      <c r="EG169" s="79"/>
      <c r="EH169" s="79"/>
      <c r="EI169" s="79"/>
      <c r="EJ169" s="79"/>
      <c r="EK169" s="79"/>
      <c r="EL169" s="79"/>
      <c r="EM169" s="79"/>
      <c r="EN169" s="79"/>
      <c r="EO169" s="79"/>
      <c r="EP169" s="79"/>
      <c r="EQ169" s="79"/>
      <c r="ER169" s="79"/>
      <c r="ES169" s="79"/>
      <c r="ET169" s="79"/>
      <c r="EU169" s="79"/>
      <c r="EV169" s="79"/>
      <c r="EW169" s="79"/>
      <c r="EX169" s="79"/>
      <c r="EY169" s="79"/>
      <c r="EZ169" s="79"/>
      <c r="FA169" s="79"/>
      <c r="FB169" s="79"/>
      <c r="FC169" s="79"/>
      <c r="FD169" s="79"/>
      <c r="FE169" s="79"/>
      <c r="FF169" s="79"/>
      <c r="FG169" s="79"/>
      <c r="FH169" s="79"/>
      <c r="FI169" s="79"/>
      <c r="FJ169" s="79"/>
      <c r="FK169" s="79"/>
      <c r="FL169" s="79"/>
      <c r="FM169" s="79"/>
      <c r="FN169" s="79"/>
      <c r="FO169" s="79"/>
      <c r="FP169" s="79"/>
      <c r="FQ169" s="79"/>
      <c r="FR169" s="79"/>
      <c r="FS169" s="79"/>
      <c r="FT169" s="79"/>
      <c r="FU169" s="79"/>
      <c r="FV169" s="79"/>
      <c r="FW169" s="79"/>
      <c r="FX169" s="79"/>
      <c r="FY169" s="79"/>
      <c r="FZ169" s="79"/>
      <c r="GA169" s="79"/>
      <c r="GB169" s="79"/>
      <c r="GC169" s="79"/>
      <c r="GD169" s="79"/>
      <c r="GE169" s="79"/>
      <c r="GF169" s="79"/>
      <c r="GG169" s="79"/>
      <c r="GH169" s="79"/>
    </row>
    <row r="170" spans="1:190" ht="14.25" x14ac:dyDescent="0.2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79"/>
      <c r="CM170" s="79"/>
      <c r="CN170" s="79"/>
      <c r="CO170" s="79"/>
      <c r="CP170" s="79"/>
      <c r="CQ170" s="79"/>
      <c r="CR170" s="79"/>
      <c r="CS170" s="79"/>
      <c r="CT170" s="79"/>
      <c r="CU170" s="79"/>
      <c r="CV170" s="79"/>
      <c r="CW170" s="79"/>
      <c r="CX170" s="79"/>
      <c r="CY170" s="79"/>
      <c r="CZ170" s="79"/>
      <c r="DA170" s="79"/>
      <c r="DB170" s="79"/>
      <c r="DC170" s="79"/>
      <c r="DD170" s="79"/>
      <c r="DE170" s="79"/>
      <c r="DF170" s="79"/>
      <c r="DG170" s="79"/>
      <c r="DH170" s="79"/>
      <c r="DI170" s="79"/>
      <c r="DJ170" s="79"/>
      <c r="DK170" s="79"/>
      <c r="DL170" s="79"/>
      <c r="DM170" s="79"/>
      <c r="DN170" s="79"/>
      <c r="DO170" s="79"/>
      <c r="DP170" s="79"/>
      <c r="DQ170" s="79"/>
      <c r="DR170" s="79"/>
      <c r="DS170" s="79"/>
      <c r="DT170" s="79"/>
      <c r="DU170" s="79"/>
      <c r="DV170" s="79"/>
      <c r="DW170" s="79"/>
      <c r="DX170" s="79"/>
      <c r="DY170" s="79"/>
      <c r="DZ170" s="79"/>
      <c r="EA170" s="79"/>
      <c r="EB170" s="79"/>
      <c r="EC170" s="79"/>
      <c r="ED170" s="79"/>
      <c r="EE170" s="79"/>
      <c r="EF170" s="79"/>
      <c r="EG170" s="79"/>
      <c r="EH170" s="79"/>
      <c r="EI170" s="79"/>
      <c r="EJ170" s="79"/>
      <c r="EK170" s="79"/>
      <c r="EL170" s="79"/>
      <c r="EM170" s="79"/>
      <c r="EN170" s="79"/>
      <c r="EO170" s="79"/>
      <c r="EP170" s="79"/>
      <c r="EQ170" s="79"/>
      <c r="ER170" s="79"/>
      <c r="ES170" s="79"/>
      <c r="ET170" s="79"/>
      <c r="EU170" s="79"/>
      <c r="EV170" s="79"/>
      <c r="EW170" s="79"/>
      <c r="EX170" s="79"/>
      <c r="EY170" s="79"/>
      <c r="EZ170" s="79"/>
      <c r="FA170" s="79"/>
      <c r="FB170" s="79"/>
      <c r="FC170" s="79"/>
      <c r="FD170" s="79"/>
      <c r="FE170" s="79"/>
      <c r="FF170" s="79"/>
      <c r="FG170" s="79"/>
      <c r="FH170" s="79"/>
      <c r="FI170" s="79"/>
      <c r="FJ170" s="79"/>
      <c r="FK170" s="79"/>
      <c r="FL170" s="79"/>
      <c r="FM170" s="79"/>
      <c r="FN170" s="79"/>
      <c r="FO170" s="79"/>
      <c r="FP170" s="79"/>
      <c r="FQ170" s="79"/>
      <c r="FR170" s="79"/>
      <c r="FS170" s="79"/>
      <c r="FT170" s="79"/>
      <c r="FU170" s="79"/>
      <c r="FV170" s="79"/>
      <c r="FW170" s="79"/>
      <c r="FX170" s="79"/>
      <c r="FY170" s="79"/>
      <c r="FZ170" s="79"/>
      <c r="GA170" s="79"/>
      <c r="GB170" s="79"/>
      <c r="GC170" s="79"/>
      <c r="GD170" s="79"/>
      <c r="GE170" s="79"/>
      <c r="GF170" s="79"/>
      <c r="GG170" s="79"/>
      <c r="GH170" s="79"/>
    </row>
    <row r="171" spans="1:190" ht="14.25" x14ac:dyDescent="0.2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79"/>
      <c r="DR171" s="79"/>
      <c r="DS171" s="79"/>
      <c r="DT171" s="79"/>
      <c r="DU171" s="79"/>
      <c r="DV171" s="79"/>
      <c r="DW171" s="79"/>
      <c r="DX171" s="79"/>
      <c r="DY171" s="79"/>
      <c r="DZ171" s="79"/>
      <c r="EA171" s="79"/>
      <c r="EB171" s="79"/>
      <c r="EC171" s="79"/>
      <c r="ED171" s="79"/>
      <c r="EE171" s="79"/>
      <c r="EF171" s="79"/>
      <c r="EG171" s="79"/>
      <c r="EH171" s="79"/>
      <c r="EI171" s="79"/>
      <c r="EJ171" s="79"/>
      <c r="EK171" s="79"/>
      <c r="EL171" s="79"/>
      <c r="EM171" s="79"/>
      <c r="EN171" s="79"/>
      <c r="EO171" s="79"/>
      <c r="EP171" s="79"/>
      <c r="EQ171" s="79"/>
      <c r="ER171" s="79"/>
      <c r="ES171" s="79"/>
      <c r="ET171" s="79"/>
      <c r="EU171" s="79"/>
      <c r="EV171" s="79"/>
      <c r="EW171" s="79"/>
      <c r="EX171" s="79"/>
      <c r="EY171" s="79"/>
      <c r="EZ171" s="79"/>
      <c r="FA171" s="79"/>
      <c r="FB171" s="79"/>
      <c r="FC171" s="79"/>
      <c r="FD171" s="79"/>
      <c r="FE171" s="79"/>
      <c r="FF171" s="79"/>
      <c r="FG171" s="79"/>
      <c r="FH171" s="79"/>
      <c r="FI171" s="79"/>
      <c r="FJ171" s="79"/>
      <c r="FK171" s="79"/>
      <c r="FL171" s="79"/>
      <c r="FM171" s="79"/>
      <c r="FN171" s="79"/>
      <c r="FO171" s="79"/>
      <c r="FP171" s="79"/>
      <c r="FQ171" s="79"/>
      <c r="FR171" s="79"/>
      <c r="FS171" s="79"/>
      <c r="FT171" s="79"/>
      <c r="FU171" s="79"/>
      <c r="FV171" s="79"/>
      <c r="FW171" s="79"/>
      <c r="FX171" s="79"/>
      <c r="FY171" s="79"/>
      <c r="FZ171" s="79"/>
      <c r="GA171" s="79"/>
      <c r="GB171" s="79"/>
      <c r="GC171" s="79"/>
      <c r="GD171" s="79"/>
      <c r="GE171" s="79"/>
      <c r="GF171" s="79"/>
      <c r="GG171" s="79"/>
      <c r="GH171" s="79"/>
    </row>
    <row r="172" spans="1:190" ht="14.25" x14ac:dyDescent="0.2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  <c r="AU172" s="79"/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79"/>
      <c r="CM172" s="79"/>
      <c r="CN172" s="79"/>
      <c r="CO172" s="79"/>
      <c r="CP172" s="79"/>
      <c r="CQ172" s="79"/>
      <c r="CR172" s="79"/>
      <c r="CS172" s="79"/>
      <c r="CT172" s="79"/>
      <c r="CU172" s="79"/>
      <c r="CV172" s="79"/>
      <c r="CW172" s="79"/>
      <c r="CX172" s="79"/>
      <c r="CY172" s="79"/>
      <c r="CZ172" s="79"/>
      <c r="DA172" s="79"/>
      <c r="DB172" s="79"/>
      <c r="DC172" s="79"/>
      <c r="DD172" s="79"/>
      <c r="DE172" s="79"/>
      <c r="DF172" s="79"/>
      <c r="DG172" s="79"/>
      <c r="DH172" s="79"/>
      <c r="DI172" s="79"/>
      <c r="DJ172" s="79"/>
      <c r="DK172" s="79"/>
      <c r="DL172" s="79"/>
      <c r="DM172" s="79"/>
      <c r="DN172" s="79"/>
      <c r="DO172" s="79"/>
      <c r="DP172" s="79"/>
      <c r="DQ172" s="79"/>
      <c r="DR172" s="79"/>
      <c r="DS172" s="79"/>
      <c r="DT172" s="79"/>
      <c r="DU172" s="79"/>
      <c r="DV172" s="79"/>
      <c r="DW172" s="79"/>
      <c r="DX172" s="79"/>
      <c r="DY172" s="79"/>
      <c r="DZ172" s="79"/>
      <c r="EA172" s="79"/>
      <c r="EB172" s="79"/>
      <c r="EC172" s="79"/>
      <c r="ED172" s="79"/>
      <c r="EE172" s="79"/>
      <c r="EF172" s="79"/>
      <c r="EG172" s="79"/>
      <c r="EH172" s="79"/>
      <c r="EI172" s="79"/>
      <c r="EJ172" s="79"/>
      <c r="EK172" s="79"/>
      <c r="EL172" s="79"/>
      <c r="EM172" s="79"/>
      <c r="EN172" s="79"/>
      <c r="EO172" s="79"/>
      <c r="EP172" s="79"/>
      <c r="EQ172" s="79"/>
      <c r="ER172" s="79"/>
      <c r="ES172" s="79"/>
      <c r="ET172" s="79"/>
      <c r="EU172" s="79"/>
      <c r="EV172" s="79"/>
      <c r="EW172" s="79"/>
      <c r="EX172" s="79"/>
      <c r="EY172" s="79"/>
      <c r="EZ172" s="79"/>
      <c r="FA172" s="79"/>
      <c r="FB172" s="79"/>
      <c r="FC172" s="79"/>
      <c r="FD172" s="79"/>
      <c r="FE172" s="79"/>
      <c r="FF172" s="79"/>
      <c r="FG172" s="79"/>
      <c r="FH172" s="79"/>
      <c r="FI172" s="79"/>
      <c r="FJ172" s="79"/>
      <c r="FK172" s="79"/>
      <c r="FL172" s="79"/>
      <c r="FM172" s="79"/>
      <c r="FN172" s="79"/>
      <c r="FO172" s="79"/>
      <c r="FP172" s="79"/>
      <c r="FQ172" s="79"/>
      <c r="FR172" s="79"/>
      <c r="FS172" s="79"/>
      <c r="FT172" s="79"/>
      <c r="FU172" s="79"/>
      <c r="FV172" s="79"/>
      <c r="FW172" s="79"/>
      <c r="FX172" s="79"/>
      <c r="FY172" s="79"/>
      <c r="FZ172" s="79"/>
      <c r="GA172" s="79"/>
      <c r="GB172" s="79"/>
      <c r="GC172" s="79"/>
      <c r="GD172" s="79"/>
      <c r="GE172" s="79"/>
      <c r="GF172" s="79"/>
      <c r="GG172" s="79"/>
      <c r="GH172" s="79"/>
    </row>
    <row r="173" spans="1:190" ht="14.25" x14ac:dyDescent="0.2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79"/>
      <c r="CK173" s="79"/>
      <c r="CL173" s="79"/>
      <c r="CM173" s="79"/>
      <c r="CN173" s="79"/>
      <c r="CO173" s="79"/>
      <c r="CP173" s="79"/>
      <c r="CQ173" s="79"/>
      <c r="CR173" s="79"/>
      <c r="CS173" s="79"/>
      <c r="CT173" s="79"/>
      <c r="CU173" s="79"/>
      <c r="CV173" s="79"/>
      <c r="CW173" s="79"/>
      <c r="CX173" s="79"/>
      <c r="CY173" s="79"/>
      <c r="CZ173" s="79"/>
      <c r="DA173" s="79"/>
      <c r="DB173" s="79"/>
      <c r="DC173" s="79"/>
      <c r="DD173" s="79"/>
      <c r="DE173" s="79"/>
      <c r="DF173" s="79"/>
      <c r="DG173" s="79"/>
      <c r="DH173" s="79"/>
      <c r="DI173" s="79"/>
      <c r="DJ173" s="79"/>
      <c r="DK173" s="79"/>
      <c r="DL173" s="79"/>
      <c r="DM173" s="79"/>
      <c r="DN173" s="79"/>
      <c r="DO173" s="79"/>
      <c r="DP173" s="79"/>
      <c r="DQ173" s="79"/>
      <c r="DR173" s="79"/>
      <c r="DS173" s="79"/>
      <c r="DT173" s="79"/>
      <c r="DU173" s="79"/>
      <c r="DV173" s="79"/>
      <c r="DW173" s="79"/>
      <c r="DX173" s="79"/>
      <c r="DY173" s="79"/>
      <c r="DZ173" s="79"/>
      <c r="EA173" s="79"/>
      <c r="EB173" s="79"/>
      <c r="EC173" s="79"/>
      <c r="ED173" s="79"/>
      <c r="EE173" s="79"/>
      <c r="EF173" s="79"/>
      <c r="EG173" s="79"/>
      <c r="EH173" s="79"/>
      <c r="EI173" s="79"/>
      <c r="EJ173" s="79"/>
      <c r="EK173" s="79"/>
      <c r="EL173" s="79"/>
      <c r="EM173" s="79"/>
      <c r="EN173" s="79"/>
      <c r="EO173" s="79"/>
      <c r="EP173" s="79"/>
      <c r="EQ173" s="79"/>
      <c r="ER173" s="79"/>
      <c r="ES173" s="79"/>
      <c r="ET173" s="79"/>
      <c r="EU173" s="79"/>
      <c r="EV173" s="79"/>
      <c r="EW173" s="79"/>
      <c r="EX173" s="79"/>
      <c r="EY173" s="79"/>
      <c r="EZ173" s="79"/>
      <c r="FA173" s="79"/>
      <c r="FB173" s="79"/>
      <c r="FC173" s="79"/>
      <c r="FD173" s="79"/>
      <c r="FE173" s="79"/>
      <c r="FF173" s="79"/>
      <c r="FG173" s="79"/>
      <c r="FH173" s="79"/>
      <c r="FI173" s="79"/>
      <c r="FJ173" s="79"/>
      <c r="FK173" s="79"/>
      <c r="FL173" s="79"/>
      <c r="FM173" s="79"/>
      <c r="FN173" s="79"/>
      <c r="FO173" s="79"/>
      <c r="FP173" s="79"/>
      <c r="FQ173" s="79"/>
      <c r="FR173" s="79"/>
      <c r="FS173" s="79"/>
      <c r="FT173" s="79"/>
      <c r="FU173" s="79"/>
      <c r="FV173" s="79"/>
      <c r="FW173" s="79"/>
      <c r="FX173" s="79"/>
      <c r="FY173" s="79"/>
      <c r="FZ173" s="79"/>
      <c r="GA173" s="79"/>
      <c r="GB173" s="79"/>
      <c r="GC173" s="79"/>
      <c r="GD173" s="79"/>
      <c r="GE173" s="79"/>
      <c r="GF173" s="79"/>
      <c r="GG173" s="79"/>
      <c r="GH173" s="79"/>
    </row>
    <row r="174" spans="1:190" ht="14.25" x14ac:dyDescent="0.2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79"/>
      <c r="CH174" s="79"/>
      <c r="CI174" s="79"/>
      <c r="CJ174" s="79"/>
      <c r="CK174" s="79"/>
      <c r="CL174" s="79"/>
      <c r="CM174" s="79"/>
      <c r="CN174" s="79"/>
      <c r="CO174" s="79"/>
      <c r="CP174" s="79"/>
      <c r="CQ174" s="79"/>
      <c r="CR174" s="79"/>
      <c r="CS174" s="79"/>
      <c r="CT174" s="79"/>
      <c r="CU174" s="79"/>
      <c r="CV174" s="79"/>
      <c r="CW174" s="79"/>
      <c r="CX174" s="79"/>
      <c r="CY174" s="79"/>
      <c r="CZ174" s="79"/>
      <c r="DA174" s="79"/>
      <c r="DB174" s="79"/>
      <c r="DC174" s="79"/>
      <c r="DD174" s="79"/>
      <c r="DE174" s="79"/>
      <c r="DF174" s="79"/>
      <c r="DG174" s="79"/>
      <c r="DH174" s="79"/>
      <c r="DI174" s="79"/>
      <c r="DJ174" s="79"/>
      <c r="DK174" s="79"/>
      <c r="DL174" s="79"/>
      <c r="DM174" s="79"/>
      <c r="DN174" s="79"/>
      <c r="DO174" s="79"/>
      <c r="DP174" s="79"/>
      <c r="DQ174" s="79"/>
      <c r="DR174" s="79"/>
      <c r="DS174" s="79"/>
      <c r="DT174" s="79"/>
      <c r="DU174" s="79"/>
      <c r="DV174" s="79"/>
      <c r="DW174" s="79"/>
      <c r="DX174" s="79"/>
      <c r="DY174" s="79"/>
      <c r="DZ174" s="79"/>
      <c r="EA174" s="79"/>
      <c r="EB174" s="79"/>
      <c r="EC174" s="79"/>
      <c r="ED174" s="79"/>
      <c r="EE174" s="79"/>
      <c r="EF174" s="79"/>
      <c r="EG174" s="79"/>
      <c r="EH174" s="79"/>
      <c r="EI174" s="79"/>
      <c r="EJ174" s="79"/>
      <c r="EK174" s="79"/>
      <c r="EL174" s="79"/>
      <c r="EM174" s="79"/>
      <c r="EN174" s="79"/>
      <c r="EO174" s="79"/>
      <c r="EP174" s="79"/>
      <c r="EQ174" s="79"/>
      <c r="ER174" s="79"/>
      <c r="ES174" s="79"/>
      <c r="ET174" s="79"/>
      <c r="EU174" s="79"/>
      <c r="EV174" s="79"/>
      <c r="EW174" s="79"/>
      <c r="EX174" s="79"/>
      <c r="EY174" s="79"/>
      <c r="EZ174" s="79"/>
      <c r="FA174" s="79"/>
      <c r="FB174" s="79"/>
      <c r="FC174" s="79"/>
      <c r="FD174" s="79"/>
      <c r="FE174" s="79"/>
      <c r="FF174" s="79"/>
      <c r="FG174" s="79"/>
      <c r="FH174" s="79"/>
      <c r="FI174" s="79"/>
      <c r="FJ174" s="79"/>
      <c r="FK174" s="79"/>
      <c r="FL174" s="79"/>
      <c r="FM174" s="79"/>
      <c r="FN174" s="79"/>
      <c r="FO174" s="79"/>
      <c r="FP174" s="79"/>
      <c r="FQ174" s="79"/>
      <c r="FR174" s="79"/>
      <c r="FS174" s="79"/>
      <c r="FT174" s="79"/>
      <c r="FU174" s="79"/>
      <c r="FV174" s="79"/>
      <c r="FW174" s="79"/>
      <c r="FX174" s="79"/>
      <c r="FY174" s="79"/>
      <c r="FZ174" s="79"/>
      <c r="GA174" s="79"/>
      <c r="GB174" s="79"/>
      <c r="GC174" s="79"/>
      <c r="GD174" s="79"/>
      <c r="GE174" s="79"/>
      <c r="GF174" s="79"/>
      <c r="GG174" s="79"/>
      <c r="GH174" s="79"/>
    </row>
    <row r="175" spans="1:190" ht="14.25" x14ac:dyDescent="0.2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  <c r="AU175" s="79"/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79"/>
      <c r="CH175" s="79"/>
      <c r="CI175" s="79"/>
      <c r="CJ175" s="79"/>
      <c r="CK175" s="79"/>
      <c r="CL175" s="79"/>
      <c r="CM175" s="79"/>
      <c r="CN175" s="79"/>
      <c r="CO175" s="79"/>
      <c r="CP175" s="79"/>
      <c r="CQ175" s="79"/>
      <c r="CR175" s="79"/>
      <c r="CS175" s="79"/>
      <c r="CT175" s="79"/>
      <c r="CU175" s="79"/>
      <c r="CV175" s="79"/>
      <c r="CW175" s="79"/>
      <c r="CX175" s="79"/>
      <c r="CY175" s="79"/>
      <c r="CZ175" s="79"/>
      <c r="DA175" s="79"/>
      <c r="DB175" s="79"/>
      <c r="DC175" s="79"/>
      <c r="DD175" s="79"/>
      <c r="DE175" s="79"/>
      <c r="DF175" s="79"/>
      <c r="DG175" s="79"/>
      <c r="DH175" s="79"/>
      <c r="DI175" s="79"/>
      <c r="DJ175" s="79"/>
      <c r="DK175" s="79"/>
      <c r="DL175" s="79"/>
      <c r="DM175" s="79"/>
      <c r="DN175" s="79"/>
      <c r="DO175" s="79"/>
      <c r="DP175" s="79"/>
      <c r="DQ175" s="79"/>
      <c r="DR175" s="79"/>
      <c r="DS175" s="79"/>
      <c r="DT175" s="79"/>
      <c r="DU175" s="79"/>
      <c r="DV175" s="79"/>
      <c r="DW175" s="79"/>
      <c r="DX175" s="79"/>
      <c r="DY175" s="79"/>
      <c r="DZ175" s="79"/>
      <c r="EA175" s="79"/>
      <c r="EB175" s="79"/>
      <c r="EC175" s="79"/>
      <c r="ED175" s="79"/>
      <c r="EE175" s="79"/>
      <c r="EF175" s="79"/>
      <c r="EG175" s="79"/>
      <c r="EH175" s="79"/>
      <c r="EI175" s="79"/>
      <c r="EJ175" s="79"/>
      <c r="EK175" s="79"/>
      <c r="EL175" s="79"/>
      <c r="EM175" s="79"/>
      <c r="EN175" s="79"/>
      <c r="EO175" s="79"/>
      <c r="EP175" s="79"/>
      <c r="EQ175" s="79"/>
      <c r="ER175" s="79"/>
      <c r="ES175" s="79"/>
      <c r="ET175" s="79"/>
      <c r="EU175" s="79"/>
      <c r="EV175" s="79"/>
      <c r="EW175" s="79"/>
      <c r="EX175" s="79"/>
      <c r="EY175" s="79"/>
      <c r="EZ175" s="79"/>
      <c r="FA175" s="79"/>
      <c r="FB175" s="79"/>
      <c r="FC175" s="79"/>
      <c r="FD175" s="79"/>
      <c r="FE175" s="79"/>
      <c r="FF175" s="79"/>
      <c r="FG175" s="79"/>
      <c r="FH175" s="79"/>
      <c r="FI175" s="79"/>
      <c r="FJ175" s="79"/>
      <c r="FK175" s="79"/>
      <c r="FL175" s="79"/>
      <c r="FM175" s="79"/>
      <c r="FN175" s="79"/>
      <c r="FO175" s="79"/>
      <c r="FP175" s="79"/>
      <c r="FQ175" s="79"/>
      <c r="FR175" s="79"/>
      <c r="FS175" s="79"/>
      <c r="FT175" s="79"/>
      <c r="FU175" s="79"/>
      <c r="FV175" s="79"/>
      <c r="FW175" s="79"/>
      <c r="FX175" s="79"/>
      <c r="FY175" s="79"/>
      <c r="FZ175" s="79"/>
      <c r="GA175" s="79"/>
      <c r="GB175" s="79"/>
      <c r="GC175" s="79"/>
      <c r="GD175" s="79"/>
      <c r="GE175" s="79"/>
      <c r="GF175" s="79"/>
      <c r="GG175" s="79"/>
      <c r="GH175" s="79"/>
    </row>
    <row r="176" spans="1:190" ht="14.25" x14ac:dyDescent="0.2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  <c r="CC176" s="79"/>
      <c r="CD176" s="79"/>
      <c r="CE176" s="79"/>
      <c r="CF176" s="79"/>
      <c r="CG176" s="79"/>
      <c r="CH176" s="79"/>
      <c r="CI176" s="79"/>
      <c r="CJ176" s="79"/>
      <c r="CK176" s="79"/>
      <c r="CL176" s="79"/>
      <c r="CM176" s="79"/>
      <c r="CN176" s="79"/>
      <c r="CO176" s="79"/>
      <c r="CP176" s="79"/>
      <c r="CQ176" s="79"/>
      <c r="CR176" s="79"/>
      <c r="CS176" s="79"/>
      <c r="CT176" s="79"/>
      <c r="CU176" s="79"/>
      <c r="CV176" s="79"/>
      <c r="CW176" s="79"/>
      <c r="CX176" s="79"/>
      <c r="CY176" s="79"/>
      <c r="CZ176" s="79"/>
      <c r="DA176" s="79"/>
      <c r="DB176" s="79"/>
      <c r="DC176" s="79"/>
      <c r="DD176" s="79"/>
      <c r="DE176" s="79"/>
      <c r="DF176" s="79"/>
      <c r="DG176" s="79"/>
      <c r="DH176" s="79"/>
      <c r="DI176" s="79"/>
      <c r="DJ176" s="79"/>
      <c r="DK176" s="79"/>
      <c r="DL176" s="79"/>
      <c r="DM176" s="79"/>
      <c r="DN176" s="79"/>
      <c r="DO176" s="79"/>
      <c r="DP176" s="79"/>
      <c r="DQ176" s="79"/>
      <c r="DR176" s="79"/>
      <c r="DS176" s="79"/>
      <c r="DT176" s="79"/>
      <c r="DU176" s="79"/>
      <c r="DV176" s="79"/>
      <c r="DW176" s="79"/>
      <c r="DX176" s="79"/>
      <c r="DY176" s="79"/>
      <c r="DZ176" s="79"/>
      <c r="EA176" s="79"/>
      <c r="EB176" s="79"/>
      <c r="EC176" s="79"/>
      <c r="ED176" s="79"/>
      <c r="EE176" s="79"/>
      <c r="EF176" s="79"/>
      <c r="EG176" s="79"/>
      <c r="EH176" s="79"/>
      <c r="EI176" s="79"/>
      <c r="EJ176" s="79"/>
      <c r="EK176" s="79"/>
      <c r="EL176" s="79"/>
      <c r="EM176" s="79"/>
      <c r="EN176" s="79"/>
      <c r="EO176" s="79"/>
      <c r="EP176" s="79"/>
      <c r="EQ176" s="79"/>
      <c r="ER176" s="79"/>
      <c r="ES176" s="79"/>
      <c r="ET176" s="79"/>
      <c r="EU176" s="79"/>
      <c r="EV176" s="79"/>
      <c r="EW176" s="79"/>
      <c r="EX176" s="79"/>
      <c r="EY176" s="79"/>
      <c r="EZ176" s="79"/>
      <c r="FA176" s="79"/>
      <c r="FB176" s="79"/>
      <c r="FC176" s="79"/>
      <c r="FD176" s="79"/>
      <c r="FE176" s="79"/>
      <c r="FF176" s="79"/>
      <c r="FG176" s="79"/>
      <c r="FH176" s="79"/>
      <c r="FI176" s="79"/>
      <c r="FJ176" s="79"/>
      <c r="FK176" s="79"/>
      <c r="FL176" s="79"/>
      <c r="FM176" s="79"/>
      <c r="FN176" s="79"/>
      <c r="FO176" s="79"/>
      <c r="FP176" s="79"/>
      <c r="FQ176" s="79"/>
      <c r="FR176" s="79"/>
      <c r="FS176" s="79"/>
      <c r="FT176" s="79"/>
      <c r="FU176" s="79"/>
      <c r="FV176" s="79"/>
      <c r="FW176" s="79"/>
      <c r="FX176" s="79"/>
      <c r="FY176" s="79"/>
      <c r="FZ176" s="79"/>
      <c r="GA176" s="79"/>
      <c r="GB176" s="79"/>
      <c r="GC176" s="79"/>
      <c r="GD176" s="79"/>
      <c r="GE176" s="79"/>
      <c r="GF176" s="79"/>
      <c r="GG176" s="79"/>
      <c r="GH176" s="79"/>
    </row>
    <row r="177" spans="1:190" ht="14.25" x14ac:dyDescent="0.2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79"/>
      <c r="CA177" s="79"/>
      <c r="CB177" s="79"/>
      <c r="CC177" s="79"/>
      <c r="CD177" s="79"/>
      <c r="CE177" s="79"/>
      <c r="CF177" s="79"/>
      <c r="CG177" s="79"/>
      <c r="CH177" s="79"/>
      <c r="CI177" s="79"/>
      <c r="CJ177" s="79"/>
      <c r="CK177" s="79"/>
      <c r="CL177" s="79"/>
      <c r="CM177" s="79"/>
      <c r="CN177" s="79"/>
      <c r="CO177" s="79"/>
      <c r="CP177" s="79"/>
      <c r="CQ177" s="79"/>
      <c r="CR177" s="79"/>
      <c r="CS177" s="79"/>
      <c r="CT177" s="79"/>
      <c r="CU177" s="79"/>
      <c r="CV177" s="79"/>
      <c r="CW177" s="79"/>
      <c r="CX177" s="79"/>
      <c r="CY177" s="79"/>
      <c r="CZ177" s="79"/>
      <c r="DA177" s="79"/>
      <c r="DB177" s="79"/>
      <c r="DC177" s="79"/>
      <c r="DD177" s="79"/>
      <c r="DE177" s="79"/>
      <c r="DF177" s="79"/>
      <c r="DG177" s="79"/>
      <c r="DH177" s="79"/>
      <c r="DI177" s="79"/>
      <c r="DJ177" s="79"/>
      <c r="DK177" s="79"/>
      <c r="DL177" s="79"/>
      <c r="DM177" s="79"/>
      <c r="DN177" s="79"/>
      <c r="DO177" s="79"/>
      <c r="DP177" s="79"/>
      <c r="DQ177" s="79"/>
      <c r="DR177" s="79"/>
      <c r="DS177" s="79"/>
      <c r="DT177" s="79"/>
      <c r="DU177" s="79"/>
      <c r="DV177" s="79"/>
      <c r="DW177" s="79"/>
      <c r="DX177" s="79"/>
      <c r="DY177" s="79"/>
      <c r="DZ177" s="79"/>
      <c r="EA177" s="79"/>
      <c r="EB177" s="79"/>
      <c r="EC177" s="79"/>
      <c r="ED177" s="79"/>
      <c r="EE177" s="79"/>
      <c r="EF177" s="79"/>
      <c r="EG177" s="79"/>
      <c r="EH177" s="79"/>
      <c r="EI177" s="79"/>
      <c r="EJ177" s="79"/>
      <c r="EK177" s="79"/>
      <c r="EL177" s="79"/>
      <c r="EM177" s="79"/>
      <c r="EN177" s="79"/>
      <c r="EO177" s="79"/>
      <c r="EP177" s="79"/>
      <c r="EQ177" s="79"/>
      <c r="ER177" s="79"/>
      <c r="ES177" s="79"/>
      <c r="ET177" s="79"/>
      <c r="EU177" s="79"/>
      <c r="EV177" s="79"/>
      <c r="EW177" s="79"/>
      <c r="EX177" s="79"/>
      <c r="EY177" s="79"/>
      <c r="EZ177" s="79"/>
      <c r="FA177" s="79"/>
      <c r="FB177" s="79"/>
      <c r="FC177" s="79"/>
      <c r="FD177" s="79"/>
      <c r="FE177" s="79"/>
      <c r="FF177" s="79"/>
      <c r="FG177" s="79"/>
      <c r="FH177" s="79"/>
      <c r="FI177" s="79"/>
      <c r="FJ177" s="79"/>
      <c r="FK177" s="79"/>
      <c r="FL177" s="79"/>
      <c r="FM177" s="79"/>
      <c r="FN177" s="79"/>
      <c r="FO177" s="79"/>
      <c r="FP177" s="79"/>
      <c r="FQ177" s="79"/>
      <c r="FR177" s="79"/>
      <c r="FS177" s="79"/>
      <c r="FT177" s="79"/>
      <c r="FU177" s="79"/>
      <c r="FV177" s="79"/>
      <c r="FW177" s="79"/>
      <c r="FX177" s="79"/>
      <c r="FY177" s="79"/>
      <c r="FZ177" s="79"/>
      <c r="GA177" s="79"/>
      <c r="GB177" s="79"/>
      <c r="GC177" s="79"/>
      <c r="GD177" s="79"/>
      <c r="GE177" s="79"/>
      <c r="GF177" s="79"/>
      <c r="GG177" s="79"/>
      <c r="GH177" s="79"/>
    </row>
    <row r="178" spans="1:190" ht="14.25" x14ac:dyDescent="0.2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  <c r="CC178" s="79"/>
      <c r="CD178" s="79"/>
      <c r="CE178" s="79"/>
      <c r="CF178" s="79"/>
      <c r="CG178" s="79"/>
      <c r="CH178" s="79"/>
      <c r="CI178" s="79"/>
      <c r="CJ178" s="79"/>
      <c r="CK178" s="79"/>
      <c r="CL178" s="79"/>
      <c r="CM178" s="79"/>
      <c r="CN178" s="79"/>
      <c r="CO178" s="79"/>
      <c r="CP178" s="79"/>
      <c r="CQ178" s="79"/>
      <c r="CR178" s="79"/>
      <c r="CS178" s="79"/>
      <c r="CT178" s="79"/>
      <c r="CU178" s="79"/>
      <c r="CV178" s="79"/>
      <c r="CW178" s="79"/>
      <c r="CX178" s="79"/>
      <c r="CY178" s="79"/>
      <c r="CZ178" s="79"/>
      <c r="DA178" s="79"/>
      <c r="DB178" s="79"/>
      <c r="DC178" s="79"/>
      <c r="DD178" s="79"/>
      <c r="DE178" s="79"/>
      <c r="DF178" s="79"/>
      <c r="DG178" s="79"/>
      <c r="DH178" s="79"/>
      <c r="DI178" s="79"/>
      <c r="DJ178" s="79"/>
      <c r="DK178" s="79"/>
      <c r="DL178" s="79"/>
      <c r="DM178" s="79"/>
      <c r="DN178" s="79"/>
      <c r="DO178" s="79"/>
      <c r="DP178" s="79"/>
      <c r="DQ178" s="79"/>
      <c r="DR178" s="79"/>
      <c r="DS178" s="79"/>
      <c r="DT178" s="79"/>
      <c r="DU178" s="79"/>
      <c r="DV178" s="79"/>
      <c r="DW178" s="79"/>
      <c r="DX178" s="79"/>
      <c r="DY178" s="79"/>
      <c r="DZ178" s="79"/>
      <c r="EA178" s="79"/>
      <c r="EB178" s="79"/>
      <c r="EC178" s="79"/>
      <c r="ED178" s="79"/>
      <c r="EE178" s="79"/>
      <c r="EF178" s="79"/>
      <c r="EG178" s="79"/>
      <c r="EH178" s="79"/>
      <c r="EI178" s="79"/>
      <c r="EJ178" s="79"/>
      <c r="EK178" s="79"/>
      <c r="EL178" s="79"/>
      <c r="EM178" s="79"/>
      <c r="EN178" s="79"/>
      <c r="EO178" s="79"/>
      <c r="EP178" s="79"/>
      <c r="EQ178" s="79"/>
      <c r="ER178" s="79"/>
      <c r="ES178" s="79"/>
      <c r="ET178" s="79"/>
      <c r="EU178" s="79"/>
      <c r="EV178" s="79"/>
      <c r="EW178" s="79"/>
      <c r="EX178" s="79"/>
      <c r="EY178" s="79"/>
      <c r="EZ178" s="79"/>
      <c r="FA178" s="79"/>
      <c r="FB178" s="79"/>
      <c r="FC178" s="79"/>
      <c r="FD178" s="79"/>
      <c r="FE178" s="79"/>
      <c r="FF178" s="79"/>
      <c r="FG178" s="79"/>
      <c r="FH178" s="79"/>
      <c r="FI178" s="79"/>
      <c r="FJ178" s="79"/>
      <c r="FK178" s="79"/>
      <c r="FL178" s="79"/>
      <c r="FM178" s="79"/>
      <c r="FN178" s="79"/>
      <c r="FO178" s="79"/>
      <c r="FP178" s="79"/>
      <c r="FQ178" s="79"/>
      <c r="FR178" s="79"/>
      <c r="FS178" s="79"/>
      <c r="FT178" s="79"/>
      <c r="FU178" s="79"/>
      <c r="FV178" s="79"/>
      <c r="FW178" s="79"/>
      <c r="FX178" s="79"/>
      <c r="FY178" s="79"/>
      <c r="FZ178" s="79"/>
      <c r="GA178" s="79"/>
      <c r="GB178" s="79"/>
      <c r="GC178" s="79"/>
      <c r="GD178" s="79"/>
      <c r="GE178" s="79"/>
      <c r="GF178" s="79"/>
      <c r="GG178" s="79"/>
      <c r="GH178" s="79"/>
    </row>
    <row r="179" spans="1:190" ht="14.25" x14ac:dyDescent="0.2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79"/>
      <c r="BH179" s="79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79"/>
      <c r="CA179" s="79"/>
      <c r="CB179" s="79"/>
      <c r="CC179" s="79"/>
      <c r="CD179" s="79"/>
      <c r="CE179" s="79"/>
      <c r="CF179" s="79"/>
      <c r="CG179" s="79"/>
      <c r="CH179" s="79"/>
      <c r="CI179" s="79"/>
      <c r="CJ179" s="79"/>
      <c r="CK179" s="79"/>
      <c r="CL179" s="79"/>
      <c r="CM179" s="79"/>
      <c r="CN179" s="79"/>
      <c r="CO179" s="79"/>
      <c r="CP179" s="79"/>
      <c r="CQ179" s="79"/>
      <c r="CR179" s="79"/>
      <c r="CS179" s="79"/>
      <c r="CT179" s="79"/>
      <c r="CU179" s="79"/>
      <c r="CV179" s="79"/>
      <c r="CW179" s="79"/>
      <c r="CX179" s="79"/>
      <c r="CY179" s="79"/>
      <c r="CZ179" s="79"/>
      <c r="DA179" s="79"/>
      <c r="DB179" s="79"/>
      <c r="DC179" s="79"/>
      <c r="DD179" s="79"/>
      <c r="DE179" s="79"/>
      <c r="DF179" s="79"/>
      <c r="DG179" s="79"/>
      <c r="DH179" s="79"/>
      <c r="DI179" s="79"/>
      <c r="DJ179" s="79"/>
      <c r="DK179" s="79"/>
      <c r="DL179" s="79"/>
      <c r="DM179" s="79"/>
      <c r="DN179" s="79"/>
      <c r="DO179" s="79"/>
      <c r="DP179" s="79"/>
      <c r="DQ179" s="79"/>
      <c r="DR179" s="79"/>
      <c r="DS179" s="79"/>
      <c r="DT179" s="79"/>
      <c r="DU179" s="79"/>
      <c r="DV179" s="79"/>
      <c r="DW179" s="79"/>
      <c r="DX179" s="79"/>
      <c r="DY179" s="79"/>
      <c r="DZ179" s="79"/>
      <c r="EA179" s="79"/>
      <c r="EB179" s="79"/>
      <c r="EC179" s="79"/>
      <c r="ED179" s="79"/>
      <c r="EE179" s="79"/>
      <c r="EF179" s="79"/>
      <c r="EG179" s="79"/>
      <c r="EH179" s="79"/>
      <c r="EI179" s="79"/>
      <c r="EJ179" s="79"/>
      <c r="EK179" s="79"/>
      <c r="EL179" s="79"/>
      <c r="EM179" s="79"/>
      <c r="EN179" s="79"/>
      <c r="EO179" s="79"/>
      <c r="EP179" s="79"/>
      <c r="EQ179" s="79"/>
      <c r="ER179" s="79"/>
      <c r="ES179" s="79"/>
      <c r="ET179" s="79"/>
      <c r="EU179" s="79"/>
      <c r="EV179" s="79"/>
      <c r="EW179" s="79"/>
      <c r="EX179" s="79"/>
      <c r="EY179" s="79"/>
      <c r="EZ179" s="79"/>
      <c r="FA179" s="79"/>
      <c r="FB179" s="79"/>
      <c r="FC179" s="79"/>
      <c r="FD179" s="79"/>
      <c r="FE179" s="79"/>
      <c r="FF179" s="79"/>
      <c r="FG179" s="79"/>
      <c r="FH179" s="79"/>
      <c r="FI179" s="79"/>
      <c r="FJ179" s="79"/>
      <c r="FK179" s="79"/>
      <c r="FL179" s="79"/>
      <c r="FM179" s="79"/>
      <c r="FN179" s="79"/>
      <c r="FO179" s="79"/>
      <c r="FP179" s="79"/>
      <c r="FQ179" s="79"/>
      <c r="FR179" s="79"/>
      <c r="FS179" s="79"/>
      <c r="FT179" s="79"/>
      <c r="FU179" s="79"/>
      <c r="FV179" s="79"/>
      <c r="FW179" s="79"/>
      <c r="FX179" s="79"/>
      <c r="FY179" s="79"/>
      <c r="FZ179" s="79"/>
      <c r="GA179" s="79"/>
      <c r="GB179" s="79"/>
      <c r="GC179" s="79"/>
      <c r="GD179" s="79"/>
      <c r="GE179" s="79"/>
      <c r="GF179" s="79"/>
      <c r="GG179" s="79"/>
      <c r="GH179" s="79"/>
    </row>
    <row r="180" spans="1:190" ht="14.25" x14ac:dyDescent="0.2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79"/>
      <c r="AS180" s="79"/>
      <c r="AT180" s="79"/>
      <c r="AU180" s="79"/>
      <c r="AV180" s="79"/>
      <c r="AW180" s="79"/>
      <c r="AX180" s="79"/>
      <c r="AY180" s="79"/>
      <c r="AZ180" s="79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  <c r="CC180" s="79"/>
      <c r="CD180" s="79"/>
      <c r="CE180" s="79"/>
      <c r="CF180" s="79"/>
      <c r="CG180" s="79"/>
      <c r="CH180" s="79"/>
      <c r="CI180" s="79"/>
      <c r="CJ180" s="79"/>
      <c r="CK180" s="79"/>
      <c r="CL180" s="79"/>
      <c r="CM180" s="79"/>
      <c r="CN180" s="79"/>
      <c r="CO180" s="79"/>
      <c r="CP180" s="79"/>
      <c r="CQ180" s="79"/>
      <c r="CR180" s="79"/>
      <c r="CS180" s="79"/>
      <c r="CT180" s="79"/>
      <c r="CU180" s="79"/>
      <c r="CV180" s="79"/>
      <c r="CW180" s="79"/>
      <c r="CX180" s="79"/>
      <c r="CY180" s="79"/>
      <c r="CZ180" s="79"/>
      <c r="DA180" s="79"/>
      <c r="DB180" s="79"/>
      <c r="DC180" s="79"/>
      <c r="DD180" s="79"/>
      <c r="DE180" s="79"/>
      <c r="DF180" s="79"/>
      <c r="DG180" s="79"/>
      <c r="DH180" s="79"/>
      <c r="DI180" s="79"/>
      <c r="DJ180" s="79"/>
      <c r="DK180" s="79"/>
      <c r="DL180" s="79"/>
      <c r="DM180" s="79"/>
      <c r="DN180" s="79"/>
      <c r="DO180" s="79"/>
      <c r="DP180" s="79"/>
      <c r="DQ180" s="79"/>
      <c r="DR180" s="79"/>
      <c r="DS180" s="79"/>
      <c r="DT180" s="79"/>
      <c r="DU180" s="79"/>
      <c r="DV180" s="79"/>
      <c r="DW180" s="79"/>
      <c r="DX180" s="79"/>
      <c r="DY180" s="79"/>
      <c r="DZ180" s="79"/>
      <c r="EA180" s="79"/>
      <c r="EB180" s="79"/>
      <c r="EC180" s="79"/>
      <c r="ED180" s="79"/>
      <c r="EE180" s="79"/>
      <c r="EF180" s="79"/>
      <c r="EG180" s="79"/>
      <c r="EH180" s="79"/>
      <c r="EI180" s="79"/>
      <c r="EJ180" s="79"/>
      <c r="EK180" s="79"/>
      <c r="EL180" s="79"/>
      <c r="EM180" s="79"/>
      <c r="EN180" s="79"/>
      <c r="EO180" s="79"/>
      <c r="EP180" s="79"/>
      <c r="EQ180" s="79"/>
      <c r="ER180" s="79"/>
      <c r="ES180" s="79"/>
      <c r="ET180" s="79"/>
      <c r="EU180" s="79"/>
      <c r="EV180" s="79"/>
      <c r="EW180" s="79"/>
      <c r="EX180" s="79"/>
      <c r="EY180" s="79"/>
      <c r="EZ180" s="79"/>
      <c r="FA180" s="79"/>
      <c r="FB180" s="79"/>
      <c r="FC180" s="79"/>
      <c r="FD180" s="79"/>
      <c r="FE180" s="79"/>
      <c r="FF180" s="79"/>
      <c r="FG180" s="79"/>
      <c r="FH180" s="79"/>
      <c r="FI180" s="79"/>
      <c r="FJ180" s="79"/>
      <c r="FK180" s="79"/>
      <c r="FL180" s="79"/>
      <c r="FM180" s="79"/>
      <c r="FN180" s="79"/>
      <c r="FO180" s="79"/>
      <c r="FP180" s="79"/>
      <c r="FQ180" s="79"/>
      <c r="FR180" s="79"/>
      <c r="FS180" s="79"/>
      <c r="FT180" s="79"/>
      <c r="FU180" s="79"/>
      <c r="FV180" s="79"/>
      <c r="FW180" s="79"/>
      <c r="FX180" s="79"/>
      <c r="FY180" s="79"/>
      <c r="FZ180" s="79"/>
      <c r="GA180" s="79"/>
      <c r="GB180" s="79"/>
      <c r="GC180" s="79"/>
      <c r="GD180" s="79"/>
      <c r="GE180" s="79"/>
      <c r="GF180" s="79"/>
      <c r="GG180" s="79"/>
      <c r="GH180" s="79"/>
    </row>
    <row r="181" spans="1:190" ht="14.25" x14ac:dyDescent="0.2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F181" s="79"/>
      <c r="DG181" s="79"/>
      <c r="DH181" s="79"/>
      <c r="DI181" s="79"/>
      <c r="DJ181" s="79"/>
      <c r="DK181" s="79"/>
      <c r="DL181" s="79"/>
      <c r="DM181" s="79"/>
      <c r="DN181" s="79"/>
      <c r="DO181" s="79"/>
      <c r="DP181" s="79"/>
      <c r="DQ181" s="79"/>
      <c r="DR181" s="79"/>
      <c r="DS181" s="79"/>
      <c r="DT181" s="79"/>
      <c r="DU181" s="79"/>
      <c r="DV181" s="79"/>
      <c r="DW181" s="79"/>
      <c r="DX181" s="79"/>
      <c r="DY181" s="79"/>
      <c r="DZ181" s="79"/>
      <c r="EA181" s="79"/>
      <c r="EB181" s="79"/>
      <c r="EC181" s="79"/>
      <c r="ED181" s="79"/>
      <c r="EE181" s="79"/>
      <c r="EF181" s="79"/>
      <c r="EG181" s="79"/>
      <c r="EH181" s="79"/>
      <c r="EI181" s="79"/>
      <c r="EJ181" s="79"/>
      <c r="EK181" s="79"/>
      <c r="EL181" s="79"/>
      <c r="EM181" s="79"/>
      <c r="EN181" s="79"/>
      <c r="EO181" s="79"/>
      <c r="EP181" s="79"/>
      <c r="EQ181" s="79"/>
      <c r="ER181" s="79"/>
      <c r="ES181" s="79"/>
      <c r="ET181" s="79"/>
      <c r="EU181" s="79"/>
      <c r="EV181" s="79"/>
      <c r="EW181" s="79"/>
      <c r="EX181" s="79"/>
      <c r="EY181" s="79"/>
      <c r="EZ181" s="79"/>
      <c r="FA181" s="79"/>
      <c r="FB181" s="79"/>
      <c r="FC181" s="79"/>
      <c r="FD181" s="79"/>
      <c r="FE181" s="79"/>
      <c r="FF181" s="79"/>
      <c r="FG181" s="79"/>
      <c r="FH181" s="79"/>
      <c r="FI181" s="79"/>
      <c r="FJ181" s="79"/>
      <c r="FK181" s="79"/>
      <c r="FL181" s="79"/>
      <c r="FM181" s="79"/>
      <c r="FN181" s="79"/>
      <c r="FO181" s="79"/>
      <c r="FP181" s="79"/>
      <c r="FQ181" s="79"/>
      <c r="FR181" s="79"/>
      <c r="FS181" s="79"/>
      <c r="FT181" s="79"/>
      <c r="FU181" s="79"/>
      <c r="FV181" s="79"/>
      <c r="FW181" s="79"/>
      <c r="FX181" s="79"/>
      <c r="FY181" s="79"/>
      <c r="FZ181" s="79"/>
      <c r="GA181" s="79"/>
      <c r="GB181" s="79"/>
      <c r="GC181" s="79"/>
      <c r="GD181" s="79"/>
      <c r="GE181" s="79"/>
      <c r="GF181" s="79"/>
      <c r="GG181" s="79"/>
      <c r="GH181" s="79"/>
    </row>
    <row r="182" spans="1:190" ht="14.25" x14ac:dyDescent="0.2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F182" s="79"/>
      <c r="DG182" s="79"/>
      <c r="DH182" s="79"/>
      <c r="DI182" s="79"/>
      <c r="DJ182" s="79"/>
      <c r="DK182" s="79"/>
      <c r="DL182" s="79"/>
      <c r="DM182" s="79"/>
      <c r="DN182" s="79"/>
      <c r="DO182" s="79"/>
      <c r="DP182" s="79"/>
      <c r="DQ182" s="79"/>
      <c r="DR182" s="79"/>
      <c r="DS182" s="79"/>
      <c r="DT182" s="79"/>
      <c r="DU182" s="79"/>
      <c r="DV182" s="79"/>
      <c r="DW182" s="79"/>
      <c r="DX182" s="79"/>
      <c r="DY182" s="79"/>
      <c r="DZ182" s="79"/>
      <c r="EA182" s="79"/>
      <c r="EB182" s="79"/>
      <c r="EC182" s="79"/>
      <c r="ED182" s="79"/>
      <c r="EE182" s="79"/>
      <c r="EF182" s="79"/>
      <c r="EG182" s="79"/>
      <c r="EH182" s="79"/>
      <c r="EI182" s="79"/>
      <c r="EJ182" s="79"/>
      <c r="EK182" s="79"/>
      <c r="EL182" s="79"/>
      <c r="EM182" s="79"/>
      <c r="EN182" s="79"/>
      <c r="EO182" s="79"/>
      <c r="EP182" s="79"/>
      <c r="EQ182" s="79"/>
      <c r="ER182" s="79"/>
      <c r="ES182" s="79"/>
      <c r="ET182" s="79"/>
      <c r="EU182" s="79"/>
      <c r="EV182" s="79"/>
      <c r="EW182" s="79"/>
      <c r="EX182" s="79"/>
      <c r="EY182" s="79"/>
      <c r="EZ182" s="79"/>
      <c r="FA182" s="79"/>
      <c r="FB182" s="79"/>
      <c r="FC182" s="79"/>
      <c r="FD182" s="79"/>
      <c r="FE182" s="79"/>
      <c r="FF182" s="79"/>
      <c r="FG182" s="79"/>
      <c r="FH182" s="79"/>
      <c r="FI182" s="79"/>
      <c r="FJ182" s="79"/>
      <c r="FK182" s="79"/>
      <c r="FL182" s="79"/>
      <c r="FM182" s="79"/>
      <c r="FN182" s="79"/>
      <c r="FO182" s="79"/>
      <c r="FP182" s="79"/>
      <c r="FQ182" s="79"/>
      <c r="FR182" s="79"/>
      <c r="FS182" s="79"/>
      <c r="FT182" s="79"/>
      <c r="FU182" s="79"/>
      <c r="FV182" s="79"/>
      <c r="FW182" s="79"/>
      <c r="FX182" s="79"/>
      <c r="FY182" s="79"/>
      <c r="FZ182" s="79"/>
      <c r="GA182" s="79"/>
      <c r="GB182" s="79"/>
      <c r="GC182" s="79"/>
      <c r="GD182" s="79"/>
      <c r="GE182" s="79"/>
      <c r="GF182" s="79"/>
      <c r="GG182" s="79"/>
      <c r="GH182" s="79"/>
    </row>
    <row r="183" spans="1:190" ht="14.25" x14ac:dyDescent="0.2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79"/>
      <c r="EB183" s="79"/>
      <c r="EC183" s="79"/>
      <c r="ED183" s="79"/>
      <c r="EE183" s="79"/>
      <c r="EF183" s="79"/>
      <c r="EG183" s="79"/>
      <c r="EH183" s="79"/>
      <c r="EI183" s="79"/>
      <c r="EJ183" s="79"/>
      <c r="EK183" s="79"/>
      <c r="EL183" s="79"/>
      <c r="EM183" s="79"/>
      <c r="EN183" s="79"/>
      <c r="EO183" s="79"/>
      <c r="EP183" s="79"/>
      <c r="EQ183" s="79"/>
      <c r="ER183" s="79"/>
      <c r="ES183" s="79"/>
      <c r="ET183" s="79"/>
      <c r="EU183" s="79"/>
      <c r="EV183" s="79"/>
      <c r="EW183" s="79"/>
      <c r="EX183" s="79"/>
      <c r="EY183" s="79"/>
      <c r="EZ183" s="79"/>
      <c r="FA183" s="79"/>
      <c r="FB183" s="79"/>
      <c r="FC183" s="79"/>
      <c r="FD183" s="79"/>
      <c r="FE183" s="79"/>
      <c r="FF183" s="79"/>
      <c r="FG183" s="79"/>
      <c r="FH183" s="79"/>
      <c r="FI183" s="79"/>
      <c r="FJ183" s="79"/>
      <c r="FK183" s="79"/>
      <c r="FL183" s="79"/>
      <c r="FM183" s="79"/>
      <c r="FN183" s="79"/>
      <c r="FO183" s="79"/>
      <c r="FP183" s="79"/>
      <c r="FQ183" s="79"/>
      <c r="FR183" s="79"/>
      <c r="FS183" s="79"/>
      <c r="FT183" s="79"/>
      <c r="FU183" s="79"/>
      <c r="FV183" s="79"/>
      <c r="FW183" s="79"/>
      <c r="FX183" s="79"/>
      <c r="FY183" s="79"/>
      <c r="FZ183" s="79"/>
      <c r="GA183" s="79"/>
      <c r="GB183" s="79"/>
      <c r="GC183" s="79"/>
      <c r="GD183" s="79"/>
      <c r="GE183" s="79"/>
      <c r="GF183" s="79"/>
      <c r="GG183" s="79"/>
      <c r="GH183" s="79"/>
    </row>
    <row r="184" spans="1:190" ht="14.25" x14ac:dyDescent="0.2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79"/>
      <c r="EB184" s="79"/>
      <c r="EC184" s="79"/>
      <c r="ED184" s="79"/>
      <c r="EE184" s="79"/>
      <c r="EF184" s="79"/>
      <c r="EG184" s="79"/>
      <c r="EH184" s="79"/>
      <c r="EI184" s="79"/>
      <c r="EJ184" s="79"/>
      <c r="EK184" s="79"/>
      <c r="EL184" s="79"/>
      <c r="EM184" s="79"/>
      <c r="EN184" s="79"/>
      <c r="EO184" s="79"/>
      <c r="EP184" s="79"/>
      <c r="EQ184" s="79"/>
      <c r="ER184" s="79"/>
      <c r="ES184" s="79"/>
      <c r="ET184" s="79"/>
      <c r="EU184" s="79"/>
      <c r="EV184" s="79"/>
      <c r="EW184" s="79"/>
      <c r="EX184" s="79"/>
      <c r="EY184" s="79"/>
      <c r="EZ184" s="79"/>
      <c r="FA184" s="79"/>
      <c r="FB184" s="79"/>
      <c r="FC184" s="79"/>
      <c r="FD184" s="79"/>
      <c r="FE184" s="79"/>
      <c r="FF184" s="79"/>
      <c r="FG184" s="79"/>
      <c r="FH184" s="79"/>
      <c r="FI184" s="79"/>
      <c r="FJ184" s="79"/>
      <c r="FK184" s="79"/>
      <c r="FL184" s="79"/>
      <c r="FM184" s="79"/>
      <c r="FN184" s="79"/>
      <c r="FO184" s="79"/>
      <c r="FP184" s="79"/>
      <c r="FQ184" s="79"/>
      <c r="FR184" s="79"/>
      <c r="FS184" s="79"/>
      <c r="FT184" s="79"/>
      <c r="FU184" s="79"/>
      <c r="FV184" s="79"/>
      <c r="FW184" s="79"/>
      <c r="FX184" s="79"/>
      <c r="FY184" s="79"/>
      <c r="FZ184" s="79"/>
      <c r="GA184" s="79"/>
      <c r="GB184" s="79"/>
      <c r="GC184" s="79"/>
      <c r="GD184" s="79"/>
      <c r="GE184" s="79"/>
      <c r="GF184" s="79"/>
      <c r="GG184" s="79"/>
      <c r="GH184" s="79"/>
    </row>
    <row r="185" spans="1:190" ht="14.25" x14ac:dyDescent="0.2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79"/>
      <c r="EB185" s="79"/>
      <c r="EC185" s="79"/>
      <c r="ED185" s="79"/>
      <c r="EE185" s="79"/>
      <c r="EF185" s="79"/>
      <c r="EG185" s="79"/>
      <c r="EH185" s="79"/>
      <c r="EI185" s="79"/>
      <c r="EJ185" s="79"/>
      <c r="EK185" s="79"/>
      <c r="EL185" s="79"/>
      <c r="EM185" s="79"/>
      <c r="EN185" s="79"/>
      <c r="EO185" s="79"/>
      <c r="EP185" s="79"/>
      <c r="EQ185" s="79"/>
      <c r="ER185" s="79"/>
      <c r="ES185" s="79"/>
      <c r="ET185" s="79"/>
      <c r="EU185" s="79"/>
      <c r="EV185" s="79"/>
      <c r="EW185" s="79"/>
      <c r="EX185" s="79"/>
      <c r="EY185" s="79"/>
      <c r="EZ185" s="79"/>
      <c r="FA185" s="79"/>
      <c r="FB185" s="79"/>
      <c r="FC185" s="79"/>
      <c r="FD185" s="79"/>
      <c r="FE185" s="79"/>
      <c r="FF185" s="79"/>
      <c r="FG185" s="79"/>
      <c r="FH185" s="79"/>
      <c r="FI185" s="79"/>
      <c r="FJ185" s="79"/>
      <c r="FK185" s="79"/>
      <c r="FL185" s="79"/>
      <c r="FM185" s="79"/>
      <c r="FN185" s="79"/>
      <c r="FO185" s="79"/>
      <c r="FP185" s="79"/>
      <c r="FQ185" s="79"/>
      <c r="FR185" s="79"/>
      <c r="FS185" s="79"/>
      <c r="FT185" s="79"/>
      <c r="FU185" s="79"/>
      <c r="FV185" s="79"/>
      <c r="FW185" s="79"/>
      <c r="FX185" s="79"/>
      <c r="FY185" s="79"/>
      <c r="FZ185" s="79"/>
      <c r="GA185" s="79"/>
      <c r="GB185" s="79"/>
      <c r="GC185" s="79"/>
      <c r="GD185" s="79"/>
      <c r="GE185" s="79"/>
      <c r="GF185" s="79"/>
      <c r="GG185" s="79"/>
      <c r="GH185" s="79"/>
    </row>
    <row r="186" spans="1:190" ht="14.25" x14ac:dyDescent="0.2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79"/>
      <c r="CV186" s="79"/>
      <c r="CW186" s="79"/>
      <c r="CX186" s="79"/>
      <c r="CY186" s="79"/>
      <c r="CZ186" s="79"/>
      <c r="DA186" s="79"/>
      <c r="DB186" s="79"/>
      <c r="DC186" s="79"/>
      <c r="DD186" s="79"/>
      <c r="DE186" s="79"/>
      <c r="DF186" s="79"/>
      <c r="DG186" s="79"/>
      <c r="DH186" s="79"/>
      <c r="DI186" s="79"/>
      <c r="DJ186" s="79"/>
      <c r="DK186" s="79"/>
      <c r="DL186" s="79"/>
      <c r="DM186" s="79"/>
      <c r="DN186" s="79"/>
      <c r="DO186" s="79"/>
      <c r="DP186" s="79"/>
      <c r="DQ186" s="79"/>
      <c r="DR186" s="79"/>
      <c r="DS186" s="79"/>
      <c r="DT186" s="79"/>
      <c r="DU186" s="79"/>
      <c r="DV186" s="79"/>
      <c r="DW186" s="79"/>
      <c r="DX186" s="79"/>
      <c r="DY186" s="79"/>
      <c r="DZ186" s="79"/>
      <c r="EA186" s="79"/>
      <c r="EB186" s="79"/>
      <c r="EC186" s="79"/>
      <c r="ED186" s="79"/>
      <c r="EE186" s="79"/>
      <c r="EF186" s="79"/>
      <c r="EG186" s="79"/>
      <c r="EH186" s="79"/>
      <c r="EI186" s="79"/>
      <c r="EJ186" s="79"/>
      <c r="EK186" s="79"/>
      <c r="EL186" s="79"/>
      <c r="EM186" s="79"/>
      <c r="EN186" s="79"/>
      <c r="EO186" s="79"/>
      <c r="EP186" s="79"/>
      <c r="EQ186" s="79"/>
      <c r="ER186" s="79"/>
      <c r="ES186" s="79"/>
      <c r="ET186" s="79"/>
      <c r="EU186" s="79"/>
      <c r="EV186" s="79"/>
      <c r="EW186" s="79"/>
      <c r="EX186" s="79"/>
      <c r="EY186" s="79"/>
      <c r="EZ186" s="79"/>
      <c r="FA186" s="79"/>
      <c r="FB186" s="79"/>
      <c r="FC186" s="79"/>
      <c r="FD186" s="79"/>
      <c r="FE186" s="79"/>
      <c r="FF186" s="79"/>
      <c r="FG186" s="79"/>
      <c r="FH186" s="79"/>
      <c r="FI186" s="79"/>
      <c r="FJ186" s="79"/>
      <c r="FK186" s="79"/>
      <c r="FL186" s="79"/>
      <c r="FM186" s="79"/>
      <c r="FN186" s="79"/>
      <c r="FO186" s="79"/>
      <c r="FP186" s="79"/>
      <c r="FQ186" s="79"/>
      <c r="FR186" s="79"/>
      <c r="FS186" s="79"/>
      <c r="FT186" s="79"/>
      <c r="FU186" s="79"/>
      <c r="FV186" s="79"/>
      <c r="FW186" s="79"/>
      <c r="FX186" s="79"/>
      <c r="FY186" s="79"/>
      <c r="FZ186" s="79"/>
      <c r="GA186" s="79"/>
      <c r="GB186" s="79"/>
      <c r="GC186" s="79"/>
      <c r="GD186" s="79"/>
      <c r="GE186" s="79"/>
      <c r="GF186" s="79"/>
      <c r="GG186" s="79"/>
      <c r="GH186" s="79"/>
    </row>
    <row r="187" spans="1:190" ht="14.25" x14ac:dyDescent="0.2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BX187" s="79"/>
      <c r="BY187" s="79"/>
      <c r="BZ187" s="79"/>
      <c r="CA187" s="79"/>
      <c r="CB187" s="79"/>
      <c r="CC187" s="79"/>
      <c r="CD187" s="79"/>
      <c r="CE187" s="79"/>
      <c r="CF187" s="79"/>
      <c r="CG187" s="79"/>
      <c r="CH187" s="79"/>
      <c r="CI187" s="79"/>
      <c r="CJ187" s="79"/>
      <c r="CK187" s="79"/>
      <c r="CL187" s="79"/>
      <c r="CM187" s="79"/>
      <c r="CN187" s="79"/>
      <c r="CO187" s="79"/>
      <c r="CP187" s="79"/>
      <c r="CQ187" s="79"/>
      <c r="CR187" s="79"/>
      <c r="CS187" s="79"/>
      <c r="CT187" s="79"/>
      <c r="CU187" s="79"/>
      <c r="CV187" s="79"/>
      <c r="CW187" s="79"/>
      <c r="CX187" s="79"/>
      <c r="CY187" s="79"/>
      <c r="CZ187" s="79"/>
      <c r="DA187" s="79"/>
      <c r="DB187" s="79"/>
      <c r="DC187" s="79"/>
      <c r="DD187" s="79"/>
      <c r="DE187" s="79"/>
      <c r="DF187" s="79"/>
      <c r="DG187" s="79"/>
      <c r="DH187" s="79"/>
      <c r="DI187" s="79"/>
      <c r="DJ187" s="79"/>
      <c r="DK187" s="79"/>
      <c r="DL187" s="79"/>
      <c r="DM187" s="79"/>
      <c r="DN187" s="79"/>
      <c r="DO187" s="79"/>
      <c r="DP187" s="79"/>
      <c r="DQ187" s="79"/>
      <c r="DR187" s="79"/>
      <c r="DS187" s="79"/>
      <c r="DT187" s="79"/>
      <c r="DU187" s="79"/>
      <c r="DV187" s="79"/>
      <c r="DW187" s="79"/>
      <c r="DX187" s="79"/>
      <c r="DY187" s="79"/>
      <c r="DZ187" s="79"/>
      <c r="EA187" s="79"/>
      <c r="EB187" s="79"/>
      <c r="EC187" s="79"/>
      <c r="ED187" s="79"/>
      <c r="EE187" s="79"/>
      <c r="EF187" s="79"/>
      <c r="EG187" s="79"/>
      <c r="EH187" s="79"/>
      <c r="EI187" s="79"/>
      <c r="EJ187" s="79"/>
      <c r="EK187" s="79"/>
      <c r="EL187" s="79"/>
      <c r="EM187" s="79"/>
      <c r="EN187" s="79"/>
      <c r="EO187" s="79"/>
      <c r="EP187" s="79"/>
      <c r="EQ187" s="79"/>
      <c r="ER187" s="79"/>
      <c r="ES187" s="79"/>
      <c r="ET187" s="79"/>
      <c r="EU187" s="79"/>
      <c r="EV187" s="79"/>
      <c r="EW187" s="79"/>
      <c r="EX187" s="79"/>
      <c r="EY187" s="79"/>
      <c r="EZ187" s="79"/>
      <c r="FA187" s="79"/>
      <c r="FB187" s="79"/>
      <c r="FC187" s="79"/>
      <c r="FD187" s="79"/>
      <c r="FE187" s="79"/>
      <c r="FF187" s="79"/>
      <c r="FG187" s="79"/>
      <c r="FH187" s="79"/>
      <c r="FI187" s="79"/>
      <c r="FJ187" s="79"/>
      <c r="FK187" s="79"/>
      <c r="FL187" s="79"/>
      <c r="FM187" s="79"/>
      <c r="FN187" s="79"/>
      <c r="FO187" s="79"/>
      <c r="FP187" s="79"/>
      <c r="FQ187" s="79"/>
      <c r="FR187" s="79"/>
      <c r="FS187" s="79"/>
      <c r="FT187" s="79"/>
      <c r="FU187" s="79"/>
      <c r="FV187" s="79"/>
      <c r="FW187" s="79"/>
      <c r="FX187" s="79"/>
      <c r="FY187" s="79"/>
      <c r="FZ187" s="79"/>
      <c r="GA187" s="79"/>
      <c r="GB187" s="79"/>
      <c r="GC187" s="79"/>
      <c r="GD187" s="79"/>
      <c r="GE187" s="79"/>
      <c r="GF187" s="79"/>
      <c r="GG187" s="79"/>
      <c r="GH187" s="79"/>
    </row>
    <row r="188" spans="1:190" ht="14.25" x14ac:dyDescent="0.2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  <c r="AU188" s="79"/>
      <c r="AV188" s="79"/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BX188" s="79"/>
      <c r="BY188" s="79"/>
      <c r="BZ188" s="79"/>
      <c r="CA188" s="79"/>
      <c r="CB188" s="79"/>
      <c r="CC188" s="79"/>
      <c r="CD188" s="79"/>
      <c r="CE188" s="79"/>
      <c r="CF188" s="79"/>
      <c r="CG188" s="79"/>
      <c r="CH188" s="79"/>
      <c r="CI188" s="79"/>
      <c r="CJ188" s="79"/>
      <c r="CK188" s="79"/>
      <c r="CL188" s="79"/>
      <c r="CM188" s="79"/>
      <c r="CN188" s="79"/>
      <c r="CO188" s="79"/>
      <c r="CP188" s="79"/>
      <c r="CQ188" s="79"/>
      <c r="CR188" s="79"/>
      <c r="CS188" s="79"/>
      <c r="CT188" s="79"/>
      <c r="CU188" s="79"/>
      <c r="CV188" s="79"/>
      <c r="CW188" s="79"/>
      <c r="CX188" s="79"/>
      <c r="CY188" s="79"/>
      <c r="CZ188" s="79"/>
      <c r="DA188" s="79"/>
      <c r="DB188" s="79"/>
      <c r="DC188" s="79"/>
      <c r="DD188" s="79"/>
      <c r="DE188" s="79"/>
      <c r="DF188" s="79"/>
      <c r="DG188" s="79"/>
      <c r="DH188" s="79"/>
      <c r="DI188" s="79"/>
      <c r="DJ188" s="79"/>
      <c r="DK188" s="79"/>
      <c r="DL188" s="79"/>
      <c r="DM188" s="79"/>
      <c r="DN188" s="79"/>
      <c r="DO188" s="79"/>
      <c r="DP188" s="79"/>
      <c r="DQ188" s="79"/>
      <c r="DR188" s="79"/>
      <c r="DS188" s="79"/>
      <c r="DT188" s="79"/>
      <c r="DU188" s="79"/>
      <c r="DV188" s="79"/>
      <c r="DW188" s="79"/>
      <c r="DX188" s="79"/>
      <c r="DY188" s="79"/>
      <c r="DZ188" s="79"/>
      <c r="EA188" s="79"/>
      <c r="EB188" s="79"/>
      <c r="EC188" s="79"/>
      <c r="ED188" s="79"/>
      <c r="EE188" s="79"/>
      <c r="EF188" s="79"/>
      <c r="EG188" s="79"/>
      <c r="EH188" s="79"/>
      <c r="EI188" s="79"/>
      <c r="EJ188" s="79"/>
      <c r="EK188" s="79"/>
      <c r="EL188" s="79"/>
      <c r="EM188" s="79"/>
      <c r="EN188" s="79"/>
      <c r="EO188" s="79"/>
      <c r="EP188" s="79"/>
      <c r="EQ188" s="79"/>
      <c r="ER188" s="79"/>
      <c r="ES188" s="79"/>
      <c r="ET188" s="79"/>
      <c r="EU188" s="79"/>
      <c r="EV188" s="79"/>
      <c r="EW188" s="79"/>
      <c r="EX188" s="79"/>
      <c r="EY188" s="79"/>
      <c r="EZ188" s="79"/>
      <c r="FA188" s="79"/>
      <c r="FB188" s="79"/>
      <c r="FC188" s="79"/>
      <c r="FD188" s="79"/>
      <c r="FE188" s="79"/>
      <c r="FF188" s="79"/>
      <c r="FG188" s="79"/>
      <c r="FH188" s="79"/>
      <c r="FI188" s="79"/>
      <c r="FJ188" s="79"/>
      <c r="FK188" s="79"/>
      <c r="FL188" s="79"/>
      <c r="FM188" s="79"/>
      <c r="FN188" s="79"/>
      <c r="FO188" s="79"/>
      <c r="FP188" s="79"/>
      <c r="FQ188" s="79"/>
      <c r="FR188" s="79"/>
      <c r="FS188" s="79"/>
      <c r="FT188" s="79"/>
      <c r="FU188" s="79"/>
      <c r="FV188" s="79"/>
      <c r="FW188" s="79"/>
      <c r="FX188" s="79"/>
      <c r="FY188" s="79"/>
      <c r="FZ188" s="79"/>
      <c r="GA188" s="79"/>
      <c r="GB188" s="79"/>
      <c r="GC188" s="79"/>
      <c r="GD188" s="79"/>
      <c r="GE188" s="79"/>
      <c r="GF188" s="79"/>
      <c r="GG188" s="79"/>
      <c r="GH188" s="79"/>
    </row>
    <row r="189" spans="1:190" ht="14.25" x14ac:dyDescent="0.2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  <c r="AU189" s="79"/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  <c r="CR189" s="79"/>
      <c r="CS189" s="79"/>
      <c r="CT189" s="79"/>
      <c r="CU189" s="79"/>
      <c r="CV189" s="79"/>
      <c r="CW189" s="79"/>
      <c r="CX189" s="79"/>
      <c r="CY189" s="79"/>
      <c r="CZ189" s="79"/>
      <c r="DA189" s="79"/>
      <c r="DB189" s="79"/>
      <c r="DC189" s="79"/>
      <c r="DD189" s="79"/>
      <c r="DE189" s="79"/>
      <c r="DF189" s="79"/>
      <c r="DG189" s="79"/>
      <c r="DH189" s="79"/>
      <c r="DI189" s="79"/>
      <c r="DJ189" s="79"/>
      <c r="DK189" s="79"/>
      <c r="DL189" s="79"/>
      <c r="DM189" s="79"/>
      <c r="DN189" s="79"/>
      <c r="DO189" s="79"/>
      <c r="DP189" s="79"/>
      <c r="DQ189" s="79"/>
      <c r="DR189" s="79"/>
      <c r="DS189" s="79"/>
      <c r="DT189" s="79"/>
      <c r="DU189" s="79"/>
      <c r="DV189" s="79"/>
      <c r="DW189" s="79"/>
      <c r="DX189" s="79"/>
      <c r="DY189" s="79"/>
      <c r="DZ189" s="79"/>
      <c r="EA189" s="79"/>
      <c r="EB189" s="79"/>
      <c r="EC189" s="79"/>
      <c r="ED189" s="79"/>
      <c r="EE189" s="79"/>
      <c r="EF189" s="79"/>
      <c r="EG189" s="79"/>
      <c r="EH189" s="79"/>
      <c r="EI189" s="79"/>
      <c r="EJ189" s="79"/>
      <c r="EK189" s="79"/>
      <c r="EL189" s="79"/>
      <c r="EM189" s="79"/>
      <c r="EN189" s="79"/>
      <c r="EO189" s="79"/>
      <c r="EP189" s="79"/>
      <c r="EQ189" s="79"/>
      <c r="ER189" s="79"/>
      <c r="ES189" s="79"/>
      <c r="ET189" s="79"/>
      <c r="EU189" s="79"/>
      <c r="EV189" s="79"/>
      <c r="EW189" s="79"/>
      <c r="EX189" s="79"/>
      <c r="EY189" s="79"/>
      <c r="EZ189" s="79"/>
      <c r="FA189" s="79"/>
      <c r="FB189" s="79"/>
      <c r="FC189" s="79"/>
      <c r="FD189" s="79"/>
      <c r="FE189" s="79"/>
      <c r="FF189" s="79"/>
      <c r="FG189" s="79"/>
      <c r="FH189" s="79"/>
      <c r="FI189" s="79"/>
      <c r="FJ189" s="79"/>
      <c r="FK189" s="79"/>
      <c r="FL189" s="79"/>
      <c r="FM189" s="79"/>
      <c r="FN189" s="79"/>
      <c r="FO189" s="79"/>
      <c r="FP189" s="79"/>
      <c r="FQ189" s="79"/>
      <c r="FR189" s="79"/>
      <c r="FS189" s="79"/>
      <c r="FT189" s="79"/>
      <c r="FU189" s="79"/>
      <c r="FV189" s="79"/>
      <c r="FW189" s="79"/>
      <c r="FX189" s="79"/>
      <c r="FY189" s="79"/>
      <c r="FZ189" s="79"/>
      <c r="GA189" s="79"/>
      <c r="GB189" s="79"/>
      <c r="GC189" s="79"/>
      <c r="GD189" s="79"/>
      <c r="GE189" s="79"/>
      <c r="GF189" s="79"/>
      <c r="GG189" s="79"/>
      <c r="GH189" s="79"/>
    </row>
    <row r="190" spans="1:190" ht="14.25" x14ac:dyDescent="0.2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  <c r="CR190" s="79"/>
      <c r="CS190" s="79"/>
      <c r="CT190" s="79"/>
      <c r="CU190" s="79"/>
      <c r="CV190" s="79"/>
      <c r="CW190" s="79"/>
      <c r="CX190" s="79"/>
      <c r="CY190" s="79"/>
      <c r="CZ190" s="79"/>
      <c r="DA190" s="79"/>
      <c r="DB190" s="79"/>
      <c r="DC190" s="79"/>
      <c r="DD190" s="79"/>
      <c r="DE190" s="79"/>
      <c r="DF190" s="79"/>
      <c r="DG190" s="79"/>
      <c r="DH190" s="79"/>
      <c r="DI190" s="79"/>
      <c r="DJ190" s="79"/>
      <c r="DK190" s="79"/>
      <c r="DL190" s="79"/>
      <c r="DM190" s="79"/>
      <c r="DN190" s="79"/>
      <c r="DO190" s="79"/>
      <c r="DP190" s="79"/>
      <c r="DQ190" s="79"/>
      <c r="DR190" s="79"/>
      <c r="DS190" s="79"/>
      <c r="DT190" s="79"/>
      <c r="DU190" s="79"/>
      <c r="DV190" s="79"/>
      <c r="DW190" s="79"/>
      <c r="DX190" s="79"/>
      <c r="DY190" s="79"/>
      <c r="DZ190" s="79"/>
      <c r="EA190" s="79"/>
      <c r="EB190" s="79"/>
      <c r="EC190" s="79"/>
      <c r="ED190" s="79"/>
      <c r="EE190" s="79"/>
      <c r="EF190" s="79"/>
      <c r="EG190" s="79"/>
      <c r="EH190" s="79"/>
      <c r="EI190" s="79"/>
      <c r="EJ190" s="79"/>
      <c r="EK190" s="79"/>
      <c r="EL190" s="79"/>
      <c r="EM190" s="79"/>
      <c r="EN190" s="79"/>
      <c r="EO190" s="79"/>
      <c r="EP190" s="79"/>
      <c r="EQ190" s="79"/>
      <c r="ER190" s="79"/>
      <c r="ES190" s="79"/>
      <c r="ET190" s="79"/>
      <c r="EU190" s="79"/>
      <c r="EV190" s="79"/>
      <c r="EW190" s="79"/>
      <c r="EX190" s="79"/>
      <c r="EY190" s="79"/>
      <c r="EZ190" s="79"/>
      <c r="FA190" s="79"/>
      <c r="FB190" s="79"/>
      <c r="FC190" s="79"/>
      <c r="FD190" s="79"/>
      <c r="FE190" s="79"/>
      <c r="FF190" s="79"/>
      <c r="FG190" s="79"/>
      <c r="FH190" s="79"/>
      <c r="FI190" s="79"/>
      <c r="FJ190" s="79"/>
      <c r="FK190" s="79"/>
      <c r="FL190" s="79"/>
      <c r="FM190" s="79"/>
      <c r="FN190" s="79"/>
      <c r="FO190" s="79"/>
      <c r="FP190" s="79"/>
      <c r="FQ190" s="79"/>
      <c r="FR190" s="79"/>
      <c r="FS190" s="79"/>
      <c r="FT190" s="79"/>
      <c r="FU190" s="79"/>
      <c r="FV190" s="79"/>
      <c r="FW190" s="79"/>
      <c r="FX190" s="79"/>
      <c r="FY190" s="79"/>
      <c r="FZ190" s="79"/>
      <c r="GA190" s="79"/>
      <c r="GB190" s="79"/>
      <c r="GC190" s="79"/>
      <c r="GD190" s="79"/>
      <c r="GE190" s="79"/>
      <c r="GF190" s="79"/>
      <c r="GG190" s="79"/>
      <c r="GH190" s="79"/>
    </row>
    <row r="191" spans="1:190" ht="14.25" x14ac:dyDescent="0.2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79"/>
      <c r="AU191" s="79"/>
      <c r="AV191" s="79"/>
      <c r="AW191" s="79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  <c r="CC191" s="79"/>
      <c r="CD191" s="79"/>
      <c r="CE191" s="79"/>
      <c r="CF191" s="79"/>
      <c r="CG191" s="79"/>
      <c r="CH191" s="79"/>
      <c r="CI191" s="79"/>
      <c r="CJ191" s="79"/>
      <c r="CK191" s="79"/>
      <c r="CL191" s="79"/>
      <c r="CM191" s="79"/>
      <c r="CN191" s="79"/>
      <c r="CO191" s="79"/>
      <c r="CP191" s="79"/>
      <c r="CQ191" s="79"/>
      <c r="CR191" s="79"/>
      <c r="CS191" s="79"/>
      <c r="CT191" s="79"/>
      <c r="CU191" s="79"/>
      <c r="CV191" s="79"/>
      <c r="CW191" s="79"/>
      <c r="CX191" s="79"/>
      <c r="CY191" s="79"/>
      <c r="CZ191" s="79"/>
      <c r="DA191" s="79"/>
      <c r="DB191" s="79"/>
      <c r="DC191" s="79"/>
      <c r="DD191" s="79"/>
      <c r="DE191" s="79"/>
      <c r="DF191" s="79"/>
      <c r="DG191" s="79"/>
      <c r="DH191" s="79"/>
      <c r="DI191" s="79"/>
      <c r="DJ191" s="79"/>
      <c r="DK191" s="79"/>
      <c r="DL191" s="79"/>
      <c r="DM191" s="79"/>
      <c r="DN191" s="79"/>
      <c r="DO191" s="79"/>
      <c r="DP191" s="79"/>
      <c r="DQ191" s="79"/>
      <c r="DR191" s="79"/>
      <c r="DS191" s="79"/>
      <c r="DT191" s="79"/>
      <c r="DU191" s="79"/>
      <c r="DV191" s="79"/>
      <c r="DW191" s="79"/>
      <c r="DX191" s="79"/>
      <c r="DY191" s="79"/>
      <c r="DZ191" s="79"/>
      <c r="EA191" s="79"/>
      <c r="EB191" s="79"/>
      <c r="EC191" s="79"/>
      <c r="ED191" s="79"/>
      <c r="EE191" s="79"/>
      <c r="EF191" s="79"/>
      <c r="EG191" s="79"/>
      <c r="EH191" s="79"/>
      <c r="EI191" s="79"/>
      <c r="EJ191" s="79"/>
      <c r="EK191" s="79"/>
      <c r="EL191" s="79"/>
      <c r="EM191" s="79"/>
      <c r="EN191" s="79"/>
      <c r="EO191" s="79"/>
      <c r="EP191" s="79"/>
      <c r="EQ191" s="79"/>
      <c r="ER191" s="79"/>
      <c r="ES191" s="79"/>
      <c r="ET191" s="79"/>
      <c r="EU191" s="79"/>
      <c r="EV191" s="79"/>
      <c r="EW191" s="79"/>
      <c r="EX191" s="79"/>
      <c r="EY191" s="79"/>
      <c r="EZ191" s="79"/>
      <c r="FA191" s="79"/>
      <c r="FB191" s="79"/>
      <c r="FC191" s="79"/>
      <c r="FD191" s="79"/>
      <c r="FE191" s="79"/>
      <c r="FF191" s="79"/>
      <c r="FG191" s="79"/>
      <c r="FH191" s="79"/>
      <c r="FI191" s="79"/>
      <c r="FJ191" s="79"/>
      <c r="FK191" s="79"/>
      <c r="FL191" s="79"/>
      <c r="FM191" s="79"/>
      <c r="FN191" s="79"/>
      <c r="FO191" s="79"/>
      <c r="FP191" s="79"/>
      <c r="FQ191" s="79"/>
      <c r="FR191" s="79"/>
      <c r="FS191" s="79"/>
      <c r="FT191" s="79"/>
      <c r="FU191" s="79"/>
      <c r="FV191" s="79"/>
      <c r="FW191" s="79"/>
      <c r="FX191" s="79"/>
      <c r="FY191" s="79"/>
      <c r="FZ191" s="79"/>
      <c r="GA191" s="79"/>
      <c r="GB191" s="79"/>
      <c r="GC191" s="79"/>
      <c r="GD191" s="79"/>
      <c r="GE191" s="79"/>
      <c r="GF191" s="79"/>
      <c r="GG191" s="79"/>
      <c r="GH191" s="79"/>
    </row>
    <row r="192" spans="1:190" ht="14.25" x14ac:dyDescent="0.2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  <c r="CR192" s="79"/>
      <c r="CS192" s="79"/>
      <c r="CT192" s="79"/>
      <c r="CU192" s="79"/>
      <c r="CV192" s="79"/>
      <c r="CW192" s="79"/>
      <c r="CX192" s="79"/>
      <c r="CY192" s="79"/>
      <c r="CZ192" s="79"/>
      <c r="DA192" s="79"/>
      <c r="DB192" s="79"/>
      <c r="DC192" s="79"/>
      <c r="DD192" s="79"/>
      <c r="DE192" s="79"/>
      <c r="DF192" s="79"/>
      <c r="DG192" s="79"/>
      <c r="DH192" s="79"/>
      <c r="DI192" s="79"/>
      <c r="DJ192" s="79"/>
      <c r="DK192" s="79"/>
      <c r="DL192" s="79"/>
      <c r="DM192" s="79"/>
      <c r="DN192" s="79"/>
      <c r="DO192" s="79"/>
      <c r="DP192" s="79"/>
      <c r="DQ192" s="79"/>
      <c r="DR192" s="79"/>
      <c r="DS192" s="79"/>
      <c r="DT192" s="79"/>
      <c r="DU192" s="79"/>
      <c r="DV192" s="79"/>
      <c r="DW192" s="79"/>
      <c r="DX192" s="79"/>
      <c r="DY192" s="79"/>
      <c r="DZ192" s="79"/>
      <c r="EA192" s="79"/>
      <c r="EB192" s="79"/>
      <c r="EC192" s="79"/>
      <c r="ED192" s="79"/>
      <c r="EE192" s="79"/>
      <c r="EF192" s="79"/>
      <c r="EG192" s="79"/>
      <c r="EH192" s="79"/>
      <c r="EI192" s="79"/>
      <c r="EJ192" s="79"/>
      <c r="EK192" s="79"/>
      <c r="EL192" s="79"/>
      <c r="EM192" s="79"/>
      <c r="EN192" s="79"/>
      <c r="EO192" s="79"/>
      <c r="EP192" s="79"/>
      <c r="EQ192" s="79"/>
      <c r="ER192" s="79"/>
      <c r="ES192" s="79"/>
      <c r="ET192" s="79"/>
      <c r="EU192" s="79"/>
      <c r="EV192" s="79"/>
      <c r="EW192" s="79"/>
      <c r="EX192" s="79"/>
      <c r="EY192" s="79"/>
      <c r="EZ192" s="79"/>
      <c r="FA192" s="79"/>
      <c r="FB192" s="79"/>
      <c r="FC192" s="79"/>
      <c r="FD192" s="79"/>
      <c r="FE192" s="79"/>
      <c r="FF192" s="79"/>
      <c r="FG192" s="79"/>
      <c r="FH192" s="79"/>
      <c r="FI192" s="79"/>
      <c r="FJ192" s="79"/>
      <c r="FK192" s="79"/>
      <c r="FL192" s="79"/>
      <c r="FM192" s="79"/>
      <c r="FN192" s="79"/>
      <c r="FO192" s="79"/>
      <c r="FP192" s="79"/>
      <c r="FQ192" s="79"/>
      <c r="FR192" s="79"/>
      <c r="FS192" s="79"/>
      <c r="FT192" s="79"/>
      <c r="FU192" s="79"/>
      <c r="FV192" s="79"/>
      <c r="FW192" s="79"/>
      <c r="FX192" s="79"/>
      <c r="FY192" s="79"/>
      <c r="FZ192" s="79"/>
      <c r="GA192" s="79"/>
      <c r="GB192" s="79"/>
      <c r="GC192" s="79"/>
      <c r="GD192" s="79"/>
      <c r="GE192" s="79"/>
      <c r="GF192" s="79"/>
      <c r="GG192" s="79"/>
      <c r="GH192" s="79"/>
    </row>
    <row r="193" spans="1:190" ht="14.25" x14ac:dyDescent="0.2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BX193" s="79"/>
      <c r="BY193" s="79"/>
      <c r="BZ193" s="79"/>
      <c r="CA193" s="79"/>
      <c r="CB193" s="79"/>
      <c r="CC193" s="79"/>
      <c r="CD193" s="79"/>
      <c r="CE193" s="79"/>
      <c r="CF193" s="79"/>
      <c r="CG193" s="79"/>
      <c r="CH193" s="79"/>
      <c r="CI193" s="79"/>
      <c r="CJ193" s="79"/>
      <c r="CK193" s="79"/>
      <c r="CL193" s="79"/>
      <c r="CM193" s="79"/>
      <c r="CN193" s="79"/>
      <c r="CO193" s="79"/>
      <c r="CP193" s="79"/>
      <c r="CQ193" s="79"/>
      <c r="CR193" s="79"/>
      <c r="CS193" s="79"/>
      <c r="CT193" s="79"/>
      <c r="CU193" s="79"/>
      <c r="CV193" s="79"/>
      <c r="CW193" s="79"/>
      <c r="CX193" s="79"/>
      <c r="CY193" s="79"/>
      <c r="CZ193" s="79"/>
      <c r="DA193" s="79"/>
      <c r="DB193" s="79"/>
      <c r="DC193" s="79"/>
      <c r="DD193" s="79"/>
      <c r="DE193" s="79"/>
      <c r="DF193" s="79"/>
      <c r="DG193" s="79"/>
      <c r="DH193" s="79"/>
      <c r="DI193" s="79"/>
      <c r="DJ193" s="79"/>
      <c r="DK193" s="79"/>
      <c r="DL193" s="79"/>
      <c r="DM193" s="79"/>
      <c r="DN193" s="79"/>
      <c r="DO193" s="79"/>
      <c r="DP193" s="79"/>
      <c r="DQ193" s="79"/>
      <c r="DR193" s="79"/>
      <c r="DS193" s="79"/>
      <c r="DT193" s="79"/>
      <c r="DU193" s="79"/>
      <c r="DV193" s="79"/>
      <c r="DW193" s="79"/>
      <c r="DX193" s="79"/>
      <c r="DY193" s="79"/>
      <c r="DZ193" s="79"/>
      <c r="EA193" s="79"/>
      <c r="EB193" s="79"/>
      <c r="EC193" s="79"/>
      <c r="ED193" s="79"/>
      <c r="EE193" s="79"/>
      <c r="EF193" s="79"/>
      <c r="EG193" s="79"/>
      <c r="EH193" s="79"/>
      <c r="EI193" s="79"/>
      <c r="EJ193" s="79"/>
      <c r="EK193" s="79"/>
      <c r="EL193" s="79"/>
      <c r="EM193" s="79"/>
      <c r="EN193" s="79"/>
      <c r="EO193" s="79"/>
      <c r="EP193" s="79"/>
      <c r="EQ193" s="79"/>
      <c r="ER193" s="79"/>
      <c r="ES193" s="79"/>
      <c r="ET193" s="79"/>
      <c r="EU193" s="79"/>
      <c r="EV193" s="79"/>
      <c r="EW193" s="79"/>
      <c r="EX193" s="79"/>
      <c r="EY193" s="79"/>
      <c r="EZ193" s="79"/>
      <c r="FA193" s="79"/>
      <c r="FB193" s="79"/>
      <c r="FC193" s="79"/>
      <c r="FD193" s="79"/>
      <c r="FE193" s="79"/>
      <c r="FF193" s="79"/>
      <c r="FG193" s="79"/>
      <c r="FH193" s="79"/>
      <c r="FI193" s="79"/>
      <c r="FJ193" s="79"/>
      <c r="FK193" s="79"/>
      <c r="FL193" s="79"/>
      <c r="FM193" s="79"/>
      <c r="FN193" s="79"/>
      <c r="FO193" s="79"/>
      <c r="FP193" s="79"/>
      <c r="FQ193" s="79"/>
      <c r="FR193" s="79"/>
      <c r="FS193" s="79"/>
      <c r="FT193" s="79"/>
      <c r="FU193" s="79"/>
      <c r="FV193" s="79"/>
      <c r="FW193" s="79"/>
      <c r="FX193" s="79"/>
      <c r="FY193" s="79"/>
      <c r="FZ193" s="79"/>
      <c r="GA193" s="79"/>
      <c r="GB193" s="79"/>
      <c r="GC193" s="79"/>
      <c r="GD193" s="79"/>
      <c r="GE193" s="79"/>
      <c r="GF193" s="79"/>
      <c r="GG193" s="79"/>
      <c r="GH193" s="79"/>
    </row>
    <row r="194" spans="1:190" ht="14.25" x14ac:dyDescent="0.2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BX194" s="79"/>
      <c r="BY194" s="79"/>
      <c r="BZ194" s="79"/>
      <c r="CA194" s="79"/>
      <c r="CB194" s="79"/>
      <c r="CC194" s="79"/>
      <c r="CD194" s="79"/>
      <c r="CE194" s="79"/>
      <c r="CF194" s="79"/>
      <c r="CG194" s="79"/>
      <c r="CH194" s="79"/>
      <c r="CI194" s="79"/>
      <c r="CJ194" s="79"/>
      <c r="CK194" s="79"/>
      <c r="CL194" s="79"/>
      <c r="CM194" s="79"/>
      <c r="CN194" s="79"/>
      <c r="CO194" s="79"/>
      <c r="CP194" s="79"/>
      <c r="CQ194" s="79"/>
      <c r="CR194" s="79"/>
      <c r="CS194" s="79"/>
      <c r="CT194" s="79"/>
      <c r="CU194" s="79"/>
      <c r="CV194" s="79"/>
      <c r="CW194" s="79"/>
      <c r="CX194" s="79"/>
      <c r="CY194" s="79"/>
      <c r="CZ194" s="79"/>
      <c r="DA194" s="79"/>
      <c r="DB194" s="79"/>
      <c r="DC194" s="79"/>
      <c r="DD194" s="79"/>
      <c r="DE194" s="79"/>
      <c r="DF194" s="79"/>
      <c r="DG194" s="79"/>
      <c r="DH194" s="79"/>
      <c r="DI194" s="79"/>
      <c r="DJ194" s="79"/>
      <c r="DK194" s="79"/>
      <c r="DL194" s="79"/>
      <c r="DM194" s="79"/>
      <c r="DN194" s="79"/>
      <c r="DO194" s="79"/>
      <c r="DP194" s="79"/>
      <c r="DQ194" s="79"/>
      <c r="DR194" s="79"/>
      <c r="DS194" s="79"/>
      <c r="DT194" s="79"/>
      <c r="DU194" s="79"/>
      <c r="DV194" s="79"/>
      <c r="DW194" s="79"/>
      <c r="DX194" s="79"/>
      <c r="DY194" s="79"/>
      <c r="DZ194" s="79"/>
      <c r="EA194" s="79"/>
      <c r="EB194" s="79"/>
      <c r="EC194" s="79"/>
      <c r="ED194" s="79"/>
      <c r="EE194" s="79"/>
      <c r="EF194" s="79"/>
      <c r="EG194" s="79"/>
      <c r="EH194" s="79"/>
      <c r="EI194" s="79"/>
      <c r="EJ194" s="79"/>
      <c r="EK194" s="79"/>
      <c r="EL194" s="79"/>
      <c r="EM194" s="79"/>
      <c r="EN194" s="79"/>
      <c r="EO194" s="79"/>
      <c r="EP194" s="79"/>
      <c r="EQ194" s="79"/>
      <c r="ER194" s="79"/>
      <c r="ES194" s="79"/>
      <c r="ET194" s="79"/>
      <c r="EU194" s="79"/>
      <c r="EV194" s="79"/>
      <c r="EW194" s="79"/>
      <c r="EX194" s="79"/>
      <c r="EY194" s="79"/>
      <c r="EZ194" s="79"/>
      <c r="FA194" s="79"/>
      <c r="FB194" s="79"/>
      <c r="FC194" s="79"/>
      <c r="FD194" s="79"/>
      <c r="FE194" s="79"/>
      <c r="FF194" s="79"/>
      <c r="FG194" s="79"/>
      <c r="FH194" s="79"/>
      <c r="FI194" s="79"/>
      <c r="FJ194" s="79"/>
      <c r="FK194" s="79"/>
      <c r="FL194" s="79"/>
      <c r="FM194" s="79"/>
      <c r="FN194" s="79"/>
      <c r="FO194" s="79"/>
      <c r="FP194" s="79"/>
      <c r="FQ194" s="79"/>
      <c r="FR194" s="79"/>
      <c r="FS194" s="79"/>
      <c r="FT194" s="79"/>
      <c r="FU194" s="79"/>
      <c r="FV194" s="79"/>
      <c r="FW194" s="79"/>
      <c r="FX194" s="79"/>
      <c r="FY194" s="79"/>
      <c r="FZ194" s="79"/>
      <c r="GA194" s="79"/>
      <c r="GB194" s="79"/>
      <c r="GC194" s="79"/>
      <c r="GD194" s="79"/>
      <c r="GE194" s="79"/>
      <c r="GF194" s="79"/>
      <c r="GG194" s="79"/>
      <c r="GH194" s="79"/>
    </row>
    <row r="195" spans="1:190" ht="14.25" x14ac:dyDescent="0.2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BX195" s="79"/>
      <c r="BY195" s="79"/>
      <c r="BZ195" s="79"/>
      <c r="CA195" s="79"/>
      <c r="CB195" s="79"/>
      <c r="CC195" s="79"/>
      <c r="CD195" s="79"/>
      <c r="CE195" s="79"/>
      <c r="CF195" s="79"/>
      <c r="CG195" s="79"/>
      <c r="CH195" s="79"/>
      <c r="CI195" s="79"/>
      <c r="CJ195" s="79"/>
      <c r="CK195" s="79"/>
      <c r="CL195" s="79"/>
      <c r="CM195" s="79"/>
      <c r="CN195" s="79"/>
      <c r="CO195" s="79"/>
      <c r="CP195" s="79"/>
      <c r="CQ195" s="79"/>
      <c r="CR195" s="79"/>
      <c r="CS195" s="79"/>
      <c r="CT195" s="79"/>
      <c r="CU195" s="79"/>
      <c r="CV195" s="79"/>
      <c r="CW195" s="79"/>
      <c r="CX195" s="79"/>
      <c r="CY195" s="79"/>
      <c r="CZ195" s="79"/>
      <c r="DA195" s="79"/>
      <c r="DB195" s="79"/>
      <c r="DC195" s="79"/>
      <c r="DD195" s="79"/>
      <c r="DE195" s="79"/>
      <c r="DF195" s="79"/>
      <c r="DG195" s="79"/>
      <c r="DH195" s="79"/>
      <c r="DI195" s="79"/>
      <c r="DJ195" s="79"/>
      <c r="DK195" s="79"/>
      <c r="DL195" s="79"/>
      <c r="DM195" s="79"/>
      <c r="DN195" s="79"/>
      <c r="DO195" s="79"/>
      <c r="DP195" s="79"/>
      <c r="DQ195" s="79"/>
      <c r="DR195" s="79"/>
      <c r="DS195" s="79"/>
      <c r="DT195" s="79"/>
      <c r="DU195" s="79"/>
      <c r="DV195" s="79"/>
      <c r="DW195" s="79"/>
      <c r="DX195" s="79"/>
      <c r="DY195" s="79"/>
      <c r="DZ195" s="79"/>
      <c r="EA195" s="79"/>
      <c r="EB195" s="79"/>
      <c r="EC195" s="79"/>
      <c r="ED195" s="79"/>
      <c r="EE195" s="79"/>
      <c r="EF195" s="79"/>
      <c r="EG195" s="79"/>
      <c r="EH195" s="79"/>
      <c r="EI195" s="79"/>
      <c r="EJ195" s="79"/>
      <c r="EK195" s="79"/>
      <c r="EL195" s="79"/>
      <c r="EM195" s="79"/>
      <c r="EN195" s="79"/>
      <c r="EO195" s="79"/>
      <c r="EP195" s="79"/>
      <c r="EQ195" s="79"/>
      <c r="ER195" s="79"/>
      <c r="ES195" s="79"/>
      <c r="ET195" s="79"/>
      <c r="EU195" s="79"/>
      <c r="EV195" s="79"/>
      <c r="EW195" s="79"/>
      <c r="EX195" s="79"/>
      <c r="EY195" s="79"/>
      <c r="EZ195" s="79"/>
      <c r="FA195" s="79"/>
      <c r="FB195" s="79"/>
      <c r="FC195" s="79"/>
      <c r="FD195" s="79"/>
      <c r="FE195" s="79"/>
      <c r="FF195" s="79"/>
      <c r="FG195" s="79"/>
      <c r="FH195" s="79"/>
      <c r="FI195" s="79"/>
      <c r="FJ195" s="79"/>
      <c r="FK195" s="79"/>
      <c r="FL195" s="79"/>
      <c r="FM195" s="79"/>
      <c r="FN195" s="79"/>
      <c r="FO195" s="79"/>
      <c r="FP195" s="79"/>
      <c r="FQ195" s="79"/>
      <c r="FR195" s="79"/>
      <c r="FS195" s="79"/>
      <c r="FT195" s="79"/>
      <c r="FU195" s="79"/>
      <c r="FV195" s="79"/>
      <c r="FW195" s="79"/>
      <c r="FX195" s="79"/>
      <c r="FY195" s="79"/>
      <c r="FZ195" s="79"/>
      <c r="GA195" s="79"/>
      <c r="GB195" s="79"/>
      <c r="GC195" s="79"/>
      <c r="GD195" s="79"/>
      <c r="GE195" s="79"/>
      <c r="GF195" s="79"/>
      <c r="GG195" s="79"/>
      <c r="GH195" s="79"/>
    </row>
    <row r="196" spans="1:190" ht="14.25" x14ac:dyDescent="0.2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  <c r="CC196" s="79"/>
      <c r="CD196" s="79"/>
      <c r="CE196" s="79"/>
      <c r="CF196" s="79"/>
      <c r="CG196" s="79"/>
      <c r="CH196" s="79"/>
      <c r="CI196" s="79"/>
      <c r="CJ196" s="79"/>
      <c r="CK196" s="79"/>
      <c r="CL196" s="79"/>
      <c r="CM196" s="79"/>
      <c r="CN196" s="79"/>
      <c r="CO196" s="79"/>
      <c r="CP196" s="79"/>
      <c r="CQ196" s="79"/>
      <c r="CR196" s="79"/>
      <c r="CS196" s="79"/>
      <c r="CT196" s="79"/>
      <c r="CU196" s="79"/>
      <c r="CV196" s="79"/>
      <c r="CW196" s="79"/>
      <c r="CX196" s="79"/>
      <c r="CY196" s="79"/>
      <c r="CZ196" s="79"/>
      <c r="DA196" s="79"/>
      <c r="DB196" s="79"/>
      <c r="DC196" s="79"/>
      <c r="DD196" s="79"/>
      <c r="DE196" s="79"/>
      <c r="DF196" s="79"/>
      <c r="DG196" s="79"/>
      <c r="DH196" s="79"/>
      <c r="DI196" s="79"/>
      <c r="DJ196" s="79"/>
      <c r="DK196" s="79"/>
      <c r="DL196" s="79"/>
      <c r="DM196" s="79"/>
      <c r="DN196" s="79"/>
      <c r="DO196" s="79"/>
      <c r="DP196" s="79"/>
      <c r="DQ196" s="79"/>
      <c r="DR196" s="79"/>
      <c r="DS196" s="79"/>
      <c r="DT196" s="79"/>
      <c r="DU196" s="79"/>
      <c r="DV196" s="79"/>
      <c r="DW196" s="79"/>
      <c r="DX196" s="79"/>
      <c r="DY196" s="79"/>
      <c r="DZ196" s="79"/>
      <c r="EA196" s="79"/>
      <c r="EB196" s="79"/>
      <c r="EC196" s="79"/>
      <c r="ED196" s="79"/>
      <c r="EE196" s="79"/>
      <c r="EF196" s="79"/>
      <c r="EG196" s="79"/>
      <c r="EH196" s="79"/>
      <c r="EI196" s="79"/>
      <c r="EJ196" s="79"/>
      <c r="EK196" s="79"/>
      <c r="EL196" s="79"/>
      <c r="EM196" s="79"/>
      <c r="EN196" s="79"/>
      <c r="EO196" s="79"/>
      <c r="EP196" s="79"/>
      <c r="EQ196" s="79"/>
      <c r="ER196" s="79"/>
      <c r="ES196" s="79"/>
      <c r="ET196" s="79"/>
      <c r="EU196" s="79"/>
      <c r="EV196" s="79"/>
      <c r="EW196" s="79"/>
      <c r="EX196" s="79"/>
      <c r="EY196" s="79"/>
      <c r="EZ196" s="79"/>
      <c r="FA196" s="79"/>
      <c r="FB196" s="79"/>
      <c r="FC196" s="79"/>
      <c r="FD196" s="79"/>
      <c r="FE196" s="79"/>
      <c r="FF196" s="79"/>
      <c r="FG196" s="79"/>
      <c r="FH196" s="79"/>
      <c r="FI196" s="79"/>
      <c r="FJ196" s="79"/>
      <c r="FK196" s="79"/>
      <c r="FL196" s="79"/>
      <c r="FM196" s="79"/>
      <c r="FN196" s="79"/>
      <c r="FO196" s="79"/>
      <c r="FP196" s="79"/>
      <c r="FQ196" s="79"/>
      <c r="FR196" s="79"/>
      <c r="FS196" s="79"/>
      <c r="FT196" s="79"/>
      <c r="FU196" s="79"/>
      <c r="FV196" s="79"/>
      <c r="FW196" s="79"/>
      <c r="FX196" s="79"/>
      <c r="FY196" s="79"/>
      <c r="FZ196" s="79"/>
      <c r="GA196" s="79"/>
      <c r="GB196" s="79"/>
      <c r="GC196" s="79"/>
      <c r="GD196" s="79"/>
      <c r="GE196" s="79"/>
      <c r="GF196" s="79"/>
      <c r="GG196" s="79"/>
      <c r="GH196" s="79"/>
    </row>
    <row r="197" spans="1:190" ht="14.25" x14ac:dyDescent="0.2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BX197" s="79"/>
      <c r="BY197" s="79"/>
      <c r="BZ197" s="79"/>
      <c r="CA197" s="79"/>
      <c r="CB197" s="79"/>
      <c r="CC197" s="79"/>
      <c r="CD197" s="79"/>
      <c r="CE197" s="79"/>
      <c r="CF197" s="79"/>
      <c r="CG197" s="79"/>
      <c r="CH197" s="79"/>
      <c r="CI197" s="79"/>
      <c r="CJ197" s="79"/>
      <c r="CK197" s="79"/>
      <c r="CL197" s="79"/>
      <c r="CM197" s="79"/>
      <c r="CN197" s="79"/>
      <c r="CO197" s="79"/>
      <c r="CP197" s="79"/>
      <c r="CQ197" s="79"/>
      <c r="CR197" s="79"/>
      <c r="CS197" s="79"/>
      <c r="CT197" s="79"/>
      <c r="CU197" s="79"/>
      <c r="CV197" s="79"/>
      <c r="CW197" s="79"/>
      <c r="CX197" s="79"/>
      <c r="CY197" s="79"/>
      <c r="CZ197" s="79"/>
      <c r="DA197" s="79"/>
      <c r="DB197" s="79"/>
      <c r="DC197" s="79"/>
      <c r="DD197" s="79"/>
      <c r="DE197" s="79"/>
      <c r="DF197" s="79"/>
      <c r="DG197" s="79"/>
      <c r="DH197" s="79"/>
      <c r="DI197" s="79"/>
      <c r="DJ197" s="79"/>
      <c r="DK197" s="79"/>
      <c r="DL197" s="79"/>
      <c r="DM197" s="79"/>
      <c r="DN197" s="79"/>
      <c r="DO197" s="79"/>
      <c r="DP197" s="79"/>
      <c r="DQ197" s="79"/>
      <c r="DR197" s="79"/>
      <c r="DS197" s="79"/>
      <c r="DT197" s="79"/>
      <c r="DU197" s="79"/>
      <c r="DV197" s="79"/>
      <c r="DW197" s="79"/>
      <c r="DX197" s="79"/>
      <c r="DY197" s="79"/>
      <c r="DZ197" s="79"/>
      <c r="EA197" s="79"/>
      <c r="EB197" s="79"/>
      <c r="EC197" s="79"/>
      <c r="ED197" s="79"/>
      <c r="EE197" s="79"/>
      <c r="EF197" s="79"/>
      <c r="EG197" s="79"/>
      <c r="EH197" s="79"/>
      <c r="EI197" s="79"/>
      <c r="EJ197" s="79"/>
      <c r="EK197" s="79"/>
      <c r="EL197" s="79"/>
      <c r="EM197" s="79"/>
      <c r="EN197" s="79"/>
      <c r="EO197" s="79"/>
      <c r="EP197" s="79"/>
      <c r="EQ197" s="79"/>
      <c r="ER197" s="79"/>
      <c r="ES197" s="79"/>
      <c r="ET197" s="79"/>
      <c r="EU197" s="79"/>
      <c r="EV197" s="79"/>
      <c r="EW197" s="79"/>
      <c r="EX197" s="79"/>
      <c r="EY197" s="79"/>
      <c r="EZ197" s="79"/>
      <c r="FA197" s="79"/>
      <c r="FB197" s="79"/>
      <c r="FC197" s="79"/>
      <c r="FD197" s="79"/>
      <c r="FE197" s="79"/>
      <c r="FF197" s="79"/>
      <c r="FG197" s="79"/>
      <c r="FH197" s="79"/>
      <c r="FI197" s="79"/>
      <c r="FJ197" s="79"/>
      <c r="FK197" s="79"/>
      <c r="FL197" s="79"/>
      <c r="FM197" s="79"/>
      <c r="FN197" s="79"/>
      <c r="FO197" s="79"/>
      <c r="FP197" s="79"/>
      <c r="FQ197" s="79"/>
      <c r="FR197" s="79"/>
      <c r="FS197" s="79"/>
      <c r="FT197" s="79"/>
      <c r="FU197" s="79"/>
      <c r="FV197" s="79"/>
      <c r="FW197" s="79"/>
      <c r="FX197" s="79"/>
      <c r="FY197" s="79"/>
      <c r="FZ197" s="79"/>
      <c r="GA197" s="79"/>
      <c r="GB197" s="79"/>
      <c r="GC197" s="79"/>
      <c r="GD197" s="79"/>
      <c r="GE197" s="79"/>
      <c r="GF197" s="79"/>
      <c r="GG197" s="79"/>
      <c r="GH197" s="79"/>
    </row>
    <row r="198" spans="1:190" ht="14.25" x14ac:dyDescent="0.2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BX198" s="79"/>
      <c r="BY198" s="79"/>
      <c r="BZ198" s="79"/>
      <c r="CA198" s="79"/>
      <c r="CB198" s="79"/>
      <c r="CC198" s="79"/>
      <c r="CD198" s="79"/>
      <c r="CE198" s="79"/>
      <c r="CF198" s="79"/>
      <c r="CG198" s="79"/>
      <c r="CH198" s="79"/>
      <c r="CI198" s="79"/>
      <c r="CJ198" s="79"/>
      <c r="CK198" s="79"/>
      <c r="CL198" s="79"/>
      <c r="CM198" s="79"/>
      <c r="CN198" s="79"/>
      <c r="CO198" s="79"/>
      <c r="CP198" s="79"/>
      <c r="CQ198" s="79"/>
      <c r="CR198" s="79"/>
      <c r="CS198" s="79"/>
      <c r="CT198" s="79"/>
      <c r="CU198" s="79"/>
      <c r="CV198" s="79"/>
      <c r="CW198" s="79"/>
      <c r="CX198" s="79"/>
      <c r="CY198" s="79"/>
      <c r="CZ198" s="79"/>
      <c r="DA198" s="79"/>
      <c r="DB198" s="79"/>
      <c r="DC198" s="79"/>
      <c r="DD198" s="79"/>
      <c r="DE198" s="79"/>
      <c r="DF198" s="79"/>
      <c r="DG198" s="79"/>
      <c r="DH198" s="79"/>
      <c r="DI198" s="79"/>
      <c r="DJ198" s="79"/>
      <c r="DK198" s="79"/>
      <c r="DL198" s="79"/>
      <c r="DM198" s="79"/>
      <c r="DN198" s="79"/>
      <c r="DO198" s="79"/>
      <c r="DP198" s="79"/>
      <c r="DQ198" s="79"/>
      <c r="DR198" s="79"/>
      <c r="DS198" s="79"/>
      <c r="DT198" s="79"/>
      <c r="DU198" s="79"/>
      <c r="DV198" s="79"/>
      <c r="DW198" s="79"/>
      <c r="DX198" s="79"/>
      <c r="DY198" s="79"/>
      <c r="DZ198" s="79"/>
      <c r="EA198" s="79"/>
      <c r="EB198" s="79"/>
      <c r="EC198" s="79"/>
      <c r="ED198" s="79"/>
      <c r="EE198" s="79"/>
      <c r="EF198" s="79"/>
      <c r="EG198" s="79"/>
      <c r="EH198" s="79"/>
      <c r="EI198" s="79"/>
      <c r="EJ198" s="79"/>
      <c r="EK198" s="79"/>
      <c r="EL198" s="79"/>
      <c r="EM198" s="79"/>
      <c r="EN198" s="79"/>
      <c r="EO198" s="79"/>
      <c r="EP198" s="79"/>
      <c r="EQ198" s="79"/>
      <c r="ER198" s="79"/>
      <c r="ES198" s="79"/>
      <c r="ET198" s="79"/>
      <c r="EU198" s="79"/>
      <c r="EV198" s="79"/>
      <c r="EW198" s="79"/>
      <c r="EX198" s="79"/>
      <c r="EY198" s="79"/>
      <c r="EZ198" s="79"/>
      <c r="FA198" s="79"/>
      <c r="FB198" s="79"/>
      <c r="FC198" s="79"/>
      <c r="FD198" s="79"/>
      <c r="FE198" s="79"/>
      <c r="FF198" s="79"/>
      <c r="FG198" s="79"/>
      <c r="FH198" s="79"/>
      <c r="FI198" s="79"/>
      <c r="FJ198" s="79"/>
      <c r="FK198" s="79"/>
      <c r="FL198" s="79"/>
      <c r="FM198" s="79"/>
      <c r="FN198" s="79"/>
      <c r="FO198" s="79"/>
      <c r="FP198" s="79"/>
      <c r="FQ198" s="79"/>
      <c r="FR198" s="79"/>
      <c r="FS198" s="79"/>
      <c r="FT198" s="79"/>
      <c r="FU198" s="79"/>
      <c r="FV198" s="79"/>
      <c r="FW198" s="79"/>
      <c r="FX198" s="79"/>
      <c r="FY198" s="79"/>
      <c r="FZ198" s="79"/>
      <c r="GA198" s="79"/>
      <c r="GB198" s="79"/>
      <c r="GC198" s="79"/>
      <c r="GD198" s="79"/>
      <c r="GE198" s="79"/>
      <c r="GF198" s="79"/>
      <c r="GG198" s="79"/>
      <c r="GH198" s="79"/>
    </row>
    <row r="199" spans="1:190" ht="14.25" x14ac:dyDescent="0.2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  <c r="CC199" s="79"/>
      <c r="CD199" s="79"/>
      <c r="CE199" s="79"/>
      <c r="CF199" s="79"/>
      <c r="CG199" s="79"/>
      <c r="CH199" s="79"/>
      <c r="CI199" s="79"/>
      <c r="CJ199" s="79"/>
      <c r="CK199" s="79"/>
      <c r="CL199" s="79"/>
      <c r="CM199" s="79"/>
      <c r="CN199" s="79"/>
      <c r="CO199" s="79"/>
      <c r="CP199" s="79"/>
      <c r="CQ199" s="79"/>
      <c r="CR199" s="79"/>
      <c r="CS199" s="79"/>
      <c r="CT199" s="79"/>
      <c r="CU199" s="79"/>
      <c r="CV199" s="79"/>
      <c r="CW199" s="79"/>
      <c r="CX199" s="79"/>
      <c r="CY199" s="79"/>
      <c r="CZ199" s="79"/>
      <c r="DA199" s="79"/>
      <c r="DB199" s="79"/>
      <c r="DC199" s="79"/>
      <c r="DD199" s="79"/>
      <c r="DE199" s="79"/>
      <c r="DF199" s="79"/>
      <c r="DG199" s="79"/>
      <c r="DH199" s="79"/>
      <c r="DI199" s="79"/>
      <c r="DJ199" s="79"/>
      <c r="DK199" s="79"/>
      <c r="DL199" s="79"/>
      <c r="DM199" s="79"/>
      <c r="DN199" s="79"/>
      <c r="DO199" s="79"/>
      <c r="DP199" s="79"/>
      <c r="DQ199" s="79"/>
      <c r="DR199" s="79"/>
      <c r="DS199" s="79"/>
      <c r="DT199" s="79"/>
      <c r="DU199" s="79"/>
      <c r="DV199" s="79"/>
      <c r="DW199" s="79"/>
      <c r="DX199" s="79"/>
      <c r="DY199" s="79"/>
      <c r="DZ199" s="79"/>
      <c r="EA199" s="79"/>
      <c r="EB199" s="79"/>
      <c r="EC199" s="79"/>
      <c r="ED199" s="79"/>
      <c r="EE199" s="79"/>
      <c r="EF199" s="79"/>
      <c r="EG199" s="79"/>
      <c r="EH199" s="79"/>
      <c r="EI199" s="79"/>
      <c r="EJ199" s="79"/>
      <c r="EK199" s="79"/>
      <c r="EL199" s="79"/>
      <c r="EM199" s="79"/>
      <c r="EN199" s="79"/>
      <c r="EO199" s="79"/>
      <c r="EP199" s="79"/>
      <c r="EQ199" s="79"/>
      <c r="ER199" s="79"/>
      <c r="ES199" s="79"/>
      <c r="ET199" s="79"/>
      <c r="EU199" s="79"/>
      <c r="EV199" s="79"/>
      <c r="EW199" s="79"/>
      <c r="EX199" s="79"/>
      <c r="EY199" s="79"/>
      <c r="EZ199" s="79"/>
      <c r="FA199" s="79"/>
      <c r="FB199" s="79"/>
      <c r="FC199" s="79"/>
      <c r="FD199" s="79"/>
      <c r="FE199" s="79"/>
      <c r="FF199" s="79"/>
      <c r="FG199" s="79"/>
      <c r="FH199" s="79"/>
      <c r="FI199" s="79"/>
      <c r="FJ199" s="79"/>
      <c r="FK199" s="79"/>
      <c r="FL199" s="79"/>
      <c r="FM199" s="79"/>
      <c r="FN199" s="79"/>
      <c r="FO199" s="79"/>
      <c r="FP199" s="79"/>
      <c r="FQ199" s="79"/>
      <c r="FR199" s="79"/>
      <c r="FS199" s="79"/>
      <c r="FT199" s="79"/>
      <c r="FU199" s="79"/>
      <c r="FV199" s="79"/>
      <c r="FW199" s="79"/>
      <c r="FX199" s="79"/>
      <c r="FY199" s="79"/>
      <c r="FZ199" s="79"/>
      <c r="GA199" s="79"/>
      <c r="GB199" s="79"/>
      <c r="GC199" s="79"/>
      <c r="GD199" s="79"/>
      <c r="GE199" s="79"/>
      <c r="GF199" s="79"/>
      <c r="GG199" s="79"/>
      <c r="GH199" s="79"/>
    </row>
    <row r="200" spans="1:190" ht="14.25" x14ac:dyDescent="0.2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  <c r="CC200" s="79"/>
      <c r="CD200" s="79"/>
      <c r="CE200" s="79"/>
      <c r="CF200" s="79"/>
      <c r="CG200" s="79"/>
      <c r="CH200" s="79"/>
      <c r="CI200" s="79"/>
      <c r="CJ200" s="79"/>
      <c r="CK200" s="79"/>
      <c r="CL200" s="79"/>
      <c r="CM200" s="79"/>
      <c r="CN200" s="79"/>
      <c r="CO200" s="79"/>
      <c r="CP200" s="79"/>
      <c r="CQ200" s="79"/>
      <c r="CR200" s="79"/>
      <c r="CS200" s="79"/>
      <c r="CT200" s="79"/>
      <c r="CU200" s="79"/>
      <c r="CV200" s="79"/>
      <c r="CW200" s="79"/>
      <c r="CX200" s="79"/>
      <c r="CY200" s="79"/>
      <c r="CZ200" s="79"/>
      <c r="DA200" s="79"/>
      <c r="DB200" s="79"/>
      <c r="DC200" s="79"/>
      <c r="DD200" s="79"/>
      <c r="DE200" s="79"/>
      <c r="DF200" s="79"/>
      <c r="DG200" s="79"/>
      <c r="DH200" s="79"/>
      <c r="DI200" s="79"/>
      <c r="DJ200" s="79"/>
      <c r="DK200" s="79"/>
      <c r="DL200" s="79"/>
      <c r="DM200" s="79"/>
      <c r="DN200" s="79"/>
      <c r="DO200" s="79"/>
      <c r="DP200" s="79"/>
      <c r="DQ200" s="79"/>
      <c r="DR200" s="79"/>
      <c r="DS200" s="79"/>
      <c r="DT200" s="79"/>
      <c r="DU200" s="79"/>
      <c r="DV200" s="79"/>
      <c r="DW200" s="79"/>
      <c r="DX200" s="79"/>
      <c r="DY200" s="79"/>
      <c r="DZ200" s="79"/>
      <c r="EA200" s="79"/>
      <c r="EB200" s="79"/>
      <c r="EC200" s="79"/>
      <c r="ED200" s="79"/>
      <c r="EE200" s="79"/>
      <c r="EF200" s="79"/>
      <c r="EG200" s="79"/>
      <c r="EH200" s="79"/>
      <c r="EI200" s="79"/>
      <c r="EJ200" s="79"/>
      <c r="EK200" s="79"/>
      <c r="EL200" s="79"/>
      <c r="EM200" s="79"/>
      <c r="EN200" s="79"/>
      <c r="EO200" s="79"/>
      <c r="EP200" s="79"/>
      <c r="EQ200" s="79"/>
      <c r="ER200" s="79"/>
      <c r="ES200" s="79"/>
      <c r="ET200" s="79"/>
      <c r="EU200" s="79"/>
      <c r="EV200" s="79"/>
      <c r="EW200" s="79"/>
      <c r="EX200" s="79"/>
      <c r="EY200" s="79"/>
      <c r="EZ200" s="79"/>
      <c r="FA200" s="79"/>
      <c r="FB200" s="79"/>
      <c r="FC200" s="79"/>
      <c r="FD200" s="79"/>
      <c r="FE200" s="79"/>
      <c r="FF200" s="79"/>
      <c r="FG200" s="79"/>
      <c r="FH200" s="79"/>
      <c r="FI200" s="79"/>
      <c r="FJ200" s="79"/>
      <c r="FK200" s="79"/>
      <c r="FL200" s="79"/>
      <c r="FM200" s="79"/>
      <c r="FN200" s="79"/>
      <c r="FO200" s="79"/>
      <c r="FP200" s="79"/>
      <c r="FQ200" s="79"/>
      <c r="FR200" s="79"/>
      <c r="FS200" s="79"/>
      <c r="FT200" s="79"/>
      <c r="FU200" s="79"/>
      <c r="FV200" s="79"/>
      <c r="FW200" s="79"/>
      <c r="FX200" s="79"/>
      <c r="FY200" s="79"/>
      <c r="FZ200" s="79"/>
      <c r="GA200" s="79"/>
      <c r="GB200" s="79"/>
      <c r="GC200" s="79"/>
      <c r="GD200" s="79"/>
      <c r="GE200" s="79"/>
      <c r="GF200" s="79"/>
      <c r="GG200" s="79"/>
      <c r="GH200" s="79"/>
    </row>
    <row r="201" spans="1:190" ht="14.25" x14ac:dyDescent="0.2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BX201" s="79"/>
      <c r="BY201" s="79"/>
      <c r="BZ201" s="79"/>
      <c r="CA201" s="79"/>
      <c r="CB201" s="79"/>
      <c r="CC201" s="79"/>
      <c r="CD201" s="79"/>
      <c r="CE201" s="79"/>
      <c r="CF201" s="79"/>
      <c r="CG201" s="79"/>
      <c r="CH201" s="79"/>
      <c r="CI201" s="79"/>
      <c r="CJ201" s="79"/>
      <c r="CK201" s="79"/>
      <c r="CL201" s="79"/>
      <c r="CM201" s="79"/>
      <c r="CN201" s="79"/>
      <c r="CO201" s="79"/>
      <c r="CP201" s="79"/>
      <c r="CQ201" s="79"/>
      <c r="CR201" s="79"/>
      <c r="CS201" s="79"/>
      <c r="CT201" s="79"/>
      <c r="CU201" s="79"/>
      <c r="CV201" s="79"/>
      <c r="CW201" s="79"/>
      <c r="CX201" s="79"/>
      <c r="CY201" s="79"/>
      <c r="CZ201" s="79"/>
      <c r="DA201" s="79"/>
      <c r="DB201" s="79"/>
      <c r="DC201" s="79"/>
      <c r="DD201" s="79"/>
      <c r="DE201" s="79"/>
      <c r="DF201" s="79"/>
      <c r="DG201" s="79"/>
      <c r="DH201" s="79"/>
      <c r="DI201" s="79"/>
      <c r="DJ201" s="79"/>
      <c r="DK201" s="79"/>
      <c r="DL201" s="79"/>
      <c r="DM201" s="79"/>
      <c r="DN201" s="79"/>
      <c r="DO201" s="79"/>
      <c r="DP201" s="79"/>
      <c r="DQ201" s="79"/>
      <c r="DR201" s="79"/>
      <c r="DS201" s="79"/>
      <c r="DT201" s="79"/>
      <c r="DU201" s="79"/>
      <c r="DV201" s="79"/>
      <c r="DW201" s="79"/>
      <c r="DX201" s="79"/>
      <c r="DY201" s="79"/>
      <c r="DZ201" s="79"/>
      <c r="EA201" s="79"/>
      <c r="EB201" s="79"/>
      <c r="EC201" s="79"/>
      <c r="ED201" s="79"/>
      <c r="EE201" s="79"/>
      <c r="EF201" s="79"/>
      <c r="EG201" s="79"/>
      <c r="EH201" s="79"/>
      <c r="EI201" s="79"/>
      <c r="EJ201" s="79"/>
      <c r="EK201" s="79"/>
      <c r="EL201" s="79"/>
      <c r="EM201" s="79"/>
      <c r="EN201" s="79"/>
      <c r="EO201" s="79"/>
      <c r="EP201" s="79"/>
      <c r="EQ201" s="79"/>
      <c r="ER201" s="79"/>
      <c r="ES201" s="79"/>
      <c r="ET201" s="79"/>
      <c r="EU201" s="79"/>
      <c r="EV201" s="79"/>
      <c r="EW201" s="79"/>
      <c r="EX201" s="79"/>
      <c r="EY201" s="79"/>
      <c r="EZ201" s="79"/>
      <c r="FA201" s="79"/>
      <c r="FB201" s="79"/>
      <c r="FC201" s="79"/>
      <c r="FD201" s="79"/>
      <c r="FE201" s="79"/>
      <c r="FF201" s="79"/>
      <c r="FG201" s="79"/>
      <c r="FH201" s="79"/>
      <c r="FI201" s="79"/>
      <c r="FJ201" s="79"/>
      <c r="FK201" s="79"/>
      <c r="FL201" s="79"/>
      <c r="FM201" s="79"/>
      <c r="FN201" s="79"/>
      <c r="FO201" s="79"/>
      <c r="FP201" s="79"/>
      <c r="FQ201" s="79"/>
      <c r="FR201" s="79"/>
      <c r="FS201" s="79"/>
      <c r="FT201" s="79"/>
      <c r="FU201" s="79"/>
      <c r="FV201" s="79"/>
      <c r="FW201" s="79"/>
      <c r="FX201" s="79"/>
      <c r="FY201" s="79"/>
      <c r="FZ201" s="79"/>
      <c r="GA201" s="79"/>
      <c r="GB201" s="79"/>
      <c r="GC201" s="79"/>
      <c r="GD201" s="79"/>
      <c r="GE201" s="79"/>
      <c r="GF201" s="79"/>
      <c r="GG201" s="79"/>
      <c r="GH201" s="79"/>
    </row>
    <row r="202" spans="1:190" ht="14.25" x14ac:dyDescent="0.2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BX202" s="79"/>
      <c r="BY202" s="79"/>
      <c r="BZ202" s="79"/>
      <c r="CA202" s="79"/>
      <c r="CB202" s="79"/>
      <c r="CC202" s="79"/>
      <c r="CD202" s="79"/>
      <c r="CE202" s="79"/>
      <c r="CF202" s="79"/>
      <c r="CG202" s="79"/>
      <c r="CH202" s="79"/>
      <c r="CI202" s="79"/>
      <c r="CJ202" s="79"/>
      <c r="CK202" s="79"/>
      <c r="CL202" s="79"/>
      <c r="CM202" s="79"/>
      <c r="CN202" s="79"/>
      <c r="CO202" s="79"/>
      <c r="CP202" s="79"/>
      <c r="CQ202" s="79"/>
      <c r="CR202" s="79"/>
      <c r="CS202" s="79"/>
      <c r="CT202" s="79"/>
      <c r="CU202" s="79"/>
      <c r="CV202" s="79"/>
      <c r="CW202" s="79"/>
      <c r="CX202" s="79"/>
      <c r="CY202" s="79"/>
      <c r="CZ202" s="79"/>
      <c r="DA202" s="79"/>
      <c r="DB202" s="79"/>
      <c r="DC202" s="79"/>
      <c r="DD202" s="79"/>
      <c r="DE202" s="79"/>
      <c r="DF202" s="79"/>
      <c r="DG202" s="79"/>
      <c r="DH202" s="79"/>
      <c r="DI202" s="79"/>
      <c r="DJ202" s="79"/>
      <c r="DK202" s="79"/>
      <c r="DL202" s="79"/>
      <c r="DM202" s="79"/>
      <c r="DN202" s="79"/>
      <c r="DO202" s="79"/>
      <c r="DP202" s="79"/>
      <c r="DQ202" s="79"/>
      <c r="DR202" s="79"/>
      <c r="DS202" s="79"/>
      <c r="DT202" s="79"/>
      <c r="DU202" s="79"/>
      <c r="DV202" s="79"/>
      <c r="DW202" s="79"/>
      <c r="DX202" s="79"/>
      <c r="DY202" s="79"/>
      <c r="DZ202" s="79"/>
      <c r="EA202" s="79"/>
      <c r="EB202" s="79"/>
      <c r="EC202" s="79"/>
      <c r="ED202" s="79"/>
      <c r="EE202" s="79"/>
      <c r="EF202" s="79"/>
      <c r="EG202" s="79"/>
      <c r="EH202" s="79"/>
      <c r="EI202" s="79"/>
      <c r="EJ202" s="79"/>
      <c r="EK202" s="79"/>
      <c r="EL202" s="79"/>
      <c r="EM202" s="79"/>
      <c r="EN202" s="79"/>
      <c r="EO202" s="79"/>
      <c r="EP202" s="79"/>
      <c r="EQ202" s="79"/>
      <c r="ER202" s="79"/>
      <c r="ES202" s="79"/>
      <c r="ET202" s="79"/>
      <c r="EU202" s="79"/>
      <c r="EV202" s="79"/>
      <c r="EW202" s="79"/>
      <c r="EX202" s="79"/>
      <c r="EY202" s="79"/>
      <c r="EZ202" s="79"/>
      <c r="FA202" s="79"/>
      <c r="FB202" s="79"/>
      <c r="FC202" s="79"/>
      <c r="FD202" s="79"/>
      <c r="FE202" s="79"/>
      <c r="FF202" s="79"/>
      <c r="FG202" s="79"/>
      <c r="FH202" s="79"/>
      <c r="FI202" s="79"/>
      <c r="FJ202" s="79"/>
      <c r="FK202" s="79"/>
      <c r="FL202" s="79"/>
      <c r="FM202" s="79"/>
      <c r="FN202" s="79"/>
      <c r="FO202" s="79"/>
      <c r="FP202" s="79"/>
      <c r="FQ202" s="79"/>
      <c r="FR202" s="79"/>
      <c r="FS202" s="79"/>
      <c r="FT202" s="79"/>
      <c r="FU202" s="79"/>
      <c r="FV202" s="79"/>
      <c r="FW202" s="79"/>
      <c r="FX202" s="79"/>
      <c r="FY202" s="79"/>
      <c r="FZ202" s="79"/>
      <c r="GA202" s="79"/>
      <c r="GB202" s="79"/>
      <c r="GC202" s="79"/>
      <c r="GD202" s="79"/>
      <c r="GE202" s="79"/>
      <c r="GF202" s="79"/>
      <c r="GG202" s="79"/>
      <c r="GH202" s="79"/>
    </row>
    <row r="203" spans="1:190" ht="14.25" x14ac:dyDescent="0.2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  <c r="AU203" s="79"/>
      <c r="AV203" s="79"/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BX203" s="79"/>
      <c r="BY203" s="79"/>
      <c r="BZ203" s="79"/>
      <c r="CA203" s="79"/>
      <c r="CB203" s="79"/>
      <c r="CC203" s="79"/>
      <c r="CD203" s="79"/>
      <c r="CE203" s="79"/>
      <c r="CF203" s="79"/>
      <c r="CG203" s="79"/>
      <c r="CH203" s="79"/>
      <c r="CI203" s="79"/>
      <c r="CJ203" s="79"/>
      <c r="CK203" s="79"/>
      <c r="CL203" s="79"/>
      <c r="CM203" s="79"/>
      <c r="CN203" s="79"/>
      <c r="CO203" s="79"/>
      <c r="CP203" s="79"/>
      <c r="CQ203" s="79"/>
      <c r="CR203" s="79"/>
      <c r="CS203" s="79"/>
      <c r="CT203" s="79"/>
      <c r="CU203" s="79"/>
      <c r="CV203" s="79"/>
      <c r="CW203" s="79"/>
      <c r="CX203" s="79"/>
      <c r="CY203" s="79"/>
      <c r="CZ203" s="79"/>
      <c r="DA203" s="79"/>
      <c r="DB203" s="79"/>
      <c r="DC203" s="79"/>
      <c r="DD203" s="79"/>
      <c r="DE203" s="79"/>
      <c r="DF203" s="79"/>
      <c r="DG203" s="79"/>
      <c r="DH203" s="79"/>
      <c r="DI203" s="79"/>
      <c r="DJ203" s="79"/>
      <c r="DK203" s="79"/>
      <c r="DL203" s="79"/>
      <c r="DM203" s="79"/>
      <c r="DN203" s="79"/>
      <c r="DO203" s="79"/>
      <c r="DP203" s="79"/>
      <c r="DQ203" s="79"/>
      <c r="DR203" s="79"/>
      <c r="DS203" s="79"/>
      <c r="DT203" s="79"/>
      <c r="DU203" s="79"/>
      <c r="DV203" s="79"/>
      <c r="DW203" s="79"/>
      <c r="DX203" s="79"/>
      <c r="DY203" s="79"/>
      <c r="DZ203" s="79"/>
      <c r="EA203" s="79"/>
      <c r="EB203" s="79"/>
      <c r="EC203" s="79"/>
      <c r="ED203" s="79"/>
      <c r="EE203" s="79"/>
      <c r="EF203" s="79"/>
      <c r="EG203" s="79"/>
      <c r="EH203" s="79"/>
      <c r="EI203" s="79"/>
      <c r="EJ203" s="79"/>
      <c r="EK203" s="79"/>
      <c r="EL203" s="79"/>
      <c r="EM203" s="79"/>
      <c r="EN203" s="79"/>
      <c r="EO203" s="79"/>
      <c r="EP203" s="79"/>
      <c r="EQ203" s="79"/>
      <c r="ER203" s="79"/>
      <c r="ES203" s="79"/>
      <c r="ET203" s="79"/>
      <c r="EU203" s="79"/>
      <c r="EV203" s="79"/>
      <c r="EW203" s="79"/>
      <c r="EX203" s="79"/>
      <c r="EY203" s="79"/>
      <c r="EZ203" s="79"/>
      <c r="FA203" s="79"/>
      <c r="FB203" s="79"/>
      <c r="FC203" s="79"/>
      <c r="FD203" s="79"/>
      <c r="FE203" s="79"/>
      <c r="FF203" s="79"/>
      <c r="FG203" s="79"/>
      <c r="FH203" s="79"/>
      <c r="FI203" s="79"/>
      <c r="FJ203" s="79"/>
      <c r="FK203" s="79"/>
      <c r="FL203" s="79"/>
      <c r="FM203" s="79"/>
      <c r="FN203" s="79"/>
      <c r="FO203" s="79"/>
      <c r="FP203" s="79"/>
      <c r="FQ203" s="79"/>
      <c r="FR203" s="79"/>
      <c r="FS203" s="79"/>
      <c r="FT203" s="79"/>
      <c r="FU203" s="79"/>
      <c r="FV203" s="79"/>
      <c r="FW203" s="79"/>
      <c r="FX203" s="79"/>
      <c r="FY203" s="79"/>
      <c r="FZ203" s="79"/>
      <c r="GA203" s="79"/>
      <c r="GB203" s="79"/>
      <c r="GC203" s="79"/>
      <c r="GD203" s="79"/>
      <c r="GE203" s="79"/>
      <c r="GF203" s="79"/>
      <c r="GG203" s="79"/>
      <c r="GH203" s="79"/>
    </row>
    <row r="204" spans="1:190" ht="14.25" x14ac:dyDescent="0.2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9"/>
      <c r="AU204" s="79"/>
      <c r="AV204" s="79"/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  <c r="CR204" s="79"/>
      <c r="CS204" s="79"/>
      <c r="CT204" s="79"/>
      <c r="CU204" s="79"/>
      <c r="CV204" s="79"/>
      <c r="CW204" s="79"/>
      <c r="CX204" s="79"/>
      <c r="CY204" s="79"/>
      <c r="CZ204" s="79"/>
      <c r="DA204" s="79"/>
      <c r="DB204" s="79"/>
      <c r="DC204" s="79"/>
      <c r="DD204" s="79"/>
      <c r="DE204" s="79"/>
      <c r="DF204" s="79"/>
      <c r="DG204" s="79"/>
      <c r="DH204" s="79"/>
      <c r="DI204" s="79"/>
      <c r="DJ204" s="79"/>
      <c r="DK204" s="79"/>
      <c r="DL204" s="79"/>
      <c r="DM204" s="79"/>
      <c r="DN204" s="79"/>
      <c r="DO204" s="79"/>
      <c r="DP204" s="79"/>
      <c r="DQ204" s="79"/>
      <c r="DR204" s="79"/>
      <c r="DS204" s="79"/>
      <c r="DT204" s="79"/>
      <c r="DU204" s="79"/>
      <c r="DV204" s="79"/>
      <c r="DW204" s="79"/>
      <c r="DX204" s="79"/>
      <c r="DY204" s="79"/>
      <c r="DZ204" s="79"/>
      <c r="EA204" s="79"/>
      <c r="EB204" s="79"/>
      <c r="EC204" s="79"/>
      <c r="ED204" s="79"/>
      <c r="EE204" s="79"/>
      <c r="EF204" s="79"/>
      <c r="EG204" s="79"/>
      <c r="EH204" s="79"/>
      <c r="EI204" s="79"/>
      <c r="EJ204" s="79"/>
      <c r="EK204" s="79"/>
      <c r="EL204" s="79"/>
      <c r="EM204" s="79"/>
      <c r="EN204" s="79"/>
      <c r="EO204" s="79"/>
      <c r="EP204" s="79"/>
      <c r="EQ204" s="79"/>
      <c r="ER204" s="79"/>
      <c r="ES204" s="79"/>
      <c r="ET204" s="79"/>
      <c r="EU204" s="79"/>
      <c r="EV204" s="79"/>
      <c r="EW204" s="79"/>
      <c r="EX204" s="79"/>
      <c r="EY204" s="79"/>
      <c r="EZ204" s="79"/>
      <c r="FA204" s="79"/>
      <c r="FB204" s="79"/>
      <c r="FC204" s="79"/>
      <c r="FD204" s="79"/>
      <c r="FE204" s="79"/>
      <c r="FF204" s="79"/>
      <c r="FG204" s="79"/>
      <c r="FH204" s="79"/>
      <c r="FI204" s="79"/>
      <c r="FJ204" s="79"/>
      <c r="FK204" s="79"/>
      <c r="FL204" s="79"/>
      <c r="FM204" s="79"/>
      <c r="FN204" s="79"/>
      <c r="FO204" s="79"/>
      <c r="FP204" s="79"/>
      <c r="FQ204" s="79"/>
      <c r="FR204" s="79"/>
      <c r="FS204" s="79"/>
      <c r="FT204" s="79"/>
      <c r="FU204" s="79"/>
      <c r="FV204" s="79"/>
      <c r="FW204" s="79"/>
      <c r="FX204" s="79"/>
      <c r="FY204" s="79"/>
      <c r="FZ204" s="79"/>
      <c r="GA204" s="79"/>
      <c r="GB204" s="79"/>
      <c r="GC204" s="79"/>
      <c r="GD204" s="79"/>
      <c r="GE204" s="79"/>
      <c r="GF204" s="79"/>
      <c r="GG204" s="79"/>
      <c r="GH204" s="79"/>
    </row>
    <row r="205" spans="1:190" ht="14.25" x14ac:dyDescent="0.2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9"/>
      <c r="AU205" s="79"/>
      <c r="AV205" s="79"/>
      <c r="AW205" s="79"/>
      <c r="AX205" s="79"/>
      <c r="AY205" s="79"/>
      <c r="AZ205" s="79"/>
      <c r="BA205" s="79"/>
      <c r="BB205" s="79"/>
      <c r="BC205" s="79"/>
      <c r="BD205" s="79"/>
      <c r="BE205" s="79"/>
      <c r="BF205" s="79"/>
      <c r="BG205" s="79"/>
      <c r="BH205" s="79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BX205" s="79"/>
      <c r="BY205" s="79"/>
      <c r="BZ205" s="79"/>
      <c r="CA205" s="79"/>
      <c r="CB205" s="79"/>
      <c r="CC205" s="79"/>
      <c r="CD205" s="79"/>
      <c r="CE205" s="79"/>
      <c r="CF205" s="79"/>
      <c r="CG205" s="79"/>
      <c r="CH205" s="79"/>
      <c r="CI205" s="79"/>
      <c r="CJ205" s="79"/>
      <c r="CK205" s="79"/>
      <c r="CL205" s="79"/>
      <c r="CM205" s="79"/>
      <c r="CN205" s="79"/>
      <c r="CO205" s="79"/>
      <c r="CP205" s="79"/>
      <c r="CQ205" s="79"/>
      <c r="CR205" s="79"/>
      <c r="CS205" s="79"/>
      <c r="CT205" s="79"/>
      <c r="CU205" s="79"/>
      <c r="CV205" s="79"/>
      <c r="CW205" s="79"/>
      <c r="CX205" s="79"/>
      <c r="CY205" s="79"/>
      <c r="CZ205" s="79"/>
      <c r="DA205" s="79"/>
      <c r="DB205" s="79"/>
      <c r="DC205" s="79"/>
      <c r="DD205" s="79"/>
      <c r="DE205" s="79"/>
      <c r="DF205" s="79"/>
      <c r="DG205" s="79"/>
      <c r="DH205" s="79"/>
      <c r="DI205" s="79"/>
      <c r="DJ205" s="79"/>
      <c r="DK205" s="79"/>
      <c r="DL205" s="79"/>
      <c r="DM205" s="79"/>
      <c r="DN205" s="79"/>
      <c r="DO205" s="79"/>
      <c r="DP205" s="79"/>
      <c r="DQ205" s="79"/>
      <c r="DR205" s="79"/>
      <c r="DS205" s="79"/>
      <c r="DT205" s="79"/>
      <c r="DU205" s="79"/>
      <c r="DV205" s="79"/>
      <c r="DW205" s="79"/>
      <c r="DX205" s="79"/>
      <c r="DY205" s="79"/>
      <c r="DZ205" s="79"/>
      <c r="EA205" s="79"/>
      <c r="EB205" s="79"/>
      <c r="EC205" s="79"/>
      <c r="ED205" s="79"/>
      <c r="EE205" s="79"/>
      <c r="EF205" s="79"/>
      <c r="EG205" s="79"/>
      <c r="EH205" s="79"/>
      <c r="EI205" s="79"/>
      <c r="EJ205" s="79"/>
      <c r="EK205" s="79"/>
      <c r="EL205" s="79"/>
      <c r="EM205" s="79"/>
      <c r="EN205" s="79"/>
      <c r="EO205" s="79"/>
      <c r="EP205" s="79"/>
      <c r="EQ205" s="79"/>
      <c r="ER205" s="79"/>
      <c r="ES205" s="79"/>
      <c r="ET205" s="79"/>
      <c r="EU205" s="79"/>
      <c r="EV205" s="79"/>
      <c r="EW205" s="79"/>
      <c r="EX205" s="79"/>
      <c r="EY205" s="79"/>
      <c r="EZ205" s="79"/>
      <c r="FA205" s="79"/>
      <c r="FB205" s="79"/>
      <c r="FC205" s="79"/>
      <c r="FD205" s="79"/>
      <c r="FE205" s="79"/>
      <c r="FF205" s="79"/>
      <c r="FG205" s="79"/>
      <c r="FH205" s="79"/>
      <c r="FI205" s="79"/>
      <c r="FJ205" s="79"/>
      <c r="FK205" s="79"/>
      <c r="FL205" s="79"/>
      <c r="FM205" s="79"/>
      <c r="FN205" s="79"/>
      <c r="FO205" s="79"/>
      <c r="FP205" s="79"/>
      <c r="FQ205" s="79"/>
      <c r="FR205" s="79"/>
      <c r="FS205" s="79"/>
      <c r="FT205" s="79"/>
      <c r="FU205" s="79"/>
      <c r="FV205" s="79"/>
      <c r="FW205" s="79"/>
      <c r="FX205" s="79"/>
      <c r="FY205" s="79"/>
      <c r="FZ205" s="79"/>
      <c r="GA205" s="79"/>
      <c r="GB205" s="79"/>
      <c r="GC205" s="79"/>
      <c r="GD205" s="79"/>
      <c r="GE205" s="79"/>
      <c r="GF205" s="79"/>
      <c r="GG205" s="79"/>
      <c r="GH205" s="79"/>
    </row>
    <row r="206" spans="1:190" ht="14.25" x14ac:dyDescent="0.2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9"/>
      <c r="AU206" s="79"/>
      <c r="AV206" s="79"/>
      <c r="AW206" s="79"/>
      <c r="AX206" s="79"/>
      <c r="AY206" s="79"/>
      <c r="AZ206" s="79"/>
      <c r="BA206" s="79"/>
      <c r="BB206" s="79"/>
      <c r="BC206" s="79"/>
      <c r="BD206" s="79"/>
      <c r="BE206" s="79"/>
      <c r="BF206" s="79"/>
      <c r="BG206" s="79"/>
      <c r="BH206" s="79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BX206" s="79"/>
      <c r="BY206" s="79"/>
      <c r="BZ206" s="79"/>
      <c r="CA206" s="79"/>
      <c r="CB206" s="79"/>
      <c r="CC206" s="79"/>
      <c r="CD206" s="79"/>
      <c r="CE206" s="79"/>
      <c r="CF206" s="79"/>
      <c r="CG206" s="79"/>
      <c r="CH206" s="79"/>
      <c r="CI206" s="79"/>
      <c r="CJ206" s="79"/>
      <c r="CK206" s="79"/>
      <c r="CL206" s="79"/>
      <c r="CM206" s="79"/>
      <c r="CN206" s="79"/>
      <c r="CO206" s="79"/>
      <c r="CP206" s="79"/>
      <c r="CQ206" s="79"/>
      <c r="CR206" s="79"/>
      <c r="CS206" s="79"/>
      <c r="CT206" s="79"/>
      <c r="CU206" s="79"/>
      <c r="CV206" s="79"/>
      <c r="CW206" s="79"/>
      <c r="CX206" s="79"/>
      <c r="CY206" s="79"/>
      <c r="CZ206" s="79"/>
      <c r="DA206" s="79"/>
      <c r="DB206" s="79"/>
      <c r="DC206" s="79"/>
      <c r="DD206" s="79"/>
      <c r="DE206" s="79"/>
      <c r="DF206" s="79"/>
      <c r="DG206" s="79"/>
      <c r="DH206" s="79"/>
      <c r="DI206" s="79"/>
      <c r="DJ206" s="79"/>
      <c r="DK206" s="79"/>
      <c r="DL206" s="79"/>
      <c r="DM206" s="79"/>
      <c r="DN206" s="79"/>
      <c r="DO206" s="79"/>
      <c r="DP206" s="79"/>
      <c r="DQ206" s="79"/>
      <c r="DR206" s="79"/>
      <c r="DS206" s="79"/>
      <c r="DT206" s="79"/>
      <c r="DU206" s="79"/>
      <c r="DV206" s="79"/>
      <c r="DW206" s="79"/>
      <c r="DX206" s="79"/>
      <c r="DY206" s="79"/>
      <c r="DZ206" s="79"/>
      <c r="EA206" s="79"/>
      <c r="EB206" s="79"/>
      <c r="EC206" s="79"/>
      <c r="ED206" s="79"/>
      <c r="EE206" s="79"/>
      <c r="EF206" s="79"/>
      <c r="EG206" s="79"/>
      <c r="EH206" s="79"/>
      <c r="EI206" s="79"/>
      <c r="EJ206" s="79"/>
      <c r="EK206" s="79"/>
      <c r="EL206" s="79"/>
      <c r="EM206" s="79"/>
      <c r="EN206" s="79"/>
      <c r="EO206" s="79"/>
      <c r="EP206" s="79"/>
      <c r="EQ206" s="79"/>
      <c r="ER206" s="79"/>
      <c r="ES206" s="79"/>
      <c r="ET206" s="79"/>
      <c r="EU206" s="79"/>
      <c r="EV206" s="79"/>
      <c r="EW206" s="79"/>
      <c r="EX206" s="79"/>
      <c r="EY206" s="79"/>
      <c r="EZ206" s="79"/>
      <c r="FA206" s="79"/>
      <c r="FB206" s="79"/>
      <c r="FC206" s="79"/>
      <c r="FD206" s="79"/>
      <c r="FE206" s="79"/>
      <c r="FF206" s="79"/>
      <c r="FG206" s="79"/>
      <c r="FH206" s="79"/>
      <c r="FI206" s="79"/>
      <c r="FJ206" s="79"/>
      <c r="FK206" s="79"/>
      <c r="FL206" s="79"/>
      <c r="FM206" s="79"/>
      <c r="FN206" s="79"/>
      <c r="FO206" s="79"/>
      <c r="FP206" s="79"/>
      <c r="FQ206" s="79"/>
      <c r="FR206" s="79"/>
      <c r="FS206" s="79"/>
      <c r="FT206" s="79"/>
      <c r="FU206" s="79"/>
      <c r="FV206" s="79"/>
      <c r="FW206" s="79"/>
      <c r="FX206" s="79"/>
      <c r="FY206" s="79"/>
      <c r="FZ206" s="79"/>
      <c r="GA206" s="79"/>
      <c r="GB206" s="79"/>
      <c r="GC206" s="79"/>
      <c r="GD206" s="79"/>
      <c r="GE206" s="79"/>
      <c r="GF206" s="79"/>
      <c r="GG206" s="79"/>
      <c r="GH206" s="79"/>
    </row>
    <row r="207" spans="1:190" ht="14.25" x14ac:dyDescent="0.2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9"/>
      <c r="AU207" s="79"/>
      <c r="AV207" s="79"/>
      <c r="AW207" s="79"/>
      <c r="AX207" s="79"/>
      <c r="AY207" s="79"/>
      <c r="AZ207" s="79"/>
      <c r="BA207" s="79"/>
      <c r="BB207" s="79"/>
      <c r="BC207" s="79"/>
      <c r="BD207" s="79"/>
      <c r="BE207" s="79"/>
      <c r="BF207" s="79"/>
      <c r="BG207" s="79"/>
      <c r="BH207" s="79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BX207" s="79"/>
      <c r="BY207" s="79"/>
      <c r="BZ207" s="79"/>
      <c r="CA207" s="79"/>
      <c r="CB207" s="79"/>
      <c r="CC207" s="79"/>
      <c r="CD207" s="79"/>
      <c r="CE207" s="79"/>
      <c r="CF207" s="79"/>
      <c r="CG207" s="79"/>
      <c r="CH207" s="79"/>
      <c r="CI207" s="79"/>
      <c r="CJ207" s="79"/>
      <c r="CK207" s="79"/>
      <c r="CL207" s="79"/>
      <c r="CM207" s="79"/>
      <c r="CN207" s="79"/>
      <c r="CO207" s="79"/>
      <c r="CP207" s="79"/>
      <c r="CQ207" s="79"/>
      <c r="CR207" s="79"/>
      <c r="CS207" s="79"/>
      <c r="CT207" s="79"/>
      <c r="CU207" s="79"/>
      <c r="CV207" s="79"/>
      <c r="CW207" s="79"/>
      <c r="CX207" s="79"/>
      <c r="CY207" s="79"/>
      <c r="CZ207" s="79"/>
      <c r="DA207" s="79"/>
      <c r="DB207" s="79"/>
      <c r="DC207" s="79"/>
      <c r="DD207" s="79"/>
      <c r="DE207" s="79"/>
      <c r="DF207" s="79"/>
      <c r="DG207" s="79"/>
      <c r="DH207" s="79"/>
      <c r="DI207" s="79"/>
      <c r="DJ207" s="79"/>
      <c r="DK207" s="79"/>
      <c r="DL207" s="79"/>
      <c r="DM207" s="79"/>
      <c r="DN207" s="79"/>
      <c r="DO207" s="79"/>
      <c r="DP207" s="79"/>
      <c r="DQ207" s="79"/>
      <c r="DR207" s="79"/>
      <c r="DS207" s="79"/>
      <c r="DT207" s="79"/>
      <c r="DU207" s="79"/>
      <c r="DV207" s="79"/>
      <c r="DW207" s="79"/>
      <c r="DX207" s="79"/>
      <c r="DY207" s="79"/>
      <c r="DZ207" s="79"/>
      <c r="EA207" s="79"/>
      <c r="EB207" s="79"/>
      <c r="EC207" s="79"/>
      <c r="ED207" s="79"/>
      <c r="EE207" s="79"/>
      <c r="EF207" s="79"/>
      <c r="EG207" s="79"/>
      <c r="EH207" s="79"/>
      <c r="EI207" s="79"/>
      <c r="EJ207" s="79"/>
      <c r="EK207" s="79"/>
      <c r="EL207" s="79"/>
      <c r="EM207" s="79"/>
      <c r="EN207" s="79"/>
      <c r="EO207" s="79"/>
      <c r="EP207" s="79"/>
      <c r="EQ207" s="79"/>
      <c r="ER207" s="79"/>
      <c r="ES207" s="79"/>
      <c r="ET207" s="79"/>
      <c r="EU207" s="79"/>
      <c r="EV207" s="79"/>
      <c r="EW207" s="79"/>
      <c r="EX207" s="79"/>
      <c r="EY207" s="79"/>
      <c r="EZ207" s="79"/>
      <c r="FA207" s="79"/>
      <c r="FB207" s="79"/>
      <c r="FC207" s="79"/>
      <c r="FD207" s="79"/>
      <c r="FE207" s="79"/>
      <c r="FF207" s="79"/>
      <c r="FG207" s="79"/>
      <c r="FH207" s="79"/>
      <c r="FI207" s="79"/>
      <c r="FJ207" s="79"/>
      <c r="FK207" s="79"/>
      <c r="FL207" s="79"/>
      <c r="FM207" s="79"/>
      <c r="FN207" s="79"/>
      <c r="FO207" s="79"/>
      <c r="FP207" s="79"/>
      <c r="FQ207" s="79"/>
      <c r="FR207" s="79"/>
      <c r="FS207" s="79"/>
      <c r="FT207" s="79"/>
      <c r="FU207" s="79"/>
      <c r="FV207" s="79"/>
      <c r="FW207" s="79"/>
      <c r="FX207" s="79"/>
      <c r="FY207" s="79"/>
      <c r="FZ207" s="79"/>
      <c r="GA207" s="79"/>
      <c r="GB207" s="79"/>
      <c r="GC207" s="79"/>
      <c r="GD207" s="79"/>
      <c r="GE207" s="79"/>
      <c r="GF207" s="79"/>
      <c r="GG207" s="79"/>
      <c r="GH207" s="79"/>
    </row>
    <row r="208" spans="1:190" ht="14.25" x14ac:dyDescent="0.2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9"/>
      <c r="AU208" s="79"/>
      <c r="AV208" s="79"/>
      <c r="AW208" s="79"/>
      <c r="AX208" s="79"/>
      <c r="AY208" s="79"/>
      <c r="AZ208" s="79"/>
      <c r="BA208" s="79"/>
      <c r="BB208" s="79"/>
      <c r="BC208" s="79"/>
      <c r="BD208" s="79"/>
      <c r="BE208" s="79"/>
      <c r="BF208" s="79"/>
      <c r="BG208" s="79"/>
      <c r="BH208" s="79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BX208" s="79"/>
      <c r="BY208" s="79"/>
      <c r="BZ208" s="79"/>
      <c r="CA208" s="79"/>
      <c r="CB208" s="79"/>
      <c r="CC208" s="79"/>
      <c r="CD208" s="79"/>
      <c r="CE208" s="79"/>
      <c r="CF208" s="79"/>
      <c r="CG208" s="79"/>
      <c r="CH208" s="79"/>
      <c r="CI208" s="79"/>
      <c r="CJ208" s="79"/>
      <c r="CK208" s="79"/>
      <c r="CL208" s="79"/>
      <c r="CM208" s="79"/>
      <c r="CN208" s="79"/>
      <c r="CO208" s="79"/>
      <c r="CP208" s="79"/>
      <c r="CQ208" s="79"/>
      <c r="CR208" s="79"/>
      <c r="CS208" s="79"/>
      <c r="CT208" s="79"/>
      <c r="CU208" s="79"/>
      <c r="CV208" s="79"/>
      <c r="CW208" s="79"/>
      <c r="CX208" s="79"/>
      <c r="CY208" s="79"/>
      <c r="CZ208" s="79"/>
      <c r="DA208" s="79"/>
      <c r="DB208" s="79"/>
      <c r="DC208" s="79"/>
      <c r="DD208" s="79"/>
      <c r="DE208" s="79"/>
      <c r="DF208" s="79"/>
      <c r="DG208" s="79"/>
      <c r="DH208" s="79"/>
      <c r="DI208" s="79"/>
      <c r="DJ208" s="79"/>
      <c r="DK208" s="79"/>
      <c r="DL208" s="79"/>
      <c r="DM208" s="79"/>
      <c r="DN208" s="79"/>
      <c r="DO208" s="79"/>
      <c r="DP208" s="79"/>
      <c r="DQ208" s="79"/>
      <c r="DR208" s="79"/>
      <c r="DS208" s="79"/>
      <c r="DT208" s="79"/>
      <c r="DU208" s="79"/>
      <c r="DV208" s="79"/>
      <c r="DW208" s="79"/>
      <c r="DX208" s="79"/>
      <c r="DY208" s="79"/>
      <c r="DZ208" s="79"/>
      <c r="EA208" s="79"/>
      <c r="EB208" s="79"/>
      <c r="EC208" s="79"/>
      <c r="ED208" s="79"/>
      <c r="EE208" s="79"/>
      <c r="EF208" s="79"/>
      <c r="EG208" s="79"/>
      <c r="EH208" s="79"/>
      <c r="EI208" s="79"/>
      <c r="EJ208" s="79"/>
      <c r="EK208" s="79"/>
      <c r="EL208" s="79"/>
      <c r="EM208" s="79"/>
      <c r="EN208" s="79"/>
      <c r="EO208" s="79"/>
      <c r="EP208" s="79"/>
      <c r="EQ208" s="79"/>
      <c r="ER208" s="79"/>
      <c r="ES208" s="79"/>
      <c r="ET208" s="79"/>
      <c r="EU208" s="79"/>
      <c r="EV208" s="79"/>
      <c r="EW208" s="79"/>
      <c r="EX208" s="79"/>
      <c r="EY208" s="79"/>
      <c r="EZ208" s="79"/>
      <c r="FA208" s="79"/>
      <c r="FB208" s="79"/>
      <c r="FC208" s="79"/>
      <c r="FD208" s="79"/>
      <c r="FE208" s="79"/>
      <c r="FF208" s="79"/>
      <c r="FG208" s="79"/>
      <c r="FH208" s="79"/>
      <c r="FI208" s="79"/>
      <c r="FJ208" s="79"/>
      <c r="FK208" s="79"/>
      <c r="FL208" s="79"/>
      <c r="FM208" s="79"/>
      <c r="FN208" s="79"/>
      <c r="FO208" s="79"/>
      <c r="FP208" s="79"/>
      <c r="FQ208" s="79"/>
      <c r="FR208" s="79"/>
      <c r="FS208" s="79"/>
      <c r="FT208" s="79"/>
      <c r="FU208" s="79"/>
      <c r="FV208" s="79"/>
      <c r="FW208" s="79"/>
      <c r="FX208" s="79"/>
      <c r="FY208" s="79"/>
      <c r="FZ208" s="79"/>
      <c r="GA208" s="79"/>
      <c r="GB208" s="79"/>
      <c r="GC208" s="79"/>
      <c r="GD208" s="79"/>
      <c r="GE208" s="79"/>
      <c r="GF208" s="79"/>
      <c r="GG208" s="79"/>
      <c r="GH208" s="79"/>
    </row>
    <row r="209" spans="1:190" ht="14.25" x14ac:dyDescent="0.2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9"/>
      <c r="AU209" s="79"/>
      <c r="AV209" s="79"/>
      <c r="AW209" s="79"/>
      <c r="AX209" s="79"/>
      <c r="AY209" s="79"/>
      <c r="AZ209" s="79"/>
      <c r="BA209" s="79"/>
      <c r="BB209" s="79"/>
      <c r="BC209" s="79"/>
      <c r="BD209" s="79"/>
      <c r="BE209" s="79"/>
      <c r="BF209" s="79"/>
      <c r="BG209" s="79"/>
      <c r="BH209" s="79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BX209" s="79"/>
      <c r="BY209" s="79"/>
      <c r="BZ209" s="79"/>
      <c r="CA209" s="79"/>
      <c r="CB209" s="79"/>
      <c r="CC209" s="79"/>
      <c r="CD209" s="79"/>
      <c r="CE209" s="79"/>
      <c r="CF209" s="79"/>
      <c r="CG209" s="79"/>
      <c r="CH209" s="79"/>
      <c r="CI209" s="79"/>
      <c r="CJ209" s="79"/>
      <c r="CK209" s="79"/>
      <c r="CL209" s="79"/>
      <c r="CM209" s="79"/>
      <c r="CN209" s="79"/>
      <c r="CO209" s="79"/>
      <c r="CP209" s="79"/>
      <c r="CQ209" s="79"/>
      <c r="CR209" s="79"/>
      <c r="CS209" s="79"/>
      <c r="CT209" s="79"/>
      <c r="CU209" s="79"/>
      <c r="CV209" s="79"/>
      <c r="CW209" s="79"/>
      <c r="CX209" s="79"/>
      <c r="CY209" s="79"/>
      <c r="CZ209" s="79"/>
      <c r="DA209" s="79"/>
      <c r="DB209" s="79"/>
      <c r="DC209" s="79"/>
      <c r="DD209" s="79"/>
      <c r="DE209" s="79"/>
      <c r="DF209" s="79"/>
      <c r="DG209" s="79"/>
      <c r="DH209" s="79"/>
      <c r="DI209" s="79"/>
      <c r="DJ209" s="79"/>
      <c r="DK209" s="79"/>
      <c r="DL209" s="79"/>
      <c r="DM209" s="79"/>
      <c r="DN209" s="79"/>
      <c r="DO209" s="79"/>
      <c r="DP209" s="79"/>
      <c r="DQ209" s="79"/>
      <c r="DR209" s="79"/>
      <c r="DS209" s="79"/>
      <c r="DT209" s="79"/>
      <c r="DU209" s="79"/>
      <c r="DV209" s="79"/>
      <c r="DW209" s="79"/>
      <c r="DX209" s="79"/>
      <c r="DY209" s="79"/>
      <c r="DZ209" s="79"/>
      <c r="EA209" s="79"/>
      <c r="EB209" s="79"/>
      <c r="EC209" s="79"/>
      <c r="ED209" s="79"/>
      <c r="EE209" s="79"/>
      <c r="EF209" s="79"/>
      <c r="EG209" s="79"/>
      <c r="EH209" s="79"/>
      <c r="EI209" s="79"/>
      <c r="EJ209" s="79"/>
      <c r="EK209" s="79"/>
      <c r="EL209" s="79"/>
      <c r="EM209" s="79"/>
      <c r="EN209" s="79"/>
      <c r="EO209" s="79"/>
      <c r="EP209" s="79"/>
      <c r="EQ209" s="79"/>
      <c r="ER209" s="79"/>
      <c r="ES209" s="79"/>
      <c r="ET209" s="79"/>
      <c r="EU209" s="79"/>
      <c r="EV209" s="79"/>
      <c r="EW209" s="79"/>
      <c r="EX209" s="79"/>
      <c r="EY209" s="79"/>
      <c r="EZ209" s="79"/>
      <c r="FA209" s="79"/>
      <c r="FB209" s="79"/>
      <c r="FC209" s="79"/>
      <c r="FD209" s="79"/>
      <c r="FE209" s="79"/>
      <c r="FF209" s="79"/>
      <c r="FG209" s="79"/>
      <c r="FH209" s="79"/>
      <c r="FI209" s="79"/>
      <c r="FJ209" s="79"/>
      <c r="FK209" s="79"/>
      <c r="FL209" s="79"/>
      <c r="FM209" s="79"/>
      <c r="FN209" s="79"/>
      <c r="FO209" s="79"/>
      <c r="FP209" s="79"/>
      <c r="FQ209" s="79"/>
      <c r="FR209" s="79"/>
      <c r="FS209" s="79"/>
      <c r="FT209" s="79"/>
      <c r="FU209" s="79"/>
      <c r="FV209" s="79"/>
      <c r="FW209" s="79"/>
      <c r="FX209" s="79"/>
      <c r="FY209" s="79"/>
      <c r="FZ209" s="79"/>
      <c r="GA209" s="79"/>
      <c r="GB209" s="79"/>
      <c r="GC209" s="79"/>
      <c r="GD209" s="79"/>
      <c r="GE209" s="79"/>
      <c r="GF209" s="79"/>
      <c r="GG209" s="79"/>
      <c r="GH209" s="79"/>
    </row>
    <row r="210" spans="1:190" ht="14.25" x14ac:dyDescent="0.2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9"/>
      <c r="AU210" s="79"/>
      <c r="AV210" s="79"/>
      <c r="AW210" s="79"/>
      <c r="AX210" s="79"/>
      <c r="AY210" s="79"/>
      <c r="AZ210" s="79"/>
      <c r="BA210" s="79"/>
      <c r="BB210" s="79"/>
      <c r="BC210" s="79"/>
      <c r="BD210" s="79"/>
      <c r="BE210" s="79"/>
      <c r="BF210" s="79"/>
      <c r="BG210" s="79"/>
      <c r="BH210" s="79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BX210" s="79"/>
      <c r="BY210" s="79"/>
      <c r="BZ210" s="79"/>
      <c r="CA210" s="79"/>
      <c r="CB210" s="79"/>
      <c r="CC210" s="79"/>
      <c r="CD210" s="79"/>
      <c r="CE210" s="79"/>
      <c r="CF210" s="79"/>
      <c r="CG210" s="79"/>
      <c r="CH210" s="79"/>
      <c r="CI210" s="79"/>
      <c r="CJ210" s="79"/>
      <c r="CK210" s="79"/>
      <c r="CL210" s="79"/>
      <c r="CM210" s="79"/>
      <c r="CN210" s="79"/>
      <c r="CO210" s="79"/>
      <c r="CP210" s="79"/>
      <c r="CQ210" s="79"/>
      <c r="CR210" s="79"/>
      <c r="CS210" s="79"/>
      <c r="CT210" s="79"/>
      <c r="CU210" s="79"/>
      <c r="CV210" s="79"/>
      <c r="CW210" s="79"/>
      <c r="CX210" s="79"/>
      <c r="CY210" s="79"/>
      <c r="CZ210" s="79"/>
      <c r="DA210" s="79"/>
      <c r="DB210" s="79"/>
      <c r="DC210" s="79"/>
      <c r="DD210" s="79"/>
      <c r="DE210" s="79"/>
      <c r="DF210" s="79"/>
      <c r="DG210" s="79"/>
      <c r="DH210" s="79"/>
      <c r="DI210" s="79"/>
      <c r="DJ210" s="79"/>
      <c r="DK210" s="79"/>
      <c r="DL210" s="79"/>
      <c r="DM210" s="79"/>
      <c r="DN210" s="79"/>
      <c r="DO210" s="79"/>
      <c r="DP210" s="79"/>
      <c r="DQ210" s="79"/>
      <c r="DR210" s="79"/>
      <c r="DS210" s="79"/>
      <c r="DT210" s="79"/>
      <c r="DU210" s="79"/>
      <c r="DV210" s="79"/>
      <c r="DW210" s="79"/>
      <c r="DX210" s="79"/>
      <c r="DY210" s="79"/>
      <c r="DZ210" s="79"/>
      <c r="EA210" s="79"/>
      <c r="EB210" s="79"/>
      <c r="EC210" s="79"/>
      <c r="ED210" s="79"/>
      <c r="EE210" s="79"/>
      <c r="EF210" s="79"/>
      <c r="EG210" s="79"/>
      <c r="EH210" s="79"/>
      <c r="EI210" s="79"/>
      <c r="EJ210" s="79"/>
      <c r="EK210" s="79"/>
      <c r="EL210" s="79"/>
      <c r="EM210" s="79"/>
      <c r="EN210" s="79"/>
      <c r="EO210" s="79"/>
      <c r="EP210" s="79"/>
      <c r="EQ210" s="79"/>
      <c r="ER210" s="79"/>
      <c r="ES210" s="79"/>
      <c r="ET210" s="79"/>
      <c r="EU210" s="79"/>
      <c r="EV210" s="79"/>
      <c r="EW210" s="79"/>
      <c r="EX210" s="79"/>
      <c r="EY210" s="79"/>
      <c r="EZ210" s="79"/>
      <c r="FA210" s="79"/>
      <c r="FB210" s="79"/>
      <c r="FC210" s="79"/>
      <c r="FD210" s="79"/>
      <c r="FE210" s="79"/>
      <c r="FF210" s="79"/>
      <c r="FG210" s="79"/>
      <c r="FH210" s="79"/>
      <c r="FI210" s="79"/>
      <c r="FJ210" s="79"/>
      <c r="FK210" s="79"/>
      <c r="FL210" s="79"/>
      <c r="FM210" s="79"/>
      <c r="FN210" s="79"/>
      <c r="FO210" s="79"/>
      <c r="FP210" s="79"/>
      <c r="FQ210" s="79"/>
      <c r="FR210" s="79"/>
      <c r="FS210" s="79"/>
      <c r="FT210" s="79"/>
      <c r="FU210" s="79"/>
      <c r="FV210" s="79"/>
      <c r="FW210" s="79"/>
      <c r="FX210" s="79"/>
      <c r="FY210" s="79"/>
      <c r="FZ210" s="79"/>
      <c r="GA210" s="79"/>
      <c r="GB210" s="79"/>
      <c r="GC210" s="79"/>
      <c r="GD210" s="79"/>
      <c r="GE210" s="79"/>
      <c r="GF210" s="79"/>
      <c r="GG210" s="79"/>
      <c r="GH210" s="79"/>
    </row>
    <row r="211" spans="1:190" ht="14.25" x14ac:dyDescent="0.2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BX211" s="79"/>
      <c r="BY211" s="79"/>
      <c r="BZ211" s="79"/>
      <c r="CA211" s="79"/>
      <c r="CB211" s="79"/>
      <c r="CC211" s="79"/>
      <c r="CD211" s="79"/>
      <c r="CE211" s="79"/>
      <c r="CF211" s="79"/>
      <c r="CG211" s="79"/>
      <c r="CH211" s="79"/>
      <c r="CI211" s="79"/>
      <c r="CJ211" s="79"/>
      <c r="CK211" s="79"/>
      <c r="CL211" s="79"/>
      <c r="CM211" s="79"/>
      <c r="CN211" s="79"/>
      <c r="CO211" s="79"/>
      <c r="CP211" s="79"/>
      <c r="CQ211" s="79"/>
      <c r="CR211" s="79"/>
      <c r="CS211" s="79"/>
      <c r="CT211" s="79"/>
      <c r="CU211" s="79"/>
      <c r="CV211" s="79"/>
      <c r="CW211" s="79"/>
      <c r="CX211" s="79"/>
      <c r="CY211" s="79"/>
      <c r="CZ211" s="79"/>
      <c r="DA211" s="79"/>
      <c r="DB211" s="79"/>
      <c r="DC211" s="79"/>
      <c r="DD211" s="79"/>
      <c r="DE211" s="79"/>
      <c r="DF211" s="79"/>
      <c r="DG211" s="79"/>
      <c r="DH211" s="79"/>
      <c r="DI211" s="79"/>
      <c r="DJ211" s="79"/>
      <c r="DK211" s="79"/>
      <c r="DL211" s="79"/>
      <c r="DM211" s="79"/>
      <c r="DN211" s="79"/>
      <c r="DO211" s="79"/>
      <c r="DP211" s="79"/>
      <c r="DQ211" s="79"/>
      <c r="DR211" s="79"/>
      <c r="DS211" s="79"/>
      <c r="DT211" s="79"/>
      <c r="DU211" s="79"/>
      <c r="DV211" s="79"/>
      <c r="DW211" s="79"/>
      <c r="DX211" s="79"/>
      <c r="DY211" s="79"/>
      <c r="DZ211" s="79"/>
      <c r="EA211" s="79"/>
      <c r="EB211" s="79"/>
      <c r="EC211" s="79"/>
      <c r="ED211" s="79"/>
      <c r="EE211" s="79"/>
      <c r="EF211" s="79"/>
      <c r="EG211" s="79"/>
      <c r="EH211" s="79"/>
      <c r="EI211" s="79"/>
      <c r="EJ211" s="79"/>
      <c r="EK211" s="79"/>
      <c r="EL211" s="79"/>
      <c r="EM211" s="79"/>
      <c r="EN211" s="79"/>
      <c r="EO211" s="79"/>
      <c r="EP211" s="79"/>
      <c r="EQ211" s="79"/>
      <c r="ER211" s="79"/>
      <c r="ES211" s="79"/>
      <c r="ET211" s="79"/>
      <c r="EU211" s="79"/>
      <c r="EV211" s="79"/>
      <c r="EW211" s="79"/>
      <c r="EX211" s="79"/>
      <c r="EY211" s="79"/>
      <c r="EZ211" s="79"/>
      <c r="FA211" s="79"/>
      <c r="FB211" s="79"/>
      <c r="FC211" s="79"/>
      <c r="FD211" s="79"/>
      <c r="FE211" s="79"/>
      <c r="FF211" s="79"/>
      <c r="FG211" s="79"/>
      <c r="FH211" s="79"/>
      <c r="FI211" s="79"/>
      <c r="FJ211" s="79"/>
      <c r="FK211" s="79"/>
      <c r="FL211" s="79"/>
      <c r="FM211" s="79"/>
      <c r="FN211" s="79"/>
      <c r="FO211" s="79"/>
      <c r="FP211" s="79"/>
      <c r="FQ211" s="79"/>
      <c r="FR211" s="79"/>
      <c r="FS211" s="79"/>
      <c r="FT211" s="79"/>
      <c r="FU211" s="79"/>
      <c r="FV211" s="79"/>
      <c r="FW211" s="79"/>
      <c r="FX211" s="79"/>
      <c r="FY211" s="79"/>
      <c r="FZ211" s="79"/>
      <c r="GA211" s="79"/>
      <c r="GB211" s="79"/>
      <c r="GC211" s="79"/>
      <c r="GD211" s="79"/>
      <c r="GE211" s="79"/>
      <c r="GF211" s="79"/>
      <c r="GG211" s="79"/>
      <c r="GH211" s="79"/>
    </row>
    <row r="212" spans="1:190" ht="14.25" x14ac:dyDescent="0.2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  <c r="AU212" s="79"/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  <c r="CC212" s="79"/>
      <c r="CD212" s="79"/>
      <c r="CE212" s="79"/>
      <c r="CF212" s="79"/>
      <c r="CG212" s="79"/>
      <c r="CH212" s="79"/>
      <c r="CI212" s="79"/>
      <c r="CJ212" s="79"/>
      <c r="CK212" s="79"/>
      <c r="CL212" s="79"/>
      <c r="CM212" s="79"/>
      <c r="CN212" s="79"/>
      <c r="CO212" s="79"/>
      <c r="CP212" s="79"/>
      <c r="CQ212" s="79"/>
      <c r="CR212" s="79"/>
      <c r="CS212" s="79"/>
      <c r="CT212" s="79"/>
      <c r="CU212" s="79"/>
      <c r="CV212" s="79"/>
      <c r="CW212" s="79"/>
      <c r="CX212" s="79"/>
      <c r="CY212" s="79"/>
      <c r="CZ212" s="79"/>
      <c r="DA212" s="79"/>
      <c r="DB212" s="79"/>
      <c r="DC212" s="79"/>
      <c r="DD212" s="79"/>
      <c r="DE212" s="79"/>
      <c r="DF212" s="79"/>
      <c r="DG212" s="79"/>
      <c r="DH212" s="79"/>
      <c r="DI212" s="79"/>
      <c r="DJ212" s="79"/>
      <c r="DK212" s="79"/>
      <c r="DL212" s="79"/>
      <c r="DM212" s="79"/>
      <c r="DN212" s="79"/>
      <c r="DO212" s="79"/>
      <c r="DP212" s="79"/>
      <c r="DQ212" s="79"/>
      <c r="DR212" s="79"/>
      <c r="DS212" s="79"/>
      <c r="DT212" s="79"/>
      <c r="DU212" s="79"/>
      <c r="DV212" s="79"/>
      <c r="DW212" s="79"/>
      <c r="DX212" s="79"/>
      <c r="DY212" s="79"/>
      <c r="DZ212" s="79"/>
      <c r="EA212" s="79"/>
      <c r="EB212" s="79"/>
      <c r="EC212" s="79"/>
      <c r="ED212" s="79"/>
      <c r="EE212" s="79"/>
      <c r="EF212" s="79"/>
      <c r="EG212" s="79"/>
      <c r="EH212" s="79"/>
      <c r="EI212" s="79"/>
      <c r="EJ212" s="79"/>
      <c r="EK212" s="79"/>
      <c r="EL212" s="79"/>
      <c r="EM212" s="79"/>
      <c r="EN212" s="79"/>
      <c r="EO212" s="79"/>
      <c r="EP212" s="79"/>
      <c r="EQ212" s="79"/>
      <c r="ER212" s="79"/>
      <c r="ES212" s="79"/>
      <c r="ET212" s="79"/>
      <c r="EU212" s="79"/>
      <c r="EV212" s="79"/>
      <c r="EW212" s="79"/>
      <c r="EX212" s="79"/>
      <c r="EY212" s="79"/>
      <c r="EZ212" s="79"/>
      <c r="FA212" s="79"/>
      <c r="FB212" s="79"/>
      <c r="FC212" s="79"/>
      <c r="FD212" s="79"/>
      <c r="FE212" s="79"/>
      <c r="FF212" s="79"/>
      <c r="FG212" s="79"/>
      <c r="FH212" s="79"/>
      <c r="FI212" s="79"/>
      <c r="FJ212" s="79"/>
      <c r="FK212" s="79"/>
      <c r="FL212" s="79"/>
      <c r="FM212" s="79"/>
      <c r="FN212" s="79"/>
      <c r="FO212" s="79"/>
      <c r="FP212" s="79"/>
      <c r="FQ212" s="79"/>
      <c r="FR212" s="79"/>
      <c r="FS212" s="79"/>
      <c r="FT212" s="79"/>
      <c r="FU212" s="79"/>
      <c r="FV212" s="79"/>
      <c r="FW212" s="79"/>
      <c r="FX212" s="79"/>
      <c r="FY212" s="79"/>
      <c r="FZ212" s="79"/>
      <c r="GA212" s="79"/>
      <c r="GB212" s="79"/>
      <c r="GC212" s="79"/>
      <c r="GD212" s="79"/>
      <c r="GE212" s="79"/>
      <c r="GF212" s="79"/>
      <c r="GG212" s="79"/>
      <c r="GH212" s="79"/>
    </row>
    <row r="213" spans="1:190" ht="14.25" x14ac:dyDescent="0.2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  <c r="AU213" s="79"/>
      <c r="AV213" s="79"/>
      <c r="AW213" s="79"/>
      <c r="AX213" s="79"/>
      <c r="AY213" s="79"/>
      <c r="AZ213" s="79"/>
      <c r="BA213" s="79"/>
      <c r="BB213" s="79"/>
      <c r="BC213" s="79"/>
      <c r="BD213" s="79"/>
      <c r="BE213" s="79"/>
      <c r="BF213" s="79"/>
      <c r="BG213" s="79"/>
      <c r="BH213" s="79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BX213" s="79"/>
      <c r="BY213" s="79"/>
      <c r="BZ213" s="79"/>
      <c r="CA213" s="79"/>
      <c r="CB213" s="79"/>
      <c r="CC213" s="79"/>
      <c r="CD213" s="79"/>
      <c r="CE213" s="79"/>
      <c r="CF213" s="79"/>
      <c r="CG213" s="79"/>
      <c r="CH213" s="79"/>
      <c r="CI213" s="79"/>
      <c r="CJ213" s="79"/>
      <c r="CK213" s="79"/>
      <c r="CL213" s="79"/>
      <c r="CM213" s="79"/>
      <c r="CN213" s="79"/>
      <c r="CO213" s="79"/>
      <c r="CP213" s="79"/>
      <c r="CQ213" s="79"/>
      <c r="CR213" s="79"/>
      <c r="CS213" s="79"/>
      <c r="CT213" s="79"/>
      <c r="CU213" s="79"/>
      <c r="CV213" s="79"/>
      <c r="CW213" s="79"/>
      <c r="CX213" s="79"/>
      <c r="CY213" s="79"/>
      <c r="CZ213" s="79"/>
      <c r="DA213" s="79"/>
      <c r="DB213" s="79"/>
      <c r="DC213" s="79"/>
      <c r="DD213" s="79"/>
      <c r="DE213" s="79"/>
      <c r="DF213" s="79"/>
      <c r="DG213" s="79"/>
      <c r="DH213" s="79"/>
      <c r="DI213" s="79"/>
      <c r="DJ213" s="79"/>
      <c r="DK213" s="79"/>
      <c r="DL213" s="79"/>
      <c r="DM213" s="79"/>
      <c r="DN213" s="79"/>
      <c r="DO213" s="79"/>
      <c r="DP213" s="79"/>
      <c r="DQ213" s="79"/>
      <c r="DR213" s="79"/>
      <c r="DS213" s="79"/>
      <c r="DT213" s="79"/>
      <c r="DU213" s="79"/>
      <c r="DV213" s="79"/>
      <c r="DW213" s="79"/>
      <c r="DX213" s="79"/>
      <c r="DY213" s="79"/>
      <c r="DZ213" s="79"/>
      <c r="EA213" s="79"/>
      <c r="EB213" s="79"/>
      <c r="EC213" s="79"/>
      <c r="ED213" s="79"/>
      <c r="EE213" s="79"/>
      <c r="EF213" s="79"/>
      <c r="EG213" s="79"/>
      <c r="EH213" s="79"/>
      <c r="EI213" s="79"/>
      <c r="EJ213" s="79"/>
      <c r="EK213" s="79"/>
      <c r="EL213" s="79"/>
      <c r="EM213" s="79"/>
      <c r="EN213" s="79"/>
      <c r="EO213" s="79"/>
      <c r="EP213" s="79"/>
      <c r="EQ213" s="79"/>
      <c r="ER213" s="79"/>
      <c r="ES213" s="79"/>
      <c r="ET213" s="79"/>
      <c r="EU213" s="79"/>
      <c r="EV213" s="79"/>
      <c r="EW213" s="79"/>
      <c r="EX213" s="79"/>
      <c r="EY213" s="79"/>
      <c r="EZ213" s="79"/>
      <c r="FA213" s="79"/>
      <c r="FB213" s="79"/>
      <c r="FC213" s="79"/>
      <c r="FD213" s="79"/>
      <c r="FE213" s="79"/>
      <c r="FF213" s="79"/>
      <c r="FG213" s="79"/>
      <c r="FH213" s="79"/>
      <c r="FI213" s="79"/>
      <c r="FJ213" s="79"/>
      <c r="FK213" s="79"/>
      <c r="FL213" s="79"/>
      <c r="FM213" s="79"/>
      <c r="FN213" s="79"/>
      <c r="FO213" s="79"/>
      <c r="FP213" s="79"/>
      <c r="FQ213" s="79"/>
      <c r="FR213" s="79"/>
      <c r="FS213" s="79"/>
      <c r="FT213" s="79"/>
      <c r="FU213" s="79"/>
      <c r="FV213" s="79"/>
      <c r="FW213" s="79"/>
      <c r="FX213" s="79"/>
      <c r="FY213" s="79"/>
      <c r="FZ213" s="79"/>
      <c r="GA213" s="79"/>
      <c r="GB213" s="79"/>
      <c r="GC213" s="79"/>
      <c r="GD213" s="79"/>
      <c r="GE213" s="79"/>
      <c r="GF213" s="79"/>
      <c r="GG213" s="79"/>
      <c r="GH213" s="79"/>
    </row>
    <row r="214" spans="1:190" ht="14.25" x14ac:dyDescent="0.2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BX214" s="79"/>
      <c r="BY214" s="79"/>
      <c r="BZ214" s="79"/>
      <c r="CA214" s="79"/>
      <c r="CB214" s="79"/>
      <c r="CC214" s="79"/>
      <c r="CD214" s="79"/>
      <c r="CE214" s="79"/>
      <c r="CF214" s="79"/>
      <c r="CG214" s="79"/>
      <c r="CH214" s="79"/>
      <c r="CI214" s="79"/>
      <c r="CJ214" s="79"/>
      <c r="CK214" s="79"/>
      <c r="CL214" s="79"/>
      <c r="CM214" s="79"/>
      <c r="CN214" s="79"/>
      <c r="CO214" s="79"/>
      <c r="CP214" s="79"/>
      <c r="CQ214" s="79"/>
      <c r="CR214" s="79"/>
      <c r="CS214" s="79"/>
      <c r="CT214" s="79"/>
      <c r="CU214" s="79"/>
      <c r="CV214" s="79"/>
      <c r="CW214" s="79"/>
      <c r="CX214" s="79"/>
      <c r="CY214" s="79"/>
      <c r="CZ214" s="79"/>
      <c r="DA214" s="79"/>
      <c r="DB214" s="79"/>
      <c r="DC214" s="79"/>
      <c r="DD214" s="79"/>
      <c r="DE214" s="79"/>
      <c r="DF214" s="79"/>
      <c r="DG214" s="79"/>
      <c r="DH214" s="79"/>
      <c r="DI214" s="79"/>
      <c r="DJ214" s="79"/>
      <c r="DK214" s="79"/>
      <c r="DL214" s="79"/>
      <c r="DM214" s="79"/>
      <c r="DN214" s="79"/>
      <c r="DO214" s="79"/>
      <c r="DP214" s="79"/>
      <c r="DQ214" s="79"/>
      <c r="DR214" s="79"/>
      <c r="DS214" s="79"/>
      <c r="DT214" s="79"/>
      <c r="DU214" s="79"/>
      <c r="DV214" s="79"/>
      <c r="DW214" s="79"/>
      <c r="DX214" s="79"/>
      <c r="DY214" s="79"/>
      <c r="DZ214" s="79"/>
      <c r="EA214" s="79"/>
      <c r="EB214" s="79"/>
      <c r="EC214" s="79"/>
      <c r="ED214" s="79"/>
      <c r="EE214" s="79"/>
      <c r="EF214" s="79"/>
      <c r="EG214" s="79"/>
      <c r="EH214" s="79"/>
      <c r="EI214" s="79"/>
      <c r="EJ214" s="79"/>
      <c r="EK214" s="79"/>
      <c r="EL214" s="79"/>
      <c r="EM214" s="79"/>
      <c r="EN214" s="79"/>
      <c r="EO214" s="79"/>
      <c r="EP214" s="79"/>
      <c r="EQ214" s="79"/>
      <c r="ER214" s="79"/>
      <c r="ES214" s="79"/>
      <c r="ET214" s="79"/>
      <c r="EU214" s="79"/>
      <c r="EV214" s="79"/>
      <c r="EW214" s="79"/>
      <c r="EX214" s="79"/>
      <c r="EY214" s="79"/>
      <c r="EZ214" s="79"/>
      <c r="FA214" s="79"/>
      <c r="FB214" s="79"/>
      <c r="FC214" s="79"/>
      <c r="FD214" s="79"/>
      <c r="FE214" s="79"/>
      <c r="FF214" s="79"/>
      <c r="FG214" s="79"/>
      <c r="FH214" s="79"/>
      <c r="FI214" s="79"/>
      <c r="FJ214" s="79"/>
      <c r="FK214" s="79"/>
      <c r="FL214" s="79"/>
      <c r="FM214" s="79"/>
      <c r="FN214" s="79"/>
      <c r="FO214" s="79"/>
      <c r="FP214" s="79"/>
      <c r="FQ214" s="79"/>
      <c r="FR214" s="79"/>
      <c r="FS214" s="79"/>
      <c r="FT214" s="79"/>
      <c r="FU214" s="79"/>
      <c r="FV214" s="79"/>
      <c r="FW214" s="79"/>
      <c r="FX214" s="79"/>
      <c r="FY214" s="79"/>
      <c r="FZ214" s="79"/>
      <c r="GA214" s="79"/>
      <c r="GB214" s="79"/>
      <c r="GC214" s="79"/>
      <c r="GD214" s="79"/>
      <c r="GE214" s="79"/>
      <c r="GF214" s="79"/>
      <c r="GG214" s="79"/>
      <c r="GH214" s="79"/>
    </row>
    <row r="215" spans="1:190" ht="14.25" x14ac:dyDescent="0.2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  <c r="AU215" s="79"/>
      <c r="AV215" s="79"/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BX215" s="79"/>
      <c r="BY215" s="79"/>
      <c r="BZ215" s="79"/>
      <c r="CA215" s="79"/>
      <c r="CB215" s="79"/>
      <c r="CC215" s="79"/>
      <c r="CD215" s="79"/>
      <c r="CE215" s="79"/>
      <c r="CF215" s="79"/>
      <c r="CG215" s="79"/>
      <c r="CH215" s="79"/>
      <c r="CI215" s="79"/>
      <c r="CJ215" s="79"/>
      <c r="CK215" s="79"/>
      <c r="CL215" s="79"/>
      <c r="CM215" s="79"/>
      <c r="CN215" s="79"/>
      <c r="CO215" s="79"/>
      <c r="CP215" s="79"/>
      <c r="CQ215" s="79"/>
      <c r="CR215" s="79"/>
      <c r="CS215" s="79"/>
      <c r="CT215" s="79"/>
      <c r="CU215" s="79"/>
      <c r="CV215" s="79"/>
      <c r="CW215" s="79"/>
      <c r="CX215" s="79"/>
      <c r="CY215" s="79"/>
      <c r="CZ215" s="79"/>
      <c r="DA215" s="79"/>
      <c r="DB215" s="79"/>
      <c r="DC215" s="79"/>
      <c r="DD215" s="79"/>
      <c r="DE215" s="79"/>
      <c r="DF215" s="79"/>
      <c r="DG215" s="79"/>
      <c r="DH215" s="79"/>
      <c r="DI215" s="79"/>
      <c r="DJ215" s="79"/>
      <c r="DK215" s="79"/>
      <c r="DL215" s="79"/>
      <c r="DM215" s="79"/>
      <c r="DN215" s="79"/>
      <c r="DO215" s="79"/>
      <c r="DP215" s="79"/>
      <c r="DQ215" s="79"/>
      <c r="DR215" s="79"/>
      <c r="DS215" s="79"/>
      <c r="DT215" s="79"/>
      <c r="DU215" s="79"/>
      <c r="DV215" s="79"/>
      <c r="DW215" s="79"/>
      <c r="DX215" s="79"/>
      <c r="DY215" s="79"/>
      <c r="DZ215" s="79"/>
      <c r="EA215" s="79"/>
      <c r="EB215" s="79"/>
      <c r="EC215" s="79"/>
      <c r="ED215" s="79"/>
      <c r="EE215" s="79"/>
      <c r="EF215" s="79"/>
      <c r="EG215" s="79"/>
      <c r="EH215" s="79"/>
      <c r="EI215" s="79"/>
      <c r="EJ215" s="79"/>
      <c r="EK215" s="79"/>
      <c r="EL215" s="79"/>
      <c r="EM215" s="79"/>
      <c r="EN215" s="79"/>
      <c r="EO215" s="79"/>
      <c r="EP215" s="79"/>
      <c r="EQ215" s="79"/>
      <c r="ER215" s="79"/>
      <c r="ES215" s="79"/>
      <c r="ET215" s="79"/>
      <c r="EU215" s="79"/>
      <c r="EV215" s="79"/>
      <c r="EW215" s="79"/>
      <c r="EX215" s="79"/>
      <c r="EY215" s="79"/>
      <c r="EZ215" s="79"/>
      <c r="FA215" s="79"/>
      <c r="FB215" s="79"/>
      <c r="FC215" s="79"/>
      <c r="FD215" s="79"/>
      <c r="FE215" s="79"/>
      <c r="FF215" s="79"/>
      <c r="FG215" s="79"/>
      <c r="FH215" s="79"/>
      <c r="FI215" s="79"/>
      <c r="FJ215" s="79"/>
      <c r="FK215" s="79"/>
      <c r="FL215" s="79"/>
      <c r="FM215" s="79"/>
      <c r="FN215" s="79"/>
      <c r="FO215" s="79"/>
      <c r="FP215" s="79"/>
      <c r="FQ215" s="79"/>
      <c r="FR215" s="79"/>
      <c r="FS215" s="79"/>
      <c r="FT215" s="79"/>
      <c r="FU215" s="79"/>
      <c r="FV215" s="79"/>
      <c r="FW215" s="79"/>
      <c r="FX215" s="79"/>
      <c r="FY215" s="79"/>
      <c r="FZ215" s="79"/>
      <c r="GA215" s="79"/>
      <c r="GB215" s="79"/>
      <c r="GC215" s="79"/>
      <c r="GD215" s="79"/>
      <c r="GE215" s="79"/>
      <c r="GF215" s="79"/>
      <c r="GG215" s="79"/>
      <c r="GH215" s="79"/>
    </row>
    <row r="216" spans="1:190" ht="14.25" x14ac:dyDescent="0.2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  <c r="AU216" s="79"/>
      <c r="AV216" s="79"/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BX216" s="79"/>
      <c r="BY216" s="79"/>
      <c r="BZ216" s="79"/>
      <c r="CA216" s="79"/>
      <c r="CB216" s="79"/>
      <c r="CC216" s="79"/>
      <c r="CD216" s="79"/>
      <c r="CE216" s="79"/>
      <c r="CF216" s="79"/>
      <c r="CG216" s="79"/>
      <c r="CH216" s="79"/>
      <c r="CI216" s="79"/>
      <c r="CJ216" s="79"/>
      <c r="CK216" s="79"/>
      <c r="CL216" s="79"/>
      <c r="CM216" s="79"/>
      <c r="CN216" s="79"/>
      <c r="CO216" s="79"/>
      <c r="CP216" s="79"/>
      <c r="CQ216" s="79"/>
      <c r="CR216" s="79"/>
      <c r="CS216" s="79"/>
      <c r="CT216" s="79"/>
      <c r="CU216" s="79"/>
      <c r="CV216" s="79"/>
      <c r="CW216" s="79"/>
      <c r="CX216" s="79"/>
      <c r="CY216" s="79"/>
      <c r="CZ216" s="79"/>
      <c r="DA216" s="79"/>
      <c r="DB216" s="79"/>
      <c r="DC216" s="79"/>
      <c r="DD216" s="79"/>
      <c r="DE216" s="79"/>
      <c r="DF216" s="79"/>
      <c r="DG216" s="79"/>
      <c r="DH216" s="79"/>
      <c r="DI216" s="79"/>
      <c r="DJ216" s="79"/>
      <c r="DK216" s="79"/>
      <c r="DL216" s="79"/>
      <c r="DM216" s="79"/>
      <c r="DN216" s="79"/>
      <c r="DO216" s="79"/>
      <c r="DP216" s="79"/>
      <c r="DQ216" s="79"/>
      <c r="DR216" s="79"/>
      <c r="DS216" s="79"/>
      <c r="DT216" s="79"/>
      <c r="DU216" s="79"/>
      <c r="DV216" s="79"/>
      <c r="DW216" s="79"/>
      <c r="DX216" s="79"/>
      <c r="DY216" s="79"/>
      <c r="DZ216" s="79"/>
      <c r="EA216" s="79"/>
      <c r="EB216" s="79"/>
      <c r="EC216" s="79"/>
      <c r="ED216" s="79"/>
      <c r="EE216" s="79"/>
      <c r="EF216" s="79"/>
      <c r="EG216" s="79"/>
      <c r="EH216" s="79"/>
      <c r="EI216" s="79"/>
      <c r="EJ216" s="79"/>
      <c r="EK216" s="79"/>
      <c r="EL216" s="79"/>
      <c r="EM216" s="79"/>
      <c r="EN216" s="79"/>
      <c r="EO216" s="79"/>
      <c r="EP216" s="79"/>
      <c r="EQ216" s="79"/>
      <c r="ER216" s="79"/>
      <c r="ES216" s="79"/>
      <c r="ET216" s="79"/>
      <c r="EU216" s="79"/>
      <c r="EV216" s="79"/>
      <c r="EW216" s="79"/>
      <c r="EX216" s="79"/>
      <c r="EY216" s="79"/>
      <c r="EZ216" s="79"/>
      <c r="FA216" s="79"/>
      <c r="FB216" s="79"/>
      <c r="FC216" s="79"/>
      <c r="FD216" s="79"/>
      <c r="FE216" s="79"/>
      <c r="FF216" s="79"/>
      <c r="FG216" s="79"/>
      <c r="FH216" s="79"/>
      <c r="FI216" s="79"/>
      <c r="FJ216" s="79"/>
      <c r="FK216" s="79"/>
      <c r="FL216" s="79"/>
      <c r="FM216" s="79"/>
      <c r="FN216" s="79"/>
      <c r="FO216" s="79"/>
      <c r="FP216" s="79"/>
      <c r="FQ216" s="79"/>
      <c r="FR216" s="79"/>
      <c r="FS216" s="79"/>
      <c r="FT216" s="79"/>
      <c r="FU216" s="79"/>
      <c r="FV216" s="79"/>
      <c r="FW216" s="79"/>
      <c r="FX216" s="79"/>
      <c r="FY216" s="79"/>
      <c r="FZ216" s="79"/>
      <c r="GA216" s="79"/>
      <c r="GB216" s="79"/>
      <c r="GC216" s="79"/>
      <c r="GD216" s="79"/>
      <c r="GE216" s="79"/>
      <c r="GF216" s="79"/>
      <c r="GG216" s="79"/>
      <c r="GH216" s="79"/>
    </row>
    <row r="217" spans="1:190" ht="14.25" x14ac:dyDescent="0.2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9"/>
      <c r="AU217" s="79"/>
      <c r="AV217" s="79"/>
      <c r="AW217" s="79"/>
      <c r="AX217" s="79"/>
      <c r="AY217" s="79"/>
      <c r="AZ217" s="79"/>
      <c r="BA217" s="79"/>
      <c r="BB217" s="79"/>
      <c r="BC217" s="79"/>
      <c r="BD217" s="79"/>
      <c r="BE217" s="79"/>
      <c r="BF217" s="79"/>
      <c r="BG217" s="79"/>
      <c r="BH217" s="79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BX217" s="79"/>
      <c r="BY217" s="79"/>
      <c r="BZ217" s="79"/>
      <c r="CA217" s="79"/>
      <c r="CB217" s="79"/>
      <c r="CC217" s="79"/>
      <c r="CD217" s="79"/>
      <c r="CE217" s="79"/>
      <c r="CF217" s="79"/>
      <c r="CG217" s="79"/>
      <c r="CH217" s="79"/>
      <c r="CI217" s="79"/>
      <c r="CJ217" s="79"/>
      <c r="CK217" s="79"/>
      <c r="CL217" s="79"/>
      <c r="CM217" s="79"/>
      <c r="CN217" s="79"/>
      <c r="CO217" s="79"/>
      <c r="CP217" s="79"/>
      <c r="CQ217" s="79"/>
      <c r="CR217" s="79"/>
      <c r="CS217" s="79"/>
      <c r="CT217" s="79"/>
      <c r="CU217" s="79"/>
      <c r="CV217" s="79"/>
      <c r="CW217" s="79"/>
      <c r="CX217" s="79"/>
      <c r="CY217" s="79"/>
      <c r="CZ217" s="79"/>
      <c r="DA217" s="79"/>
      <c r="DB217" s="79"/>
      <c r="DC217" s="79"/>
      <c r="DD217" s="79"/>
      <c r="DE217" s="79"/>
      <c r="DF217" s="79"/>
      <c r="DG217" s="79"/>
      <c r="DH217" s="79"/>
      <c r="DI217" s="79"/>
      <c r="DJ217" s="79"/>
      <c r="DK217" s="79"/>
      <c r="DL217" s="79"/>
      <c r="DM217" s="79"/>
      <c r="DN217" s="79"/>
      <c r="DO217" s="79"/>
      <c r="DP217" s="79"/>
      <c r="DQ217" s="79"/>
      <c r="DR217" s="79"/>
      <c r="DS217" s="79"/>
      <c r="DT217" s="79"/>
      <c r="DU217" s="79"/>
      <c r="DV217" s="79"/>
      <c r="DW217" s="79"/>
      <c r="DX217" s="79"/>
      <c r="DY217" s="79"/>
      <c r="DZ217" s="79"/>
      <c r="EA217" s="79"/>
      <c r="EB217" s="79"/>
      <c r="EC217" s="79"/>
      <c r="ED217" s="79"/>
      <c r="EE217" s="79"/>
      <c r="EF217" s="79"/>
      <c r="EG217" s="79"/>
      <c r="EH217" s="79"/>
      <c r="EI217" s="79"/>
      <c r="EJ217" s="79"/>
      <c r="EK217" s="79"/>
      <c r="EL217" s="79"/>
      <c r="EM217" s="79"/>
      <c r="EN217" s="79"/>
      <c r="EO217" s="79"/>
      <c r="EP217" s="79"/>
      <c r="EQ217" s="79"/>
      <c r="ER217" s="79"/>
      <c r="ES217" s="79"/>
      <c r="ET217" s="79"/>
      <c r="EU217" s="79"/>
      <c r="EV217" s="79"/>
      <c r="EW217" s="79"/>
      <c r="EX217" s="79"/>
      <c r="EY217" s="79"/>
      <c r="EZ217" s="79"/>
      <c r="FA217" s="79"/>
      <c r="FB217" s="79"/>
      <c r="FC217" s="79"/>
      <c r="FD217" s="79"/>
      <c r="FE217" s="79"/>
      <c r="FF217" s="79"/>
      <c r="FG217" s="79"/>
      <c r="FH217" s="79"/>
      <c r="FI217" s="79"/>
      <c r="FJ217" s="79"/>
      <c r="FK217" s="79"/>
      <c r="FL217" s="79"/>
      <c r="FM217" s="79"/>
      <c r="FN217" s="79"/>
      <c r="FO217" s="79"/>
      <c r="FP217" s="79"/>
      <c r="FQ217" s="79"/>
      <c r="FR217" s="79"/>
      <c r="FS217" s="79"/>
      <c r="FT217" s="79"/>
      <c r="FU217" s="79"/>
      <c r="FV217" s="79"/>
      <c r="FW217" s="79"/>
      <c r="FX217" s="79"/>
      <c r="FY217" s="79"/>
      <c r="FZ217" s="79"/>
      <c r="GA217" s="79"/>
      <c r="GB217" s="79"/>
      <c r="GC217" s="79"/>
      <c r="GD217" s="79"/>
      <c r="GE217" s="79"/>
      <c r="GF217" s="79"/>
      <c r="GG217" s="79"/>
      <c r="GH217" s="79"/>
    </row>
    <row r="218" spans="1:190" ht="14.25" x14ac:dyDescent="0.2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9"/>
      <c r="AU218" s="79"/>
      <c r="AV218" s="79"/>
      <c r="AW218" s="79"/>
      <c r="AX218" s="79"/>
      <c r="AY218" s="79"/>
      <c r="AZ218" s="79"/>
      <c r="BA218" s="79"/>
      <c r="BB218" s="79"/>
      <c r="BC218" s="79"/>
      <c r="BD218" s="79"/>
      <c r="BE218" s="79"/>
      <c r="BF218" s="79"/>
      <c r="BG218" s="79"/>
      <c r="BH218" s="79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BX218" s="79"/>
      <c r="BY218" s="79"/>
      <c r="BZ218" s="79"/>
      <c r="CA218" s="79"/>
      <c r="CB218" s="79"/>
      <c r="CC218" s="79"/>
      <c r="CD218" s="79"/>
      <c r="CE218" s="79"/>
      <c r="CF218" s="79"/>
      <c r="CG218" s="79"/>
      <c r="CH218" s="79"/>
      <c r="CI218" s="79"/>
      <c r="CJ218" s="79"/>
      <c r="CK218" s="79"/>
      <c r="CL218" s="79"/>
      <c r="CM218" s="79"/>
      <c r="CN218" s="79"/>
      <c r="CO218" s="79"/>
      <c r="CP218" s="79"/>
      <c r="CQ218" s="79"/>
      <c r="CR218" s="79"/>
      <c r="CS218" s="79"/>
      <c r="CT218" s="79"/>
      <c r="CU218" s="79"/>
      <c r="CV218" s="79"/>
      <c r="CW218" s="79"/>
      <c r="CX218" s="79"/>
      <c r="CY218" s="79"/>
      <c r="CZ218" s="79"/>
      <c r="DA218" s="79"/>
      <c r="DB218" s="79"/>
      <c r="DC218" s="79"/>
      <c r="DD218" s="79"/>
      <c r="DE218" s="79"/>
      <c r="DF218" s="79"/>
      <c r="DG218" s="79"/>
      <c r="DH218" s="79"/>
      <c r="DI218" s="79"/>
      <c r="DJ218" s="79"/>
      <c r="DK218" s="79"/>
      <c r="DL218" s="79"/>
      <c r="DM218" s="79"/>
      <c r="DN218" s="79"/>
      <c r="DO218" s="79"/>
      <c r="DP218" s="79"/>
      <c r="DQ218" s="79"/>
      <c r="DR218" s="79"/>
      <c r="DS218" s="79"/>
      <c r="DT218" s="79"/>
      <c r="DU218" s="79"/>
      <c r="DV218" s="79"/>
      <c r="DW218" s="79"/>
      <c r="DX218" s="79"/>
      <c r="DY218" s="79"/>
      <c r="DZ218" s="79"/>
      <c r="EA218" s="79"/>
      <c r="EB218" s="79"/>
      <c r="EC218" s="79"/>
      <c r="ED218" s="79"/>
      <c r="EE218" s="79"/>
      <c r="EF218" s="79"/>
      <c r="EG218" s="79"/>
      <c r="EH218" s="79"/>
      <c r="EI218" s="79"/>
      <c r="EJ218" s="79"/>
      <c r="EK218" s="79"/>
      <c r="EL218" s="79"/>
      <c r="EM218" s="79"/>
      <c r="EN218" s="79"/>
      <c r="EO218" s="79"/>
      <c r="EP218" s="79"/>
      <c r="EQ218" s="79"/>
      <c r="ER218" s="79"/>
      <c r="ES218" s="79"/>
      <c r="ET218" s="79"/>
      <c r="EU218" s="79"/>
      <c r="EV218" s="79"/>
      <c r="EW218" s="79"/>
      <c r="EX218" s="79"/>
      <c r="EY218" s="79"/>
      <c r="EZ218" s="79"/>
      <c r="FA218" s="79"/>
      <c r="FB218" s="79"/>
      <c r="FC218" s="79"/>
      <c r="FD218" s="79"/>
      <c r="FE218" s="79"/>
      <c r="FF218" s="79"/>
      <c r="FG218" s="79"/>
      <c r="FH218" s="79"/>
      <c r="FI218" s="79"/>
      <c r="FJ218" s="79"/>
      <c r="FK218" s="79"/>
      <c r="FL218" s="79"/>
      <c r="FM218" s="79"/>
      <c r="FN218" s="79"/>
      <c r="FO218" s="79"/>
      <c r="FP218" s="79"/>
      <c r="FQ218" s="79"/>
      <c r="FR218" s="79"/>
      <c r="FS218" s="79"/>
      <c r="FT218" s="79"/>
      <c r="FU218" s="79"/>
      <c r="FV218" s="79"/>
      <c r="FW218" s="79"/>
      <c r="FX218" s="79"/>
      <c r="FY218" s="79"/>
      <c r="FZ218" s="79"/>
      <c r="GA218" s="79"/>
      <c r="GB218" s="79"/>
      <c r="GC218" s="79"/>
      <c r="GD218" s="79"/>
      <c r="GE218" s="79"/>
      <c r="GF218" s="79"/>
      <c r="GG218" s="79"/>
      <c r="GH218" s="79"/>
    </row>
    <row r="219" spans="1:190" ht="14.25" x14ac:dyDescent="0.2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9"/>
      <c r="AU219" s="79"/>
      <c r="AV219" s="79"/>
      <c r="AW219" s="79"/>
      <c r="AX219" s="79"/>
      <c r="AY219" s="79"/>
      <c r="AZ219" s="79"/>
      <c r="BA219" s="79"/>
      <c r="BB219" s="79"/>
      <c r="BC219" s="79"/>
      <c r="BD219" s="79"/>
      <c r="BE219" s="79"/>
      <c r="BF219" s="79"/>
      <c r="BG219" s="79"/>
      <c r="BH219" s="79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BX219" s="79"/>
      <c r="BY219" s="79"/>
      <c r="BZ219" s="79"/>
      <c r="CA219" s="79"/>
      <c r="CB219" s="79"/>
      <c r="CC219" s="79"/>
      <c r="CD219" s="79"/>
      <c r="CE219" s="79"/>
      <c r="CF219" s="79"/>
      <c r="CG219" s="79"/>
      <c r="CH219" s="79"/>
      <c r="CI219" s="79"/>
      <c r="CJ219" s="79"/>
      <c r="CK219" s="79"/>
      <c r="CL219" s="79"/>
      <c r="CM219" s="79"/>
      <c r="CN219" s="79"/>
      <c r="CO219" s="79"/>
      <c r="CP219" s="79"/>
      <c r="CQ219" s="79"/>
      <c r="CR219" s="79"/>
      <c r="CS219" s="79"/>
      <c r="CT219" s="79"/>
      <c r="CU219" s="79"/>
      <c r="CV219" s="79"/>
      <c r="CW219" s="79"/>
      <c r="CX219" s="79"/>
      <c r="CY219" s="79"/>
      <c r="CZ219" s="79"/>
      <c r="DA219" s="79"/>
      <c r="DB219" s="79"/>
      <c r="DC219" s="79"/>
      <c r="DD219" s="79"/>
      <c r="DE219" s="79"/>
      <c r="DF219" s="79"/>
      <c r="DG219" s="79"/>
      <c r="DH219" s="79"/>
      <c r="DI219" s="79"/>
      <c r="DJ219" s="79"/>
      <c r="DK219" s="79"/>
      <c r="DL219" s="79"/>
      <c r="DM219" s="79"/>
      <c r="DN219" s="79"/>
      <c r="DO219" s="79"/>
      <c r="DP219" s="79"/>
      <c r="DQ219" s="79"/>
      <c r="DR219" s="79"/>
      <c r="DS219" s="79"/>
      <c r="DT219" s="79"/>
      <c r="DU219" s="79"/>
      <c r="DV219" s="79"/>
      <c r="DW219" s="79"/>
      <c r="DX219" s="79"/>
      <c r="DY219" s="79"/>
      <c r="DZ219" s="79"/>
      <c r="EA219" s="79"/>
      <c r="EB219" s="79"/>
      <c r="EC219" s="79"/>
      <c r="ED219" s="79"/>
      <c r="EE219" s="79"/>
      <c r="EF219" s="79"/>
      <c r="EG219" s="79"/>
      <c r="EH219" s="79"/>
      <c r="EI219" s="79"/>
      <c r="EJ219" s="79"/>
      <c r="EK219" s="79"/>
      <c r="EL219" s="79"/>
      <c r="EM219" s="79"/>
      <c r="EN219" s="79"/>
      <c r="EO219" s="79"/>
      <c r="EP219" s="79"/>
      <c r="EQ219" s="79"/>
      <c r="ER219" s="79"/>
      <c r="ES219" s="79"/>
      <c r="ET219" s="79"/>
      <c r="EU219" s="79"/>
      <c r="EV219" s="79"/>
      <c r="EW219" s="79"/>
      <c r="EX219" s="79"/>
      <c r="EY219" s="79"/>
      <c r="EZ219" s="79"/>
      <c r="FA219" s="79"/>
      <c r="FB219" s="79"/>
      <c r="FC219" s="79"/>
      <c r="FD219" s="79"/>
      <c r="FE219" s="79"/>
      <c r="FF219" s="79"/>
      <c r="FG219" s="79"/>
      <c r="FH219" s="79"/>
      <c r="FI219" s="79"/>
      <c r="FJ219" s="79"/>
      <c r="FK219" s="79"/>
      <c r="FL219" s="79"/>
      <c r="FM219" s="79"/>
      <c r="FN219" s="79"/>
      <c r="FO219" s="79"/>
      <c r="FP219" s="79"/>
      <c r="FQ219" s="79"/>
      <c r="FR219" s="79"/>
      <c r="FS219" s="79"/>
      <c r="FT219" s="79"/>
      <c r="FU219" s="79"/>
      <c r="FV219" s="79"/>
      <c r="FW219" s="79"/>
      <c r="FX219" s="79"/>
      <c r="FY219" s="79"/>
      <c r="FZ219" s="79"/>
      <c r="GA219" s="79"/>
      <c r="GB219" s="79"/>
      <c r="GC219" s="79"/>
      <c r="GD219" s="79"/>
      <c r="GE219" s="79"/>
      <c r="GF219" s="79"/>
      <c r="GG219" s="79"/>
      <c r="GH219" s="79"/>
    </row>
    <row r="220" spans="1:190" ht="14.25" x14ac:dyDescent="0.2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  <c r="AU220" s="79"/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BX220" s="79"/>
      <c r="BY220" s="79"/>
      <c r="BZ220" s="79"/>
      <c r="CA220" s="79"/>
      <c r="CB220" s="79"/>
      <c r="CC220" s="79"/>
      <c r="CD220" s="79"/>
      <c r="CE220" s="79"/>
      <c r="CF220" s="79"/>
      <c r="CG220" s="79"/>
      <c r="CH220" s="79"/>
      <c r="CI220" s="79"/>
      <c r="CJ220" s="79"/>
      <c r="CK220" s="79"/>
      <c r="CL220" s="79"/>
      <c r="CM220" s="79"/>
      <c r="CN220" s="79"/>
      <c r="CO220" s="79"/>
      <c r="CP220" s="79"/>
      <c r="CQ220" s="79"/>
      <c r="CR220" s="79"/>
      <c r="CS220" s="79"/>
      <c r="CT220" s="79"/>
      <c r="CU220" s="79"/>
      <c r="CV220" s="79"/>
      <c r="CW220" s="79"/>
      <c r="CX220" s="79"/>
      <c r="CY220" s="79"/>
      <c r="CZ220" s="79"/>
      <c r="DA220" s="79"/>
      <c r="DB220" s="79"/>
      <c r="DC220" s="79"/>
      <c r="DD220" s="79"/>
      <c r="DE220" s="79"/>
      <c r="DF220" s="79"/>
      <c r="DG220" s="79"/>
      <c r="DH220" s="79"/>
      <c r="DI220" s="79"/>
      <c r="DJ220" s="79"/>
      <c r="DK220" s="79"/>
      <c r="DL220" s="79"/>
      <c r="DM220" s="79"/>
      <c r="DN220" s="79"/>
      <c r="DO220" s="79"/>
      <c r="DP220" s="79"/>
      <c r="DQ220" s="79"/>
      <c r="DR220" s="79"/>
      <c r="DS220" s="79"/>
      <c r="DT220" s="79"/>
      <c r="DU220" s="79"/>
      <c r="DV220" s="79"/>
      <c r="DW220" s="79"/>
      <c r="DX220" s="79"/>
      <c r="DY220" s="79"/>
      <c r="DZ220" s="79"/>
      <c r="EA220" s="79"/>
      <c r="EB220" s="79"/>
      <c r="EC220" s="79"/>
      <c r="ED220" s="79"/>
      <c r="EE220" s="79"/>
      <c r="EF220" s="79"/>
      <c r="EG220" s="79"/>
      <c r="EH220" s="79"/>
      <c r="EI220" s="79"/>
      <c r="EJ220" s="79"/>
      <c r="EK220" s="79"/>
      <c r="EL220" s="79"/>
      <c r="EM220" s="79"/>
      <c r="EN220" s="79"/>
      <c r="EO220" s="79"/>
      <c r="EP220" s="79"/>
      <c r="EQ220" s="79"/>
      <c r="ER220" s="79"/>
      <c r="ES220" s="79"/>
      <c r="ET220" s="79"/>
      <c r="EU220" s="79"/>
      <c r="EV220" s="79"/>
      <c r="EW220" s="79"/>
      <c r="EX220" s="79"/>
      <c r="EY220" s="79"/>
      <c r="EZ220" s="79"/>
      <c r="FA220" s="79"/>
      <c r="FB220" s="79"/>
      <c r="FC220" s="79"/>
      <c r="FD220" s="79"/>
      <c r="FE220" s="79"/>
      <c r="FF220" s="79"/>
      <c r="FG220" s="79"/>
      <c r="FH220" s="79"/>
      <c r="FI220" s="79"/>
      <c r="FJ220" s="79"/>
      <c r="FK220" s="79"/>
      <c r="FL220" s="79"/>
      <c r="FM220" s="79"/>
      <c r="FN220" s="79"/>
      <c r="FO220" s="79"/>
      <c r="FP220" s="79"/>
      <c r="FQ220" s="79"/>
      <c r="FR220" s="79"/>
      <c r="FS220" s="79"/>
      <c r="FT220" s="79"/>
      <c r="FU220" s="79"/>
      <c r="FV220" s="79"/>
      <c r="FW220" s="79"/>
      <c r="FX220" s="79"/>
      <c r="FY220" s="79"/>
      <c r="FZ220" s="79"/>
      <c r="GA220" s="79"/>
      <c r="GB220" s="79"/>
      <c r="GC220" s="79"/>
      <c r="GD220" s="79"/>
      <c r="GE220" s="79"/>
      <c r="GF220" s="79"/>
      <c r="GG220" s="79"/>
      <c r="GH220" s="79"/>
    </row>
    <row r="221" spans="1:190" ht="14.25" x14ac:dyDescent="0.2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  <c r="CC221" s="79"/>
      <c r="CD221" s="79"/>
      <c r="CE221" s="79"/>
      <c r="CF221" s="79"/>
      <c r="CG221" s="79"/>
      <c r="CH221" s="79"/>
      <c r="CI221" s="79"/>
      <c r="CJ221" s="79"/>
      <c r="CK221" s="79"/>
      <c r="CL221" s="79"/>
      <c r="CM221" s="79"/>
      <c r="CN221" s="79"/>
      <c r="CO221" s="79"/>
      <c r="CP221" s="79"/>
      <c r="CQ221" s="79"/>
      <c r="CR221" s="79"/>
      <c r="CS221" s="79"/>
      <c r="CT221" s="79"/>
      <c r="CU221" s="79"/>
      <c r="CV221" s="79"/>
      <c r="CW221" s="79"/>
      <c r="CX221" s="79"/>
      <c r="CY221" s="79"/>
      <c r="CZ221" s="79"/>
      <c r="DA221" s="79"/>
      <c r="DB221" s="79"/>
      <c r="DC221" s="79"/>
      <c r="DD221" s="79"/>
      <c r="DE221" s="79"/>
      <c r="DF221" s="79"/>
      <c r="DG221" s="79"/>
      <c r="DH221" s="79"/>
      <c r="DI221" s="79"/>
      <c r="DJ221" s="79"/>
      <c r="DK221" s="79"/>
      <c r="DL221" s="79"/>
      <c r="DM221" s="79"/>
      <c r="DN221" s="79"/>
      <c r="DO221" s="79"/>
      <c r="DP221" s="79"/>
      <c r="DQ221" s="79"/>
      <c r="DR221" s="79"/>
      <c r="DS221" s="79"/>
      <c r="DT221" s="79"/>
      <c r="DU221" s="79"/>
      <c r="DV221" s="79"/>
      <c r="DW221" s="79"/>
      <c r="DX221" s="79"/>
      <c r="DY221" s="79"/>
      <c r="DZ221" s="79"/>
      <c r="EA221" s="79"/>
      <c r="EB221" s="79"/>
      <c r="EC221" s="79"/>
      <c r="ED221" s="79"/>
      <c r="EE221" s="79"/>
      <c r="EF221" s="79"/>
      <c r="EG221" s="79"/>
      <c r="EH221" s="79"/>
      <c r="EI221" s="79"/>
      <c r="EJ221" s="79"/>
      <c r="EK221" s="79"/>
      <c r="EL221" s="79"/>
      <c r="EM221" s="79"/>
      <c r="EN221" s="79"/>
      <c r="EO221" s="79"/>
      <c r="EP221" s="79"/>
      <c r="EQ221" s="79"/>
      <c r="ER221" s="79"/>
      <c r="ES221" s="79"/>
      <c r="ET221" s="79"/>
      <c r="EU221" s="79"/>
      <c r="EV221" s="79"/>
      <c r="EW221" s="79"/>
      <c r="EX221" s="79"/>
      <c r="EY221" s="79"/>
      <c r="EZ221" s="79"/>
      <c r="FA221" s="79"/>
      <c r="FB221" s="79"/>
      <c r="FC221" s="79"/>
      <c r="FD221" s="79"/>
      <c r="FE221" s="79"/>
      <c r="FF221" s="79"/>
      <c r="FG221" s="79"/>
      <c r="FH221" s="79"/>
      <c r="FI221" s="79"/>
      <c r="FJ221" s="79"/>
      <c r="FK221" s="79"/>
      <c r="FL221" s="79"/>
      <c r="FM221" s="79"/>
      <c r="FN221" s="79"/>
      <c r="FO221" s="79"/>
      <c r="FP221" s="79"/>
      <c r="FQ221" s="79"/>
      <c r="FR221" s="79"/>
      <c r="FS221" s="79"/>
      <c r="FT221" s="79"/>
      <c r="FU221" s="79"/>
      <c r="FV221" s="79"/>
      <c r="FW221" s="79"/>
      <c r="FX221" s="79"/>
      <c r="FY221" s="79"/>
      <c r="FZ221" s="79"/>
      <c r="GA221" s="79"/>
      <c r="GB221" s="79"/>
      <c r="GC221" s="79"/>
      <c r="GD221" s="79"/>
      <c r="GE221" s="79"/>
      <c r="GF221" s="79"/>
      <c r="GG221" s="79"/>
      <c r="GH221" s="79"/>
    </row>
    <row r="222" spans="1:190" ht="14.25" x14ac:dyDescent="0.2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9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  <c r="CC222" s="79"/>
      <c r="CD222" s="79"/>
      <c r="CE222" s="79"/>
      <c r="CF222" s="79"/>
      <c r="CG222" s="79"/>
      <c r="CH222" s="79"/>
      <c r="CI222" s="79"/>
      <c r="CJ222" s="79"/>
      <c r="CK222" s="79"/>
      <c r="CL222" s="79"/>
      <c r="CM222" s="79"/>
      <c r="CN222" s="79"/>
      <c r="CO222" s="79"/>
      <c r="CP222" s="79"/>
      <c r="CQ222" s="79"/>
      <c r="CR222" s="79"/>
      <c r="CS222" s="79"/>
      <c r="CT222" s="79"/>
      <c r="CU222" s="79"/>
      <c r="CV222" s="79"/>
      <c r="CW222" s="79"/>
      <c r="CX222" s="79"/>
      <c r="CY222" s="79"/>
      <c r="CZ222" s="79"/>
      <c r="DA222" s="79"/>
      <c r="DB222" s="79"/>
      <c r="DC222" s="79"/>
      <c r="DD222" s="79"/>
      <c r="DE222" s="79"/>
      <c r="DF222" s="79"/>
      <c r="DG222" s="79"/>
      <c r="DH222" s="79"/>
      <c r="DI222" s="79"/>
      <c r="DJ222" s="79"/>
      <c r="DK222" s="79"/>
      <c r="DL222" s="79"/>
      <c r="DM222" s="79"/>
      <c r="DN222" s="79"/>
      <c r="DO222" s="79"/>
      <c r="DP222" s="79"/>
      <c r="DQ222" s="79"/>
      <c r="DR222" s="79"/>
      <c r="DS222" s="79"/>
      <c r="DT222" s="79"/>
      <c r="DU222" s="79"/>
      <c r="DV222" s="79"/>
      <c r="DW222" s="79"/>
      <c r="DX222" s="79"/>
      <c r="DY222" s="79"/>
      <c r="DZ222" s="79"/>
      <c r="EA222" s="79"/>
      <c r="EB222" s="79"/>
      <c r="EC222" s="79"/>
      <c r="ED222" s="79"/>
      <c r="EE222" s="79"/>
      <c r="EF222" s="79"/>
      <c r="EG222" s="79"/>
      <c r="EH222" s="79"/>
      <c r="EI222" s="79"/>
      <c r="EJ222" s="79"/>
      <c r="EK222" s="79"/>
      <c r="EL222" s="79"/>
      <c r="EM222" s="79"/>
      <c r="EN222" s="79"/>
      <c r="EO222" s="79"/>
      <c r="EP222" s="79"/>
      <c r="EQ222" s="79"/>
      <c r="ER222" s="79"/>
      <c r="ES222" s="79"/>
      <c r="ET222" s="79"/>
      <c r="EU222" s="79"/>
      <c r="EV222" s="79"/>
      <c r="EW222" s="79"/>
      <c r="EX222" s="79"/>
      <c r="EY222" s="79"/>
      <c r="EZ222" s="79"/>
      <c r="FA222" s="79"/>
      <c r="FB222" s="79"/>
      <c r="FC222" s="79"/>
      <c r="FD222" s="79"/>
      <c r="FE222" s="79"/>
      <c r="FF222" s="79"/>
      <c r="FG222" s="79"/>
      <c r="FH222" s="79"/>
      <c r="FI222" s="79"/>
      <c r="FJ222" s="79"/>
      <c r="FK222" s="79"/>
      <c r="FL222" s="79"/>
      <c r="FM222" s="79"/>
      <c r="FN222" s="79"/>
      <c r="FO222" s="79"/>
      <c r="FP222" s="79"/>
      <c r="FQ222" s="79"/>
      <c r="FR222" s="79"/>
      <c r="FS222" s="79"/>
      <c r="FT222" s="79"/>
      <c r="FU222" s="79"/>
      <c r="FV222" s="79"/>
      <c r="FW222" s="79"/>
      <c r="FX222" s="79"/>
      <c r="FY222" s="79"/>
      <c r="FZ222" s="79"/>
      <c r="GA222" s="79"/>
      <c r="GB222" s="79"/>
      <c r="GC222" s="79"/>
      <c r="GD222" s="79"/>
      <c r="GE222" s="79"/>
      <c r="GF222" s="79"/>
      <c r="GG222" s="79"/>
      <c r="GH222" s="79"/>
    </row>
    <row r="223" spans="1:190" ht="14.25" x14ac:dyDescent="0.2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9"/>
      <c r="AU223" s="79"/>
      <c r="AV223" s="7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BX223" s="79"/>
      <c r="BY223" s="79"/>
      <c r="BZ223" s="79"/>
      <c r="CA223" s="79"/>
      <c r="CB223" s="79"/>
      <c r="CC223" s="79"/>
      <c r="CD223" s="79"/>
      <c r="CE223" s="79"/>
      <c r="CF223" s="79"/>
      <c r="CG223" s="79"/>
      <c r="CH223" s="79"/>
      <c r="CI223" s="79"/>
      <c r="CJ223" s="79"/>
      <c r="CK223" s="79"/>
      <c r="CL223" s="79"/>
      <c r="CM223" s="79"/>
      <c r="CN223" s="79"/>
      <c r="CO223" s="79"/>
      <c r="CP223" s="79"/>
      <c r="CQ223" s="79"/>
      <c r="CR223" s="79"/>
      <c r="CS223" s="79"/>
      <c r="CT223" s="79"/>
      <c r="CU223" s="79"/>
      <c r="CV223" s="79"/>
      <c r="CW223" s="79"/>
      <c r="CX223" s="79"/>
      <c r="CY223" s="79"/>
      <c r="CZ223" s="79"/>
      <c r="DA223" s="79"/>
      <c r="DB223" s="79"/>
      <c r="DC223" s="79"/>
      <c r="DD223" s="79"/>
      <c r="DE223" s="79"/>
      <c r="DF223" s="79"/>
      <c r="DG223" s="79"/>
      <c r="DH223" s="79"/>
      <c r="DI223" s="79"/>
      <c r="DJ223" s="79"/>
      <c r="DK223" s="79"/>
      <c r="DL223" s="79"/>
      <c r="DM223" s="79"/>
      <c r="DN223" s="79"/>
      <c r="DO223" s="79"/>
      <c r="DP223" s="79"/>
      <c r="DQ223" s="79"/>
      <c r="DR223" s="79"/>
      <c r="DS223" s="79"/>
      <c r="DT223" s="79"/>
      <c r="DU223" s="79"/>
      <c r="DV223" s="79"/>
      <c r="DW223" s="79"/>
      <c r="DX223" s="79"/>
      <c r="DY223" s="79"/>
      <c r="DZ223" s="79"/>
      <c r="EA223" s="79"/>
      <c r="EB223" s="79"/>
      <c r="EC223" s="79"/>
      <c r="ED223" s="79"/>
      <c r="EE223" s="79"/>
      <c r="EF223" s="79"/>
      <c r="EG223" s="79"/>
      <c r="EH223" s="79"/>
      <c r="EI223" s="79"/>
      <c r="EJ223" s="79"/>
      <c r="EK223" s="79"/>
      <c r="EL223" s="79"/>
      <c r="EM223" s="79"/>
      <c r="EN223" s="79"/>
      <c r="EO223" s="79"/>
      <c r="EP223" s="79"/>
      <c r="EQ223" s="79"/>
      <c r="ER223" s="79"/>
      <c r="ES223" s="79"/>
      <c r="ET223" s="79"/>
      <c r="EU223" s="79"/>
      <c r="EV223" s="79"/>
      <c r="EW223" s="79"/>
      <c r="EX223" s="79"/>
      <c r="EY223" s="79"/>
      <c r="EZ223" s="79"/>
      <c r="FA223" s="79"/>
      <c r="FB223" s="79"/>
      <c r="FC223" s="79"/>
      <c r="FD223" s="79"/>
      <c r="FE223" s="79"/>
      <c r="FF223" s="79"/>
      <c r="FG223" s="79"/>
      <c r="FH223" s="79"/>
      <c r="FI223" s="79"/>
      <c r="FJ223" s="79"/>
      <c r="FK223" s="79"/>
      <c r="FL223" s="79"/>
      <c r="FM223" s="79"/>
      <c r="FN223" s="79"/>
      <c r="FO223" s="79"/>
      <c r="FP223" s="79"/>
      <c r="FQ223" s="79"/>
      <c r="FR223" s="79"/>
      <c r="FS223" s="79"/>
      <c r="FT223" s="79"/>
      <c r="FU223" s="79"/>
      <c r="FV223" s="79"/>
      <c r="FW223" s="79"/>
      <c r="FX223" s="79"/>
      <c r="FY223" s="79"/>
      <c r="FZ223" s="79"/>
      <c r="GA223" s="79"/>
      <c r="GB223" s="79"/>
      <c r="GC223" s="79"/>
      <c r="GD223" s="79"/>
      <c r="GE223" s="79"/>
      <c r="GF223" s="79"/>
      <c r="GG223" s="79"/>
      <c r="GH223" s="79"/>
    </row>
    <row r="224" spans="1:190" ht="14.25" x14ac:dyDescent="0.2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  <c r="BG224" s="79"/>
      <c r="BH224" s="79"/>
      <c r="BI224" s="79"/>
      <c r="BJ224" s="79"/>
      <c r="BK224" s="79"/>
      <c r="BL224" s="79"/>
      <c r="BM224" s="79"/>
      <c r="BN224" s="79"/>
      <c r="BO224" s="79"/>
      <c r="BP224" s="79"/>
      <c r="BQ224" s="79"/>
      <c r="BR224" s="79"/>
      <c r="BS224" s="79"/>
      <c r="BT224" s="79"/>
      <c r="BU224" s="79"/>
      <c r="BV224" s="79"/>
      <c r="BW224" s="79"/>
      <c r="BX224" s="79"/>
      <c r="BY224" s="79"/>
      <c r="BZ224" s="79"/>
      <c r="CA224" s="79"/>
      <c r="CB224" s="79"/>
      <c r="CC224" s="79"/>
      <c r="CD224" s="79"/>
      <c r="CE224" s="79"/>
      <c r="CF224" s="79"/>
      <c r="CG224" s="79"/>
      <c r="CH224" s="79"/>
      <c r="CI224" s="79"/>
      <c r="CJ224" s="79"/>
      <c r="CK224" s="79"/>
      <c r="CL224" s="79"/>
      <c r="CM224" s="79"/>
      <c r="CN224" s="79"/>
      <c r="CO224" s="79"/>
      <c r="CP224" s="79"/>
      <c r="CQ224" s="79"/>
      <c r="CR224" s="79"/>
      <c r="CS224" s="79"/>
      <c r="CT224" s="79"/>
      <c r="CU224" s="79"/>
      <c r="CV224" s="79"/>
      <c r="CW224" s="79"/>
      <c r="CX224" s="79"/>
      <c r="CY224" s="79"/>
      <c r="CZ224" s="79"/>
      <c r="DA224" s="79"/>
      <c r="DB224" s="79"/>
      <c r="DC224" s="79"/>
      <c r="DD224" s="79"/>
      <c r="DE224" s="79"/>
      <c r="DF224" s="79"/>
      <c r="DG224" s="79"/>
      <c r="DH224" s="79"/>
      <c r="DI224" s="79"/>
      <c r="DJ224" s="79"/>
      <c r="DK224" s="79"/>
      <c r="DL224" s="79"/>
      <c r="DM224" s="79"/>
      <c r="DN224" s="79"/>
      <c r="DO224" s="79"/>
      <c r="DP224" s="79"/>
      <c r="DQ224" s="79"/>
      <c r="DR224" s="79"/>
      <c r="DS224" s="79"/>
      <c r="DT224" s="79"/>
      <c r="DU224" s="79"/>
      <c r="DV224" s="79"/>
      <c r="DW224" s="79"/>
      <c r="DX224" s="79"/>
      <c r="DY224" s="79"/>
      <c r="DZ224" s="79"/>
      <c r="EA224" s="79"/>
      <c r="EB224" s="79"/>
      <c r="EC224" s="79"/>
      <c r="ED224" s="79"/>
      <c r="EE224" s="79"/>
      <c r="EF224" s="79"/>
      <c r="EG224" s="79"/>
      <c r="EH224" s="79"/>
      <c r="EI224" s="79"/>
      <c r="EJ224" s="79"/>
      <c r="EK224" s="79"/>
      <c r="EL224" s="79"/>
      <c r="EM224" s="79"/>
      <c r="EN224" s="79"/>
      <c r="EO224" s="79"/>
      <c r="EP224" s="79"/>
      <c r="EQ224" s="79"/>
      <c r="ER224" s="79"/>
      <c r="ES224" s="79"/>
      <c r="ET224" s="79"/>
      <c r="EU224" s="79"/>
      <c r="EV224" s="79"/>
      <c r="EW224" s="79"/>
      <c r="EX224" s="79"/>
      <c r="EY224" s="79"/>
      <c r="EZ224" s="79"/>
      <c r="FA224" s="79"/>
      <c r="FB224" s="79"/>
      <c r="FC224" s="79"/>
      <c r="FD224" s="79"/>
      <c r="FE224" s="79"/>
      <c r="FF224" s="79"/>
      <c r="FG224" s="79"/>
      <c r="FH224" s="79"/>
      <c r="FI224" s="79"/>
      <c r="FJ224" s="79"/>
      <c r="FK224" s="79"/>
      <c r="FL224" s="79"/>
      <c r="FM224" s="79"/>
      <c r="FN224" s="79"/>
      <c r="FO224" s="79"/>
      <c r="FP224" s="79"/>
      <c r="FQ224" s="79"/>
      <c r="FR224" s="79"/>
      <c r="FS224" s="79"/>
      <c r="FT224" s="79"/>
      <c r="FU224" s="79"/>
      <c r="FV224" s="79"/>
      <c r="FW224" s="79"/>
      <c r="FX224" s="79"/>
      <c r="FY224" s="79"/>
      <c r="FZ224" s="79"/>
      <c r="GA224" s="79"/>
      <c r="GB224" s="79"/>
      <c r="GC224" s="79"/>
      <c r="GD224" s="79"/>
      <c r="GE224" s="79"/>
      <c r="GF224" s="79"/>
      <c r="GG224" s="79"/>
      <c r="GH224" s="79"/>
    </row>
    <row r="225" spans="1:190" ht="14.25" x14ac:dyDescent="0.2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L225" s="79"/>
      <c r="AM225" s="79"/>
      <c r="AN225" s="79"/>
      <c r="AO225" s="79"/>
      <c r="AP225" s="79"/>
      <c r="AQ225" s="79"/>
      <c r="AR225" s="79"/>
      <c r="AS225" s="79"/>
      <c r="AT225" s="79"/>
      <c r="AU225" s="79"/>
      <c r="AV225" s="79"/>
      <c r="AW225" s="79"/>
      <c r="AX225" s="79"/>
      <c r="AY225" s="79"/>
      <c r="AZ225" s="79"/>
      <c r="BA225" s="79"/>
      <c r="BB225" s="79"/>
      <c r="BC225" s="79"/>
      <c r="BD225" s="79"/>
      <c r="BE225" s="79"/>
      <c r="BF225" s="79"/>
      <c r="BG225" s="79"/>
      <c r="BH225" s="79"/>
      <c r="BI225" s="79"/>
      <c r="BJ225" s="79"/>
      <c r="BK225" s="79"/>
      <c r="BL225" s="79"/>
      <c r="BM225" s="79"/>
      <c r="BN225" s="79"/>
      <c r="BO225" s="79"/>
      <c r="BP225" s="79"/>
      <c r="BQ225" s="79"/>
      <c r="BR225" s="79"/>
      <c r="BS225" s="79"/>
      <c r="BT225" s="79"/>
      <c r="BU225" s="79"/>
      <c r="BV225" s="79"/>
      <c r="BW225" s="79"/>
      <c r="BX225" s="79"/>
      <c r="BY225" s="79"/>
      <c r="BZ225" s="79"/>
      <c r="CA225" s="79"/>
      <c r="CB225" s="79"/>
      <c r="CC225" s="79"/>
      <c r="CD225" s="79"/>
      <c r="CE225" s="79"/>
      <c r="CF225" s="79"/>
      <c r="CG225" s="79"/>
      <c r="CH225" s="79"/>
      <c r="CI225" s="79"/>
      <c r="CJ225" s="79"/>
      <c r="CK225" s="79"/>
      <c r="CL225" s="79"/>
      <c r="CM225" s="79"/>
      <c r="CN225" s="79"/>
      <c r="CO225" s="79"/>
      <c r="CP225" s="79"/>
      <c r="CQ225" s="79"/>
      <c r="CR225" s="79"/>
      <c r="CS225" s="79"/>
      <c r="CT225" s="79"/>
      <c r="CU225" s="79"/>
      <c r="CV225" s="79"/>
      <c r="CW225" s="79"/>
      <c r="CX225" s="79"/>
      <c r="CY225" s="79"/>
      <c r="CZ225" s="79"/>
      <c r="DA225" s="79"/>
      <c r="DB225" s="79"/>
      <c r="DC225" s="79"/>
      <c r="DD225" s="79"/>
      <c r="DE225" s="79"/>
      <c r="DF225" s="79"/>
      <c r="DG225" s="79"/>
      <c r="DH225" s="79"/>
      <c r="DI225" s="79"/>
      <c r="DJ225" s="79"/>
      <c r="DK225" s="79"/>
      <c r="DL225" s="79"/>
      <c r="DM225" s="79"/>
      <c r="DN225" s="79"/>
      <c r="DO225" s="79"/>
      <c r="DP225" s="79"/>
      <c r="DQ225" s="79"/>
      <c r="DR225" s="79"/>
      <c r="DS225" s="79"/>
      <c r="DT225" s="79"/>
      <c r="DU225" s="79"/>
      <c r="DV225" s="79"/>
      <c r="DW225" s="79"/>
      <c r="DX225" s="79"/>
      <c r="DY225" s="79"/>
      <c r="DZ225" s="79"/>
      <c r="EA225" s="79"/>
      <c r="EB225" s="79"/>
      <c r="EC225" s="79"/>
      <c r="ED225" s="79"/>
      <c r="EE225" s="79"/>
      <c r="EF225" s="79"/>
      <c r="EG225" s="79"/>
      <c r="EH225" s="79"/>
      <c r="EI225" s="79"/>
      <c r="EJ225" s="79"/>
      <c r="EK225" s="79"/>
      <c r="EL225" s="79"/>
      <c r="EM225" s="79"/>
      <c r="EN225" s="79"/>
      <c r="EO225" s="79"/>
      <c r="EP225" s="79"/>
      <c r="EQ225" s="79"/>
      <c r="ER225" s="79"/>
      <c r="ES225" s="79"/>
      <c r="ET225" s="79"/>
      <c r="EU225" s="79"/>
      <c r="EV225" s="79"/>
      <c r="EW225" s="79"/>
      <c r="EX225" s="79"/>
      <c r="EY225" s="79"/>
      <c r="EZ225" s="79"/>
      <c r="FA225" s="79"/>
      <c r="FB225" s="79"/>
      <c r="FC225" s="79"/>
      <c r="FD225" s="79"/>
      <c r="FE225" s="79"/>
      <c r="FF225" s="79"/>
      <c r="FG225" s="79"/>
      <c r="FH225" s="79"/>
      <c r="FI225" s="79"/>
      <c r="FJ225" s="79"/>
      <c r="FK225" s="79"/>
      <c r="FL225" s="79"/>
      <c r="FM225" s="79"/>
      <c r="FN225" s="79"/>
      <c r="FO225" s="79"/>
      <c r="FP225" s="79"/>
      <c r="FQ225" s="79"/>
      <c r="FR225" s="79"/>
      <c r="FS225" s="79"/>
      <c r="FT225" s="79"/>
      <c r="FU225" s="79"/>
      <c r="FV225" s="79"/>
      <c r="FW225" s="79"/>
      <c r="FX225" s="79"/>
      <c r="FY225" s="79"/>
      <c r="FZ225" s="79"/>
      <c r="GA225" s="79"/>
      <c r="GB225" s="79"/>
      <c r="GC225" s="79"/>
      <c r="GD225" s="79"/>
      <c r="GE225" s="79"/>
      <c r="GF225" s="79"/>
      <c r="GG225" s="79"/>
      <c r="GH225" s="79"/>
    </row>
    <row r="226" spans="1:190" ht="14.25" x14ac:dyDescent="0.2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  <c r="AS226" s="79"/>
      <c r="AT226" s="79"/>
      <c r="AU226" s="79"/>
      <c r="AV226" s="79"/>
      <c r="AW226" s="79"/>
      <c r="AX226" s="79"/>
      <c r="AY226" s="79"/>
      <c r="AZ226" s="79"/>
      <c r="BA226" s="79"/>
      <c r="BB226" s="79"/>
      <c r="BC226" s="79"/>
      <c r="BD226" s="79"/>
      <c r="BE226" s="79"/>
      <c r="BF226" s="79"/>
      <c r="BG226" s="79"/>
      <c r="BH226" s="79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  <c r="BT226" s="79"/>
      <c r="BU226" s="79"/>
      <c r="BV226" s="79"/>
      <c r="BW226" s="79"/>
      <c r="BX226" s="79"/>
      <c r="BY226" s="79"/>
      <c r="BZ226" s="79"/>
      <c r="CA226" s="79"/>
      <c r="CB226" s="79"/>
      <c r="CC226" s="79"/>
      <c r="CD226" s="79"/>
      <c r="CE226" s="79"/>
      <c r="CF226" s="79"/>
      <c r="CG226" s="79"/>
      <c r="CH226" s="79"/>
      <c r="CI226" s="79"/>
      <c r="CJ226" s="79"/>
      <c r="CK226" s="79"/>
      <c r="CL226" s="79"/>
      <c r="CM226" s="79"/>
      <c r="CN226" s="79"/>
      <c r="CO226" s="79"/>
      <c r="CP226" s="79"/>
      <c r="CQ226" s="79"/>
      <c r="CR226" s="79"/>
      <c r="CS226" s="79"/>
      <c r="CT226" s="79"/>
      <c r="CU226" s="79"/>
      <c r="CV226" s="79"/>
      <c r="CW226" s="79"/>
      <c r="CX226" s="79"/>
      <c r="CY226" s="79"/>
      <c r="CZ226" s="79"/>
      <c r="DA226" s="79"/>
      <c r="DB226" s="79"/>
      <c r="DC226" s="79"/>
      <c r="DD226" s="79"/>
      <c r="DE226" s="79"/>
      <c r="DF226" s="79"/>
      <c r="DG226" s="79"/>
      <c r="DH226" s="79"/>
      <c r="DI226" s="79"/>
      <c r="DJ226" s="79"/>
      <c r="DK226" s="79"/>
      <c r="DL226" s="79"/>
      <c r="DM226" s="79"/>
      <c r="DN226" s="79"/>
      <c r="DO226" s="79"/>
      <c r="DP226" s="79"/>
      <c r="DQ226" s="79"/>
      <c r="DR226" s="79"/>
      <c r="DS226" s="79"/>
      <c r="DT226" s="79"/>
      <c r="DU226" s="79"/>
      <c r="DV226" s="79"/>
      <c r="DW226" s="79"/>
      <c r="DX226" s="79"/>
      <c r="DY226" s="79"/>
      <c r="DZ226" s="79"/>
      <c r="EA226" s="79"/>
      <c r="EB226" s="79"/>
      <c r="EC226" s="79"/>
      <c r="ED226" s="79"/>
      <c r="EE226" s="79"/>
      <c r="EF226" s="79"/>
      <c r="EG226" s="79"/>
      <c r="EH226" s="79"/>
      <c r="EI226" s="79"/>
      <c r="EJ226" s="79"/>
      <c r="EK226" s="79"/>
      <c r="EL226" s="79"/>
      <c r="EM226" s="79"/>
      <c r="EN226" s="79"/>
      <c r="EO226" s="79"/>
      <c r="EP226" s="79"/>
      <c r="EQ226" s="79"/>
      <c r="ER226" s="79"/>
      <c r="ES226" s="79"/>
      <c r="ET226" s="79"/>
      <c r="EU226" s="79"/>
      <c r="EV226" s="79"/>
      <c r="EW226" s="79"/>
      <c r="EX226" s="79"/>
      <c r="EY226" s="79"/>
      <c r="EZ226" s="79"/>
      <c r="FA226" s="79"/>
      <c r="FB226" s="79"/>
      <c r="FC226" s="79"/>
      <c r="FD226" s="79"/>
      <c r="FE226" s="79"/>
      <c r="FF226" s="79"/>
      <c r="FG226" s="79"/>
      <c r="FH226" s="79"/>
      <c r="FI226" s="79"/>
      <c r="FJ226" s="79"/>
      <c r="FK226" s="79"/>
      <c r="FL226" s="79"/>
      <c r="FM226" s="79"/>
      <c r="FN226" s="79"/>
      <c r="FO226" s="79"/>
      <c r="FP226" s="79"/>
      <c r="FQ226" s="79"/>
      <c r="FR226" s="79"/>
      <c r="FS226" s="79"/>
      <c r="FT226" s="79"/>
      <c r="FU226" s="79"/>
      <c r="FV226" s="79"/>
      <c r="FW226" s="79"/>
      <c r="FX226" s="79"/>
      <c r="FY226" s="79"/>
      <c r="FZ226" s="79"/>
      <c r="GA226" s="79"/>
      <c r="GB226" s="79"/>
      <c r="GC226" s="79"/>
      <c r="GD226" s="79"/>
      <c r="GE226" s="79"/>
      <c r="GF226" s="79"/>
      <c r="GG226" s="79"/>
      <c r="GH226" s="79"/>
    </row>
    <row r="227" spans="1:190" ht="14.25" x14ac:dyDescent="0.2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79"/>
      <c r="AW227" s="7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BX227" s="79"/>
      <c r="BY227" s="79"/>
      <c r="BZ227" s="79"/>
      <c r="CA227" s="79"/>
      <c r="CB227" s="79"/>
      <c r="CC227" s="79"/>
      <c r="CD227" s="79"/>
      <c r="CE227" s="79"/>
      <c r="CF227" s="79"/>
      <c r="CG227" s="79"/>
      <c r="CH227" s="79"/>
      <c r="CI227" s="79"/>
      <c r="CJ227" s="79"/>
      <c r="CK227" s="79"/>
      <c r="CL227" s="79"/>
      <c r="CM227" s="79"/>
      <c r="CN227" s="79"/>
      <c r="CO227" s="79"/>
      <c r="CP227" s="79"/>
      <c r="CQ227" s="79"/>
      <c r="CR227" s="79"/>
      <c r="CS227" s="79"/>
      <c r="CT227" s="79"/>
      <c r="CU227" s="79"/>
      <c r="CV227" s="79"/>
      <c r="CW227" s="79"/>
      <c r="CX227" s="79"/>
      <c r="CY227" s="79"/>
      <c r="CZ227" s="79"/>
      <c r="DA227" s="79"/>
      <c r="DB227" s="79"/>
      <c r="DC227" s="79"/>
      <c r="DD227" s="79"/>
      <c r="DE227" s="79"/>
      <c r="DF227" s="79"/>
      <c r="DG227" s="79"/>
      <c r="DH227" s="79"/>
      <c r="DI227" s="79"/>
      <c r="DJ227" s="79"/>
      <c r="DK227" s="79"/>
      <c r="DL227" s="79"/>
      <c r="DM227" s="79"/>
      <c r="DN227" s="79"/>
      <c r="DO227" s="79"/>
      <c r="DP227" s="79"/>
      <c r="DQ227" s="79"/>
      <c r="DR227" s="79"/>
      <c r="DS227" s="79"/>
      <c r="DT227" s="79"/>
      <c r="DU227" s="79"/>
      <c r="DV227" s="79"/>
      <c r="DW227" s="79"/>
      <c r="DX227" s="79"/>
      <c r="DY227" s="79"/>
      <c r="DZ227" s="79"/>
      <c r="EA227" s="79"/>
      <c r="EB227" s="79"/>
      <c r="EC227" s="79"/>
      <c r="ED227" s="79"/>
      <c r="EE227" s="79"/>
      <c r="EF227" s="79"/>
      <c r="EG227" s="79"/>
      <c r="EH227" s="79"/>
      <c r="EI227" s="79"/>
      <c r="EJ227" s="79"/>
      <c r="EK227" s="79"/>
      <c r="EL227" s="79"/>
      <c r="EM227" s="79"/>
      <c r="EN227" s="79"/>
      <c r="EO227" s="79"/>
      <c r="EP227" s="79"/>
      <c r="EQ227" s="79"/>
      <c r="ER227" s="79"/>
      <c r="ES227" s="79"/>
      <c r="ET227" s="79"/>
      <c r="EU227" s="79"/>
      <c r="EV227" s="79"/>
      <c r="EW227" s="79"/>
      <c r="EX227" s="79"/>
      <c r="EY227" s="79"/>
      <c r="EZ227" s="79"/>
      <c r="FA227" s="79"/>
      <c r="FB227" s="79"/>
      <c r="FC227" s="79"/>
      <c r="FD227" s="79"/>
      <c r="FE227" s="79"/>
      <c r="FF227" s="79"/>
      <c r="FG227" s="79"/>
      <c r="FH227" s="79"/>
      <c r="FI227" s="79"/>
      <c r="FJ227" s="79"/>
      <c r="FK227" s="79"/>
      <c r="FL227" s="79"/>
      <c r="FM227" s="79"/>
      <c r="FN227" s="79"/>
      <c r="FO227" s="79"/>
      <c r="FP227" s="79"/>
      <c r="FQ227" s="79"/>
      <c r="FR227" s="79"/>
      <c r="FS227" s="79"/>
      <c r="FT227" s="79"/>
      <c r="FU227" s="79"/>
      <c r="FV227" s="79"/>
      <c r="FW227" s="79"/>
      <c r="FX227" s="79"/>
      <c r="FY227" s="79"/>
      <c r="FZ227" s="79"/>
      <c r="GA227" s="79"/>
      <c r="GB227" s="79"/>
      <c r="GC227" s="79"/>
      <c r="GD227" s="79"/>
      <c r="GE227" s="79"/>
      <c r="GF227" s="79"/>
      <c r="GG227" s="79"/>
      <c r="GH227" s="79"/>
    </row>
    <row r="228" spans="1:190" ht="14.25" x14ac:dyDescent="0.2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  <c r="AS228" s="79"/>
      <c r="AT228" s="79"/>
      <c r="AU228" s="79"/>
      <c r="AV228" s="79"/>
      <c r="AW228" s="79"/>
      <c r="AX228" s="79"/>
      <c r="AY228" s="79"/>
      <c r="AZ228" s="79"/>
      <c r="BA228" s="79"/>
      <c r="BB228" s="79"/>
      <c r="BC228" s="79"/>
      <c r="BD228" s="79"/>
      <c r="BE228" s="79"/>
      <c r="BF228" s="79"/>
      <c r="BG228" s="79"/>
      <c r="BH228" s="79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79"/>
      <c r="BU228" s="79"/>
      <c r="BV228" s="79"/>
      <c r="BW228" s="79"/>
      <c r="BX228" s="79"/>
      <c r="BY228" s="79"/>
      <c r="BZ228" s="79"/>
      <c r="CA228" s="79"/>
      <c r="CB228" s="79"/>
      <c r="CC228" s="79"/>
      <c r="CD228" s="79"/>
      <c r="CE228" s="79"/>
      <c r="CF228" s="79"/>
      <c r="CG228" s="79"/>
      <c r="CH228" s="79"/>
      <c r="CI228" s="79"/>
      <c r="CJ228" s="79"/>
      <c r="CK228" s="79"/>
      <c r="CL228" s="79"/>
      <c r="CM228" s="79"/>
      <c r="CN228" s="79"/>
      <c r="CO228" s="79"/>
      <c r="CP228" s="79"/>
      <c r="CQ228" s="79"/>
      <c r="CR228" s="79"/>
      <c r="CS228" s="79"/>
      <c r="CT228" s="79"/>
      <c r="CU228" s="79"/>
      <c r="CV228" s="79"/>
      <c r="CW228" s="79"/>
      <c r="CX228" s="79"/>
      <c r="CY228" s="79"/>
      <c r="CZ228" s="79"/>
      <c r="DA228" s="79"/>
      <c r="DB228" s="79"/>
      <c r="DC228" s="79"/>
      <c r="DD228" s="79"/>
      <c r="DE228" s="79"/>
      <c r="DF228" s="79"/>
      <c r="DG228" s="79"/>
      <c r="DH228" s="79"/>
      <c r="DI228" s="79"/>
      <c r="DJ228" s="79"/>
      <c r="DK228" s="79"/>
      <c r="DL228" s="79"/>
      <c r="DM228" s="79"/>
      <c r="DN228" s="79"/>
      <c r="DO228" s="79"/>
      <c r="DP228" s="79"/>
      <c r="DQ228" s="79"/>
      <c r="DR228" s="79"/>
      <c r="DS228" s="79"/>
      <c r="DT228" s="79"/>
      <c r="DU228" s="79"/>
      <c r="DV228" s="79"/>
      <c r="DW228" s="79"/>
      <c r="DX228" s="79"/>
      <c r="DY228" s="79"/>
      <c r="DZ228" s="79"/>
      <c r="EA228" s="79"/>
      <c r="EB228" s="79"/>
      <c r="EC228" s="79"/>
      <c r="ED228" s="79"/>
      <c r="EE228" s="79"/>
      <c r="EF228" s="79"/>
      <c r="EG228" s="79"/>
      <c r="EH228" s="79"/>
      <c r="EI228" s="79"/>
      <c r="EJ228" s="79"/>
      <c r="EK228" s="79"/>
      <c r="EL228" s="79"/>
      <c r="EM228" s="79"/>
      <c r="EN228" s="79"/>
      <c r="EO228" s="79"/>
      <c r="EP228" s="79"/>
      <c r="EQ228" s="79"/>
      <c r="ER228" s="79"/>
      <c r="ES228" s="79"/>
      <c r="ET228" s="79"/>
      <c r="EU228" s="79"/>
      <c r="EV228" s="79"/>
      <c r="EW228" s="79"/>
      <c r="EX228" s="79"/>
      <c r="EY228" s="79"/>
      <c r="EZ228" s="79"/>
      <c r="FA228" s="79"/>
      <c r="FB228" s="79"/>
      <c r="FC228" s="79"/>
      <c r="FD228" s="79"/>
      <c r="FE228" s="79"/>
      <c r="FF228" s="79"/>
      <c r="FG228" s="79"/>
      <c r="FH228" s="79"/>
      <c r="FI228" s="79"/>
      <c r="FJ228" s="79"/>
      <c r="FK228" s="79"/>
      <c r="FL228" s="79"/>
      <c r="FM228" s="79"/>
      <c r="FN228" s="79"/>
      <c r="FO228" s="79"/>
      <c r="FP228" s="79"/>
      <c r="FQ228" s="79"/>
      <c r="FR228" s="79"/>
      <c r="FS228" s="79"/>
      <c r="FT228" s="79"/>
      <c r="FU228" s="79"/>
      <c r="FV228" s="79"/>
      <c r="FW228" s="79"/>
      <c r="FX228" s="79"/>
      <c r="FY228" s="79"/>
      <c r="FZ228" s="79"/>
      <c r="GA228" s="79"/>
      <c r="GB228" s="79"/>
      <c r="GC228" s="79"/>
      <c r="GD228" s="79"/>
      <c r="GE228" s="79"/>
      <c r="GF228" s="79"/>
      <c r="GG228" s="79"/>
      <c r="GH228" s="79"/>
    </row>
    <row r="229" spans="1:190" ht="14.25" x14ac:dyDescent="0.2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  <c r="AJ229" s="79"/>
      <c r="AK229" s="79"/>
      <c r="AL229" s="79"/>
      <c r="AM229" s="79"/>
      <c r="AN229" s="79"/>
      <c r="AO229" s="79"/>
      <c r="AP229" s="79"/>
      <c r="AQ229" s="79"/>
      <c r="AR229" s="79"/>
      <c r="AS229" s="79"/>
      <c r="AT229" s="79"/>
      <c r="AU229" s="79"/>
      <c r="AV229" s="79"/>
      <c r="AW229" s="79"/>
      <c r="AX229" s="79"/>
      <c r="AY229" s="79"/>
      <c r="AZ229" s="79"/>
      <c r="BA229" s="79"/>
      <c r="BB229" s="79"/>
      <c r="BC229" s="79"/>
      <c r="BD229" s="79"/>
      <c r="BE229" s="79"/>
      <c r="BF229" s="79"/>
      <c r="BG229" s="79"/>
      <c r="BH229" s="79"/>
      <c r="BI229" s="79"/>
      <c r="BJ229" s="7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79"/>
      <c r="BW229" s="79"/>
      <c r="BX229" s="79"/>
      <c r="BY229" s="79"/>
      <c r="BZ229" s="79"/>
      <c r="CA229" s="79"/>
      <c r="CB229" s="79"/>
      <c r="CC229" s="79"/>
      <c r="CD229" s="79"/>
      <c r="CE229" s="79"/>
      <c r="CF229" s="79"/>
      <c r="CG229" s="79"/>
      <c r="CH229" s="79"/>
      <c r="CI229" s="79"/>
      <c r="CJ229" s="79"/>
      <c r="CK229" s="79"/>
      <c r="CL229" s="79"/>
      <c r="CM229" s="79"/>
      <c r="CN229" s="79"/>
      <c r="CO229" s="79"/>
      <c r="CP229" s="79"/>
      <c r="CQ229" s="79"/>
      <c r="CR229" s="79"/>
      <c r="CS229" s="79"/>
      <c r="CT229" s="79"/>
      <c r="CU229" s="79"/>
      <c r="CV229" s="79"/>
      <c r="CW229" s="79"/>
      <c r="CX229" s="79"/>
      <c r="CY229" s="79"/>
      <c r="CZ229" s="79"/>
      <c r="DA229" s="79"/>
      <c r="DB229" s="79"/>
      <c r="DC229" s="79"/>
      <c r="DD229" s="79"/>
      <c r="DE229" s="79"/>
      <c r="DF229" s="79"/>
      <c r="DG229" s="79"/>
      <c r="DH229" s="79"/>
      <c r="DI229" s="79"/>
      <c r="DJ229" s="79"/>
      <c r="DK229" s="79"/>
      <c r="DL229" s="79"/>
      <c r="DM229" s="79"/>
      <c r="DN229" s="79"/>
      <c r="DO229" s="79"/>
      <c r="DP229" s="79"/>
      <c r="DQ229" s="79"/>
      <c r="DR229" s="79"/>
      <c r="DS229" s="79"/>
      <c r="DT229" s="79"/>
      <c r="DU229" s="79"/>
      <c r="DV229" s="79"/>
      <c r="DW229" s="79"/>
      <c r="DX229" s="79"/>
      <c r="DY229" s="79"/>
      <c r="DZ229" s="79"/>
      <c r="EA229" s="79"/>
      <c r="EB229" s="79"/>
      <c r="EC229" s="79"/>
      <c r="ED229" s="79"/>
      <c r="EE229" s="79"/>
      <c r="EF229" s="79"/>
      <c r="EG229" s="79"/>
      <c r="EH229" s="79"/>
      <c r="EI229" s="79"/>
      <c r="EJ229" s="79"/>
      <c r="EK229" s="79"/>
      <c r="EL229" s="79"/>
      <c r="EM229" s="79"/>
      <c r="EN229" s="79"/>
      <c r="EO229" s="79"/>
      <c r="EP229" s="79"/>
      <c r="EQ229" s="79"/>
      <c r="ER229" s="79"/>
      <c r="ES229" s="79"/>
      <c r="ET229" s="79"/>
      <c r="EU229" s="79"/>
      <c r="EV229" s="79"/>
      <c r="EW229" s="79"/>
      <c r="EX229" s="79"/>
      <c r="EY229" s="79"/>
      <c r="EZ229" s="79"/>
      <c r="FA229" s="79"/>
      <c r="FB229" s="79"/>
      <c r="FC229" s="79"/>
      <c r="FD229" s="79"/>
      <c r="FE229" s="79"/>
      <c r="FF229" s="79"/>
      <c r="FG229" s="79"/>
      <c r="FH229" s="79"/>
      <c r="FI229" s="79"/>
      <c r="FJ229" s="79"/>
      <c r="FK229" s="79"/>
      <c r="FL229" s="79"/>
      <c r="FM229" s="79"/>
      <c r="FN229" s="79"/>
      <c r="FO229" s="79"/>
      <c r="FP229" s="79"/>
      <c r="FQ229" s="79"/>
      <c r="FR229" s="79"/>
      <c r="FS229" s="79"/>
      <c r="FT229" s="79"/>
      <c r="FU229" s="79"/>
      <c r="FV229" s="79"/>
      <c r="FW229" s="79"/>
      <c r="FX229" s="79"/>
      <c r="FY229" s="79"/>
      <c r="FZ229" s="79"/>
      <c r="GA229" s="79"/>
      <c r="GB229" s="79"/>
      <c r="GC229" s="79"/>
      <c r="GD229" s="79"/>
      <c r="GE229" s="79"/>
      <c r="GF229" s="79"/>
      <c r="GG229" s="79"/>
      <c r="GH229" s="79"/>
    </row>
    <row r="230" spans="1:190" ht="14.25" x14ac:dyDescent="0.2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  <c r="AS230" s="79"/>
      <c r="AT230" s="79"/>
      <c r="AU230" s="79"/>
      <c r="AV230" s="79"/>
      <c r="AW230" s="79"/>
      <c r="AX230" s="79"/>
      <c r="AY230" s="79"/>
      <c r="AZ230" s="79"/>
      <c r="BA230" s="79"/>
      <c r="BB230" s="79"/>
      <c r="BC230" s="79"/>
      <c r="BD230" s="79"/>
      <c r="BE230" s="79"/>
      <c r="BF230" s="79"/>
      <c r="BG230" s="79"/>
      <c r="BH230" s="79"/>
      <c r="BI230" s="79"/>
      <c r="BJ230" s="79"/>
      <c r="BK230" s="79"/>
      <c r="BL230" s="79"/>
      <c r="BM230" s="79"/>
      <c r="BN230" s="79"/>
      <c r="BO230" s="79"/>
      <c r="BP230" s="79"/>
      <c r="BQ230" s="79"/>
      <c r="BR230" s="79"/>
      <c r="BS230" s="79"/>
      <c r="BT230" s="79"/>
      <c r="BU230" s="79"/>
      <c r="BV230" s="79"/>
      <c r="BW230" s="79"/>
      <c r="BX230" s="79"/>
      <c r="BY230" s="79"/>
      <c r="BZ230" s="79"/>
      <c r="CA230" s="79"/>
      <c r="CB230" s="79"/>
      <c r="CC230" s="79"/>
      <c r="CD230" s="79"/>
      <c r="CE230" s="79"/>
      <c r="CF230" s="79"/>
      <c r="CG230" s="79"/>
      <c r="CH230" s="79"/>
      <c r="CI230" s="79"/>
      <c r="CJ230" s="79"/>
      <c r="CK230" s="79"/>
      <c r="CL230" s="79"/>
      <c r="CM230" s="79"/>
      <c r="CN230" s="79"/>
      <c r="CO230" s="79"/>
      <c r="CP230" s="79"/>
      <c r="CQ230" s="79"/>
      <c r="CR230" s="79"/>
      <c r="CS230" s="79"/>
      <c r="CT230" s="79"/>
      <c r="CU230" s="79"/>
      <c r="CV230" s="79"/>
      <c r="CW230" s="79"/>
      <c r="CX230" s="79"/>
      <c r="CY230" s="79"/>
      <c r="CZ230" s="79"/>
      <c r="DA230" s="79"/>
      <c r="DB230" s="79"/>
      <c r="DC230" s="79"/>
      <c r="DD230" s="79"/>
      <c r="DE230" s="79"/>
      <c r="DF230" s="79"/>
      <c r="DG230" s="79"/>
      <c r="DH230" s="79"/>
      <c r="DI230" s="79"/>
      <c r="DJ230" s="79"/>
      <c r="DK230" s="79"/>
      <c r="DL230" s="79"/>
      <c r="DM230" s="79"/>
      <c r="DN230" s="79"/>
      <c r="DO230" s="79"/>
      <c r="DP230" s="79"/>
      <c r="DQ230" s="79"/>
      <c r="DR230" s="79"/>
      <c r="DS230" s="79"/>
      <c r="DT230" s="79"/>
      <c r="DU230" s="79"/>
      <c r="DV230" s="79"/>
      <c r="DW230" s="79"/>
      <c r="DX230" s="79"/>
      <c r="DY230" s="79"/>
      <c r="DZ230" s="79"/>
      <c r="EA230" s="79"/>
      <c r="EB230" s="79"/>
      <c r="EC230" s="79"/>
      <c r="ED230" s="79"/>
      <c r="EE230" s="79"/>
      <c r="EF230" s="79"/>
      <c r="EG230" s="79"/>
      <c r="EH230" s="79"/>
      <c r="EI230" s="79"/>
      <c r="EJ230" s="79"/>
      <c r="EK230" s="79"/>
      <c r="EL230" s="79"/>
      <c r="EM230" s="79"/>
      <c r="EN230" s="79"/>
      <c r="EO230" s="79"/>
      <c r="EP230" s="79"/>
      <c r="EQ230" s="79"/>
      <c r="ER230" s="79"/>
      <c r="ES230" s="79"/>
      <c r="ET230" s="79"/>
      <c r="EU230" s="79"/>
      <c r="EV230" s="79"/>
      <c r="EW230" s="79"/>
      <c r="EX230" s="79"/>
      <c r="EY230" s="79"/>
      <c r="EZ230" s="79"/>
      <c r="FA230" s="79"/>
      <c r="FB230" s="79"/>
      <c r="FC230" s="79"/>
      <c r="FD230" s="79"/>
      <c r="FE230" s="79"/>
      <c r="FF230" s="79"/>
      <c r="FG230" s="79"/>
      <c r="FH230" s="79"/>
      <c r="FI230" s="79"/>
      <c r="FJ230" s="79"/>
      <c r="FK230" s="79"/>
      <c r="FL230" s="79"/>
      <c r="FM230" s="79"/>
      <c r="FN230" s="79"/>
      <c r="FO230" s="79"/>
      <c r="FP230" s="79"/>
      <c r="FQ230" s="79"/>
      <c r="FR230" s="79"/>
      <c r="FS230" s="79"/>
      <c r="FT230" s="79"/>
      <c r="FU230" s="79"/>
      <c r="FV230" s="79"/>
      <c r="FW230" s="79"/>
      <c r="FX230" s="79"/>
      <c r="FY230" s="79"/>
      <c r="FZ230" s="79"/>
      <c r="GA230" s="79"/>
      <c r="GB230" s="79"/>
      <c r="GC230" s="79"/>
      <c r="GD230" s="79"/>
      <c r="GE230" s="79"/>
      <c r="GF230" s="79"/>
      <c r="GG230" s="79"/>
      <c r="GH230" s="79"/>
    </row>
    <row r="231" spans="1:190" ht="14.25" x14ac:dyDescent="0.2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9"/>
      <c r="AU231" s="79"/>
      <c r="AV231" s="79"/>
      <c r="AW231" s="79"/>
      <c r="AX231" s="79"/>
      <c r="AY231" s="79"/>
      <c r="AZ231" s="79"/>
      <c r="BA231" s="79"/>
      <c r="BB231" s="79"/>
      <c r="BC231" s="79"/>
      <c r="BD231" s="79"/>
      <c r="BE231" s="79"/>
      <c r="BF231" s="79"/>
      <c r="BG231" s="79"/>
      <c r="BH231" s="79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  <c r="BW231" s="79"/>
      <c r="BX231" s="79"/>
      <c r="BY231" s="79"/>
      <c r="BZ231" s="79"/>
      <c r="CA231" s="79"/>
      <c r="CB231" s="79"/>
      <c r="CC231" s="79"/>
      <c r="CD231" s="79"/>
      <c r="CE231" s="79"/>
      <c r="CF231" s="79"/>
      <c r="CG231" s="79"/>
      <c r="CH231" s="79"/>
      <c r="CI231" s="79"/>
      <c r="CJ231" s="79"/>
      <c r="CK231" s="79"/>
      <c r="CL231" s="79"/>
      <c r="CM231" s="79"/>
      <c r="CN231" s="79"/>
      <c r="CO231" s="79"/>
      <c r="CP231" s="79"/>
      <c r="CQ231" s="79"/>
      <c r="CR231" s="79"/>
      <c r="CS231" s="79"/>
      <c r="CT231" s="79"/>
      <c r="CU231" s="79"/>
      <c r="CV231" s="79"/>
      <c r="CW231" s="79"/>
      <c r="CX231" s="79"/>
      <c r="CY231" s="79"/>
      <c r="CZ231" s="79"/>
      <c r="DA231" s="79"/>
      <c r="DB231" s="79"/>
      <c r="DC231" s="79"/>
      <c r="DD231" s="79"/>
      <c r="DE231" s="79"/>
      <c r="DF231" s="79"/>
      <c r="DG231" s="79"/>
      <c r="DH231" s="79"/>
      <c r="DI231" s="79"/>
      <c r="DJ231" s="79"/>
      <c r="DK231" s="79"/>
      <c r="DL231" s="79"/>
      <c r="DM231" s="79"/>
      <c r="DN231" s="79"/>
      <c r="DO231" s="79"/>
      <c r="DP231" s="79"/>
      <c r="DQ231" s="79"/>
      <c r="DR231" s="79"/>
      <c r="DS231" s="79"/>
      <c r="DT231" s="79"/>
      <c r="DU231" s="79"/>
      <c r="DV231" s="79"/>
      <c r="DW231" s="79"/>
      <c r="DX231" s="79"/>
      <c r="DY231" s="79"/>
      <c r="DZ231" s="79"/>
      <c r="EA231" s="79"/>
      <c r="EB231" s="79"/>
      <c r="EC231" s="79"/>
      <c r="ED231" s="79"/>
      <c r="EE231" s="79"/>
      <c r="EF231" s="79"/>
      <c r="EG231" s="79"/>
      <c r="EH231" s="79"/>
      <c r="EI231" s="79"/>
      <c r="EJ231" s="79"/>
      <c r="EK231" s="79"/>
      <c r="EL231" s="79"/>
      <c r="EM231" s="79"/>
      <c r="EN231" s="79"/>
      <c r="EO231" s="79"/>
      <c r="EP231" s="79"/>
      <c r="EQ231" s="79"/>
      <c r="ER231" s="79"/>
      <c r="ES231" s="79"/>
      <c r="ET231" s="79"/>
      <c r="EU231" s="79"/>
      <c r="EV231" s="79"/>
      <c r="EW231" s="79"/>
      <c r="EX231" s="79"/>
      <c r="EY231" s="79"/>
      <c r="EZ231" s="79"/>
      <c r="FA231" s="79"/>
      <c r="FB231" s="79"/>
      <c r="FC231" s="79"/>
      <c r="FD231" s="79"/>
      <c r="FE231" s="79"/>
      <c r="FF231" s="79"/>
      <c r="FG231" s="79"/>
      <c r="FH231" s="79"/>
      <c r="FI231" s="79"/>
      <c r="FJ231" s="79"/>
      <c r="FK231" s="79"/>
      <c r="FL231" s="79"/>
      <c r="FM231" s="79"/>
      <c r="FN231" s="79"/>
      <c r="FO231" s="79"/>
      <c r="FP231" s="79"/>
      <c r="FQ231" s="79"/>
      <c r="FR231" s="79"/>
      <c r="FS231" s="79"/>
      <c r="FT231" s="79"/>
      <c r="FU231" s="79"/>
      <c r="FV231" s="79"/>
      <c r="FW231" s="79"/>
      <c r="FX231" s="79"/>
      <c r="FY231" s="79"/>
      <c r="FZ231" s="79"/>
      <c r="GA231" s="79"/>
      <c r="GB231" s="79"/>
      <c r="GC231" s="79"/>
      <c r="GD231" s="79"/>
      <c r="GE231" s="79"/>
      <c r="GF231" s="79"/>
      <c r="GG231" s="79"/>
      <c r="GH231" s="79"/>
    </row>
    <row r="232" spans="1:190" ht="14.25" x14ac:dyDescent="0.2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79"/>
      <c r="AU232" s="79"/>
      <c r="AV232" s="79"/>
      <c r="AW232" s="79"/>
      <c r="AX232" s="79"/>
      <c r="AY232" s="79"/>
      <c r="AZ232" s="79"/>
      <c r="BA232" s="79"/>
      <c r="BB232" s="79"/>
      <c r="BC232" s="79"/>
      <c r="BD232" s="79"/>
      <c r="BE232" s="79"/>
      <c r="BF232" s="79"/>
      <c r="BG232" s="79"/>
      <c r="BH232" s="79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  <c r="BW232" s="79"/>
      <c r="BX232" s="79"/>
      <c r="BY232" s="79"/>
      <c r="BZ232" s="79"/>
      <c r="CA232" s="79"/>
      <c r="CB232" s="79"/>
      <c r="CC232" s="79"/>
      <c r="CD232" s="79"/>
      <c r="CE232" s="79"/>
      <c r="CF232" s="79"/>
      <c r="CG232" s="79"/>
      <c r="CH232" s="79"/>
      <c r="CI232" s="79"/>
      <c r="CJ232" s="79"/>
      <c r="CK232" s="79"/>
      <c r="CL232" s="79"/>
      <c r="CM232" s="79"/>
      <c r="CN232" s="79"/>
      <c r="CO232" s="79"/>
      <c r="CP232" s="79"/>
      <c r="CQ232" s="79"/>
      <c r="CR232" s="79"/>
      <c r="CS232" s="79"/>
      <c r="CT232" s="79"/>
      <c r="CU232" s="79"/>
      <c r="CV232" s="79"/>
      <c r="CW232" s="79"/>
      <c r="CX232" s="79"/>
      <c r="CY232" s="79"/>
      <c r="CZ232" s="79"/>
      <c r="DA232" s="79"/>
      <c r="DB232" s="79"/>
      <c r="DC232" s="79"/>
      <c r="DD232" s="79"/>
      <c r="DE232" s="79"/>
      <c r="DF232" s="79"/>
      <c r="DG232" s="79"/>
      <c r="DH232" s="79"/>
      <c r="DI232" s="79"/>
      <c r="DJ232" s="79"/>
      <c r="DK232" s="79"/>
      <c r="DL232" s="79"/>
      <c r="DM232" s="79"/>
      <c r="DN232" s="79"/>
      <c r="DO232" s="79"/>
      <c r="DP232" s="79"/>
      <c r="DQ232" s="79"/>
      <c r="DR232" s="79"/>
      <c r="DS232" s="79"/>
      <c r="DT232" s="79"/>
      <c r="DU232" s="79"/>
      <c r="DV232" s="79"/>
      <c r="DW232" s="79"/>
      <c r="DX232" s="79"/>
      <c r="DY232" s="79"/>
      <c r="DZ232" s="79"/>
      <c r="EA232" s="79"/>
      <c r="EB232" s="79"/>
      <c r="EC232" s="79"/>
      <c r="ED232" s="79"/>
      <c r="EE232" s="79"/>
      <c r="EF232" s="79"/>
      <c r="EG232" s="79"/>
      <c r="EH232" s="79"/>
      <c r="EI232" s="79"/>
      <c r="EJ232" s="79"/>
      <c r="EK232" s="79"/>
      <c r="EL232" s="79"/>
      <c r="EM232" s="79"/>
      <c r="EN232" s="79"/>
      <c r="EO232" s="79"/>
      <c r="EP232" s="79"/>
      <c r="EQ232" s="79"/>
      <c r="ER232" s="79"/>
      <c r="ES232" s="79"/>
      <c r="ET232" s="79"/>
      <c r="EU232" s="79"/>
      <c r="EV232" s="79"/>
      <c r="EW232" s="79"/>
      <c r="EX232" s="79"/>
      <c r="EY232" s="79"/>
      <c r="EZ232" s="79"/>
      <c r="FA232" s="79"/>
      <c r="FB232" s="79"/>
      <c r="FC232" s="79"/>
      <c r="FD232" s="79"/>
      <c r="FE232" s="79"/>
      <c r="FF232" s="79"/>
      <c r="FG232" s="79"/>
      <c r="FH232" s="79"/>
      <c r="FI232" s="79"/>
      <c r="FJ232" s="79"/>
      <c r="FK232" s="79"/>
      <c r="FL232" s="79"/>
      <c r="FM232" s="79"/>
      <c r="FN232" s="79"/>
      <c r="FO232" s="79"/>
      <c r="FP232" s="79"/>
      <c r="FQ232" s="79"/>
      <c r="FR232" s="79"/>
      <c r="FS232" s="79"/>
      <c r="FT232" s="79"/>
      <c r="FU232" s="79"/>
      <c r="FV232" s="79"/>
      <c r="FW232" s="79"/>
      <c r="FX232" s="79"/>
      <c r="FY232" s="79"/>
      <c r="FZ232" s="79"/>
      <c r="GA232" s="79"/>
      <c r="GB232" s="79"/>
      <c r="GC232" s="79"/>
      <c r="GD232" s="79"/>
      <c r="GE232" s="79"/>
      <c r="GF232" s="79"/>
      <c r="GG232" s="79"/>
      <c r="GH232" s="79"/>
    </row>
    <row r="233" spans="1:190" ht="14.25" x14ac:dyDescent="0.2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79"/>
      <c r="AU233" s="79"/>
      <c r="AV233" s="79"/>
      <c r="AW233" s="79"/>
      <c r="AX233" s="79"/>
      <c r="AY233" s="79"/>
      <c r="AZ233" s="79"/>
      <c r="BA233" s="79"/>
      <c r="BB233" s="79"/>
      <c r="BC233" s="79"/>
      <c r="BD233" s="79"/>
      <c r="BE233" s="79"/>
      <c r="BF233" s="79"/>
      <c r="BG233" s="79"/>
      <c r="BH233" s="79"/>
      <c r="BI233" s="79"/>
      <c r="BJ233" s="79"/>
      <c r="BK233" s="79"/>
      <c r="BL233" s="79"/>
      <c r="BM233" s="79"/>
      <c r="BN233" s="79"/>
      <c r="BO233" s="79"/>
      <c r="BP233" s="79"/>
      <c r="BQ233" s="79"/>
      <c r="BR233" s="79"/>
      <c r="BS233" s="79"/>
      <c r="BT233" s="79"/>
      <c r="BU233" s="79"/>
      <c r="BV233" s="79"/>
      <c r="BW233" s="79"/>
      <c r="BX233" s="79"/>
      <c r="BY233" s="79"/>
      <c r="BZ233" s="79"/>
      <c r="CA233" s="79"/>
      <c r="CB233" s="79"/>
      <c r="CC233" s="79"/>
      <c r="CD233" s="79"/>
      <c r="CE233" s="79"/>
      <c r="CF233" s="79"/>
      <c r="CG233" s="79"/>
      <c r="CH233" s="79"/>
      <c r="CI233" s="79"/>
      <c r="CJ233" s="79"/>
      <c r="CK233" s="79"/>
      <c r="CL233" s="79"/>
      <c r="CM233" s="79"/>
      <c r="CN233" s="79"/>
      <c r="CO233" s="79"/>
      <c r="CP233" s="79"/>
      <c r="CQ233" s="79"/>
      <c r="CR233" s="79"/>
      <c r="CS233" s="79"/>
      <c r="CT233" s="79"/>
      <c r="CU233" s="79"/>
      <c r="CV233" s="79"/>
      <c r="CW233" s="79"/>
      <c r="CX233" s="79"/>
      <c r="CY233" s="79"/>
      <c r="CZ233" s="79"/>
      <c r="DA233" s="79"/>
      <c r="DB233" s="79"/>
      <c r="DC233" s="79"/>
      <c r="DD233" s="79"/>
      <c r="DE233" s="79"/>
      <c r="DF233" s="79"/>
      <c r="DG233" s="79"/>
      <c r="DH233" s="79"/>
      <c r="DI233" s="79"/>
      <c r="DJ233" s="79"/>
      <c r="DK233" s="79"/>
      <c r="DL233" s="79"/>
      <c r="DM233" s="79"/>
      <c r="DN233" s="79"/>
      <c r="DO233" s="79"/>
      <c r="DP233" s="79"/>
      <c r="DQ233" s="79"/>
      <c r="DR233" s="79"/>
      <c r="DS233" s="79"/>
      <c r="DT233" s="79"/>
      <c r="DU233" s="79"/>
      <c r="DV233" s="79"/>
      <c r="DW233" s="79"/>
      <c r="DX233" s="79"/>
      <c r="DY233" s="79"/>
      <c r="DZ233" s="79"/>
      <c r="EA233" s="79"/>
      <c r="EB233" s="79"/>
      <c r="EC233" s="79"/>
      <c r="ED233" s="79"/>
      <c r="EE233" s="79"/>
      <c r="EF233" s="79"/>
      <c r="EG233" s="79"/>
      <c r="EH233" s="79"/>
      <c r="EI233" s="79"/>
      <c r="EJ233" s="79"/>
      <c r="EK233" s="79"/>
      <c r="EL233" s="79"/>
      <c r="EM233" s="79"/>
      <c r="EN233" s="79"/>
      <c r="EO233" s="79"/>
      <c r="EP233" s="79"/>
      <c r="EQ233" s="79"/>
      <c r="ER233" s="79"/>
      <c r="ES233" s="79"/>
      <c r="ET233" s="79"/>
      <c r="EU233" s="79"/>
      <c r="EV233" s="79"/>
      <c r="EW233" s="79"/>
      <c r="EX233" s="79"/>
      <c r="EY233" s="79"/>
      <c r="EZ233" s="79"/>
      <c r="FA233" s="79"/>
      <c r="FB233" s="79"/>
      <c r="FC233" s="79"/>
      <c r="FD233" s="79"/>
      <c r="FE233" s="79"/>
      <c r="FF233" s="79"/>
      <c r="FG233" s="79"/>
      <c r="FH233" s="79"/>
      <c r="FI233" s="79"/>
      <c r="FJ233" s="79"/>
      <c r="FK233" s="79"/>
      <c r="FL233" s="79"/>
      <c r="FM233" s="79"/>
      <c r="FN233" s="79"/>
      <c r="FO233" s="79"/>
      <c r="FP233" s="79"/>
      <c r="FQ233" s="79"/>
      <c r="FR233" s="79"/>
      <c r="FS233" s="79"/>
      <c r="FT233" s="79"/>
      <c r="FU233" s="79"/>
      <c r="FV233" s="79"/>
      <c r="FW233" s="79"/>
      <c r="FX233" s="79"/>
      <c r="FY233" s="79"/>
      <c r="FZ233" s="79"/>
      <c r="GA233" s="79"/>
      <c r="GB233" s="79"/>
      <c r="GC233" s="79"/>
      <c r="GD233" s="79"/>
      <c r="GE233" s="79"/>
      <c r="GF233" s="79"/>
      <c r="GG233" s="79"/>
      <c r="GH233" s="79"/>
    </row>
    <row r="234" spans="1:190" ht="14.25" x14ac:dyDescent="0.2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  <c r="AJ234" s="79"/>
      <c r="AK234" s="79"/>
      <c r="AL234" s="79"/>
      <c r="AM234" s="79"/>
      <c r="AN234" s="79"/>
      <c r="AO234" s="79"/>
      <c r="AP234" s="79"/>
      <c r="AQ234" s="79"/>
      <c r="AR234" s="79"/>
      <c r="AS234" s="79"/>
      <c r="AT234" s="79"/>
      <c r="AU234" s="79"/>
      <c r="AV234" s="79"/>
      <c r="AW234" s="79"/>
      <c r="AX234" s="79"/>
      <c r="AY234" s="79"/>
      <c r="AZ234" s="79"/>
      <c r="BA234" s="79"/>
      <c r="BB234" s="79"/>
      <c r="BC234" s="79"/>
      <c r="BD234" s="79"/>
      <c r="BE234" s="79"/>
      <c r="BF234" s="79"/>
      <c r="BG234" s="79"/>
      <c r="BH234" s="79"/>
      <c r="BI234" s="79"/>
      <c r="BJ234" s="79"/>
      <c r="BK234" s="79"/>
      <c r="BL234" s="79"/>
      <c r="BM234" s="79"/>
      <c r="BN234" s="79"/>
      <c r="BO234" s="79"/>
      <c r="BP234" s="79"/>
      <c r="BQ234" s="79"/>
      <c r="BR234" s="79"/>
      <c r="BS234" s="79"/>
      <c r="BT234" s="79"/>
      <c r="BU234" s="79"/>
      <c r="BV234" s="79"/>
      <c r="BW234" s="79"/>
      <c r="BX234" s="79"/>
      <c r="BY234" s="79"/>
      <c r="BZ234" s="79"/>
      <c r="CA234" s="79"/>
      <c r="CB234" s="79"/>
      <c r="CC234" s="79"/>
      <c r="CD234" s="79"/>
      <c r="CE234" s="79"/>
      <c r="CF234" s="79"/>
      <c r="CG234" s="79"/>
      <c r="CH234" s="79"/>
      <c r="CI234" s="79"/>
      <c r="CJ234" s="79"/>
      <c r="CK234" s="79"/>
      <c r="CL234" s="79"/>
      <c r="CM234" s="79"/>
      <c r="CN234" s="79"/>
      <c r="CO234" s="79"/>
      <c r="CP234" s="79"/>
      <c r="CQ234" s="79"/>
      <c r="CR234" s="79"/>
      <c r="CS234" s="79"/>
      <c r="CT234" s="79"/>
      <c r="CU234" s="79"/>
      <c r="CV234" s="79"/>
      <c r="CW234" s="79"/>
      <c r="CX234" s="79"/>
      <c r="CY234" s="79"/>
      <c r="CZ234" s="79"/>
      <c r="DA234" s="79"/>
      <c r="DB234" s="79"/>
      <c r="DC234" s="79"/>
      <c r="DD234" s="79"/>
      <c r="DE234" s="79"/>
      <c r="DF234" s="79"/>
      <c r="DG234" s="79"/>
      <c r="DH234" s="79"/>
      <c r="DI234" s="79"/>
      <c r="DJ234" s="79"/>
      <c r="DK234" s="79"/>
      <c r="DL234" s="79"/>
      <c r="DM234" s="79"/>
      <c r="DN234" s="79"/>
      <c r="DO234" s="79"/>
      <c r="DP234" s="79"/>
      <c r="DQ234" s="79"/>
      <c r="DR234" s="79"/>
      <c r="DS234" s="79"/>
      <c r="DT234" s="79"/>
      <c r="DU234" s="79"/>
      <c r="DV234" s="79"/>
      <c r="DW234" s="79"/>
      <c r="DX234" s="79"/>
      <c r="DY234" s="79"/>
      <c r="DZ234" s="79"/>
      <c r="EA234" s="79"/>
      <c r="EB234" s="79"/>
      <c r="EC234" s="79"/>
      <c r="ED234" s="79"/>
      <c r="EE234" s="79"/>
      <c r="EF234" s="79"/>
      <c r="EG234" s="79"/>
      <c r="EH234" s="79"/>
      <c r="EI234" s="79"/>
      <c r="EJ234" s="79"/>
      <c r="EK234" s="79"/>
      <c r="EL234" s="79"/>
      <c r="EM234" s="79"/>
      <c r="EN234" s="79"/>
      <c r="EO234" s="79"/>
      <c r="EP234" s="79"/>
      <c r="EQ234" s="79"/>
      <c r="ER234" s="79"/>
      <c r="ES234" s="79"/>
      <c r="ET234" s="79"/>
      <c r="EU234" s="79"/>
      <c r="EV234" s="79"/>
      <c r="EW234" s="79"/>
      <c r="EX234" s="79"/>
      <c r="EY234" s="79"/>
      <c r="EZ234" s="79"/>
      <c r="FA234" s="79"/>
      <c r="FB234" s="79"/>
      <c r="FC234" s="79"/>
      <c r="FD234" s="79"/>
      <c r="FE234" s="79"/>
      <c r="FF234" s="79"/>
      <c r="FG234" s="79"/>
      <c r="FH234" s="79"/>
      <c r="FI234" s="79"/>
      <c r="FJ234" s="79"/>
      <c r="FK234" s="79"/>
      <c r="FL234" s="79"/>
      <c r="FM234" s="79"/>
      <c r="FN234" s="79"/>
      <c r="FO234" s="79"/>
      <c r="FP234" s="79"/>
      <c r="FQ234" s="79"/>
      <c r="FR234" s="79"/>
      <c r="FS234" s="79"/>
      <c r="FT234" s="79"/>
      <c r="FU234" s="79"/>
      <c r="FV234" s="79"/>
      <c r="FW234" s="79"/>
      <c r="FX234" s="79"/>
      <c r="FY234" s="79"/>
      <c r="FZ234" s="79"/>
      <c r="GA234" s="79"/>
      <c r="GB234" s="79"/>
      <c r="GC234" s="79"/>
      <c r="GD234" s="79"/>
      <c r="GE234" s="79"/>
      <c r="GF234" s="79"/>
      <c r="GG234" s="79"/>
      <c r="GH234" s="79"/>
    </row>
    <row r="235" spans="1:190" ht="14.25" x14ac:dyDescent="0.2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  <c r="AJ235" s="79"/>
      <c r="AK235" s="79"/>
      <c r="AL235" s="79"/>
      <c r="AM235" s="79"/>
      <c r="AN235" s="79"/>
      <c r="AO235" s="79"/>
      <c r="AP235" s="79"/>
      <c r="AQ235" s="79"/>
      <c r="AR235" s="79"/>
      <c r="AS235" s="79"/>
      <c r="AT235" s="79"/>
      <c r="AU235" s="79"/>
      <c r="AV235" s="79"/>
      <c r="AW235" s="79"/>
      <c r="AX235" s="79"/>
      <c r="AY235" s="79"/>
      <c r="AZ235" s="79"/>
      <c r="BA235" s="79"/>
      <c r="BB235" s="79"/>
      <c r="BC235" s="79"/>
      <c r="BD235" s="79"/>
      <c r="BE235" s="79"/>
      <c r="BF235" s="79"/>
      <c r="BG235" s="79"/>
      <c r="BH235" s="79"/>
      <c r="BI235" s="79"/>
      <c r="BJ235" s="79"/>
      <c r="BK235" s="79"/>
      <c r="BL235" s="79"/>
      <c r="BM235" s="79"/>
      <c r="BN235" s="79"/>
      <c r="BO235" s="79"/>
      <c r="BP235" s="79"/>
      <c r="BQ235" s="79"/>
      <c r="BR235" s="79"/>
      <c r="BS235" s="79"/>
      <c r="BT235" s="79"/>
      <c r="BU235" s="79"/>
      <c r="BV235" s="79"/>
      <c r="BW235" s="79"/>
      <c r="BX235" s="79"/>
      <c r="BY235" s="79"/>
      <c r="BZ235" s="79"/>
      <c r="CA235" s="79"/>
      <c r="CB235" s="79"/>
      <c r="CC235" s="79"/>
      <c r="CD235" s="79"/>
      <c r="CE235" s="79"/>
      <c r="CF235" s="79"/>
      <c r="CG235" s="79"/>
      <c r="CH235" s="79"/>
      <c r="CI235" s="79"/>
      <c r="CJ235" s="79"/>
      <c r="CK235" s="79"/>
      <c r="CL235" s="79"/>
      <c r="CM235" s="79"/>
      <c r="CN235" s="79"/>
      <c r="CO235" s="79"/>
      <c r="CP235" s="79"/>
      <c r="CQ235" s="79"/>
      <c r="CR235" s="79"/>
      <c r="CS235" s="79"/>
      <c r="CT235" s="79"/>
      <c r="CU235" s="79"/>
      <c r="CV235" s="79"/>
      <c r="CW235" s="79"/>
      <c r="CX235" s="79"/>
      <c r="CY235" s="79"/>
      <c r="CZ235" s="79"/>
      <c r="DA235" s="79"/>
      <c r="DB235" s="79"/>
      <c r="DC235" s="79"/>
      <c r="DD235" s="79"/>
      <c r="DE235" s="79"/>
      <c r="DF235" s="79"/>
      <c r="DG235" s="79"/>
      <c r="DH235" s="79"/>
      <c r="DI235" s="79"/>
      <c r="DJ235" s="79"/>
      <c r="DK235" s="79"/>
      <c r="DL235" s="79"/>
      <c r="DM235" s="79"/>
      <c r="DN235" s="79"/>
      <c r="DO235" s="79"/>
      <c r="DP235" s="79"/>
      <c r="DQ235" s="79"/>
      <c r="DR235" s="79"/>
      <c r="DS235" s="79"/>
      <c r="DT235" s="79"/>
      <c r="DU235" s="79"/>
      <c r="DV235" s="79"/>
      <c r="DW235" s="79"/>
      <c r="DX235" s="79"/>
      <c r="DY235" s="79"/>
      <c r="DZ235" s="79"/>
      <c r="EA235" s="79"/>
      <c r="EB235" s="79"/>
      <c r="EC235" s="79"/>
      <c r="ED235" s="79"/>
      <c r="EE235" s="79"/>
      <c r="EF235" s="79"/>
      <c r="EG235" s="79"/>
      <c r="EH235" s="79"/>
      <c r="EI235" s="79"/>
      <c r="EJ235" s="79"/>
      <c r="EK235" s="79"/>
      <c r="EL235" s="79"/>
      <c r="EM235" s="79"/>
      <c r="EN235" s="79"/>
      <c r="EO235" s="79"/>
      <c r="EP235" s="79"/>
      <c r="EQ235" s="79"/>
      <c r="ER235" s="79"/>
      <c r="ES235" s="79"/>
      <c r="ET235" s="79"/>
      <c r="EU235" s="79"/>
      <c r="EV235" s="79"/>
      <c r="EW235" s="79"/>
      <c r="EX235" s="79"/>
      <c r="EY235" s="79"/>
      <c r="EZ235" s="79"/>
      <c r="FA235" s="79"/>
      <c r="FB235" s="79"/>
      <c r="FC235" s="79"/>
      <c r="FD235" s="79"/>
      <c r="FE235" s="79"/>
      <c r="FF235" s="79"/>
      <c r="FG235" s="79"/>
      <c r="FH235" s="79"/>
      <c r="FI235" s="79"/>
      <c r="FJ235" s="79"/>
      <c r="FK235" s="79"/>
      <c r="FL235" s="79"/>
      <c r="FM235" s="79"/>
      <c r="FN235" s="79"/>
      <c r="FO235" s="79"/>
      <c r="FP235" s="79"/>
      <c r="FQ235" s="79"/>
      <c r="FR235" s="79"/>
      <c r="FS235" s="79"/>
      <c r="FT235" s="79"/>
      <c r="FU235" s="79"/>
      <c r="FV235" s="79"/>
      <c r="FW235" s="79"/>
      <c r="FX235" s="79"/>
      <c r="FY235" s="79"/>
      <c r="FZ235" s="79"/>
      <c r="GA235" s="79"/>
      <c r="GB235" s="79"/>
      <c r="GC235" s="79"/>
      <c r="GD235" s="79"/>
      <c r="GE235" s="79"/>
      <c r="GF235" s="79"/>
      <c r="GG235" s="79"/>
      <c r="GH235" s="79"/>
    </row>
    <row r="236" spans="1:190" ht="14.25" x14ac:dyDescent="0.2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  <c r="AS236" s="79"/>
      <c r="AT236" s="79"/>
      <c r="AU236" s="79"/>
      <c r="AV236" s="79"/>
      <c r="AW236" s="79"/>
      <c r="AX236" s="79"/>
      <c r="AY236" s="79"/>
      <c r="AZ236" s="79"/>
      <c r="BA236" s="79"/>
      <c r="BB236" s="79"/>
      <c r="BC236" s="79"/>
      <c r="BD236" s="79"/>
      <c r="BE236" s="79"/>
      <c r="BF236" s="79"/>
      <c r="BG236" s="79"/>
      <c r="BH236" s="79"/>
      <c r="BI236" s="79"/>
      <c r="BJ236" s="79"/>
      <c r="BK236" s="79"/>
      <c r="BL236" s="79"/>
      <c r="BM236" s="79"/>
      <c r="BN236" s="79"/>
      <c r="BO236" s="79"/>
      <c r="BP236" s="79"/>
      <c r="BQ236" s="79"/>
      <c r="BR236" s="79"/>
      <c r="BS236" s="79"/>
      <c r="BT236" s="79"/>
      <c r="BU236" s="79"/>
      <c r="BV236" s="79"/>
      <c r="BW236" s="79"/>
      <c r="BX236" s="79"/>
      <c r="BY236" s="79"/>
      <c r="BZ236" s="79"/>
      <c r="CA236" s="79"/>
      <c r="CB236" s="79"/>
      <c r="CC236" s="79"/>
      <c r="CD236" s="79"/>
      <c r="CE236" s="79"/>
      <c r="CF236" s="79"/>
      <c r="CG236" s="79"/>
      <c r="CH236" s="79"/>
      <c r="CI236" s="79"/>
      <c r="CJ236" s="79"/>
      <c r="CK236" s="79"/>
      <c r="CL236" s="79"/>
      <c r="CM236" s="79"/>
      <c r="CN236" s="79"/>
      <c r="CO236" s="79"/>
      <c r="CP236" s="79"/>
      <c r="CQ236" s="79"/>
      <c r="CR236" s="79"/>
      <c r="CS236" s="79"/>
      <c r="CT236" s="79"/>
      <c r="CU236" s="79"/>
      <c r="CV236" s="79"/>
      <c r="CW236" s="79"/>
      <c r="CX236" s="79"/>
      <c r="CY236" s="79"/>
      <c r="CZ236" s="79"/>
      <c r="DA236" s="79"/>
      <c r="DB236" s="79"/>
      <c r="DC236" s="79"/>
      <c r="DD236" s="79"/>
      <c r="DE236" s="79"/>
      <c r="DF236" s="79"/>
      <c r="DG236" s="79"/>
      <c r="DH236" s="79"/>
      <c r="DI236" s="79"/>
      <c r="DJ236" s="79"/>
      <c r="DK236" s="79"/>
      <c r="DL236" s="79"/>
      <c r="DM236" s="79"/>
      <c r="DN236" s="79"/>
      <c r="DO236" s="79"/>
      <c r="DP236" s="79"/>
      <c r="DQ236" s="79"/>
      <c r="DR236" s="79"/>
      <c r="DS236" s="79"/>
      <c r="DT236" s="79"/>
      <c r="DU236" s="79"/>
      <c r="DV236" s="79"/>
      <c r="DW236" s="79"/>
      <c r="DX236" s="79"/>
      <c r="DY236" s="79"/>
      <c r="DZ236" s="79"/>
      <c r="EA236" s="79"/>
      <c r="EB236" s="79"/>
      <c r="EC236" s="79"/>
      <c r="ED236" s="79"/>
      <c r="EE236" s="79"/>
      <c r="EF236" s="79"/>
      <c r="EG236" s="79"/>
      <c r="EH236" s="79"/>
      <c r="EI236" s="79"/>
      <c r="EJ236" s="79"/>
      <c r="EK236" s="79"/>
      <c r="EL236" s="79"/>
      <c r="EM236" s="79"/>
      <c r="EN236" s="79"/>
      <c r="EO236" s="79"/>
      <c r="EP236" s="79"/>
      <c r="EQ236" s="79"/>
      <c r="ER236" s="79"/>
      <c r="ES236" s="79"/>
      <c r="ET236" s="79"/>
      <c r="EU236" s="79"/>
      <c r="EV236" s="79"/>
      <c r="EW236" s="79"/>
      <c r="EX236" s="79"/>
      <c r="EY236" s="79"/>
      <c r="EZ236" s="79"/>
      <c r="FA236" s="79"/>
      <c r="FB236" s="79"/>
      <c r="FC236" s="79"/>
      <c r="FD236" s="79"/>
      <c r="FE236" s="79"/>
      <c r="FF236" s="79"/>
      <c r="FG236" s="79"/>
      <c r="FH236" s="79"/>
      <c r="FI236" s="79"/>
      <c r="FJ236" s="79"/>
      <c r="FK236" s="79"/>
      <c r="FL236" s="79"/>
      <c r="FM236" s="79"/>
      <c r="FN236" s="79"/>
      <c r="FO236" s="79"/>
      <c r="FP236" s="79"/>
      <c r="FQ236" s="79"/>
      <c r="FR236" s="79"/>
      <c r="FS236" s="79"/>
      <c r="FT236" s="79"/>
      <c r="FU236" s="79"/>
      <c r="FV236" s="79"/>
      <c r="FW236" s="79"/>
      <c r="FX236" s="79"/>
      <c r="FY236" s="79"/>
      <c r="FZ236" s="79"/>
      <c r="GA236" s="79"/>
      <c r="GB236" s="79"/>
      <c r="GC236" s="79"/>
      <c r="GD236" s="79"/>
      <c r="GE236" s="79"/>
      <c r="GF236" s="79"/>
      <c r="GG236" s="79"/>
      <c r="GH236" s="79"/>
    </row>
    <row r="237" spans="1:190" ht="14.25" x14ac:dyDescent="0.2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  <c r="AJ237" s="79"/>
      <c r="AK237" s="79"/>
      <c r="AL237" s="79"/>
      <c r="AM237" s="79"/>
      <c r="AN237" s="79"/>
      <c r="AO237" s="79"/>
      <c r="AP237" s="79"/>
      <c r="AQ237" s="79"/>
      <c r="AR237" s="79"/>
      <c r="AS237" s="79"/>
      <c r="AT237" s="79"/>
      <c r="AU237" s="79"/>
      <c r="AV237" s="79"/>
      <c r="AW237" s="79"/>
      <c r="AX237" s="79"/>
      <c r="AY237" s="79"/>
      <c r="AZ237" s="79"/>
      <c r="BA237" s="79"/>
      <c r="BB237" s="79"/>
      <c r="BC237" s="79"/>
      <c r="BD237" s="79"/>
      <c r="BE237" s="79"/>
      <c r="BF237" s="79"/>
      <c r="BG237" s="79"/>
      <c r="BH237" s="79"/>
      <c r="BI237" s="79"/>
      <c r="BJ237" s="79"/>
      <c r="BK237" s="79"/>
      <c r="BL237" s="79"/>
      <c r="BM237" s="79"/>
      <c r="BN237" s="79"/>
      <c r="BO237" s="79"/>
      <c r="BP237" s="79"/>
      <c r="BQ237" s="79"/>
      <c r="BR237" s="79"/>
      <c r="BS237" s="79"/>
      <c r="BT237" s="79"/>
      <c r="BU237" s="79"/>
      <c r="BV237" s="79"/>
      <c r="BW237" s="79"/>
      <c r="BX237" s="79"/>
      <c r="BY237" s="79"/>
      <c r="BZ237" s="79"/>
      <c r="CA237" s="79"/>
      <c r="CB237" s="79"/>
      <c r="CC237" s="79"/>
      <c r="CD237" s="79"/>
      <c r="CE237" s="79"/>
      <c r="CF237" s="79"/>
      <c r="CG237" s="79"/>
      <c r="CH237" s="79"/>
      <c r="CI237" s="79"/>
      <c r="CJ237" s="79"/>
      <c r="CK237" s="79"/>
      <c r="CL237" s="79"/>
      <c r="CM237" s="79"/>
      <c r="CN237" s="79"/>
      <c r="CO237" s="79"/>
      <c r="CP237" s="79"/>
      <c r="CQ237" s="79"/>
      <c r="CR237" s="79"/>
      <c r="CS237" s="79"/>
      <c r="CT237" s="79"/>
      <c r="CU237" s="79"/>
      <c r="CV237" s="79"/>
      <c r="CW237" s="79"/>
      <c r="CX237" s="79"/>
      <c r="CY237" s="79"/>
      <c r="CZ237" s="79"/>
      <c r="DA237" s="79"/>
      <c r="DB237" s="79"/>
      <c r="DC237" s="79"/>
      <c r="DD237" s="79"/>
      <c r="DE237" s="79"/>
      <c r="DF237" s="79"/>
      <c r="DG237" s="79"/>
      <c r="DH237" s="79"/>
      <c r="DI237" s="79"/>
      <c r="DJ237" s="79"/>
      <c r="DK237" s="79"/>
      <c r="DL237" s="79"/>
      <c r="DM237" s="79"/>
      <c r="DN237" s="79"/>
      <c r="DO237" s="79"/>
      <c r="DP237" s="79"/>
      <c r="DQ237" s="79"/>
      <c r="DR237" s="79"/>
      <c r="DS237" s="79"/>
      <c r="DT237" s="79"/>
      <c r="DU237" s="79"/>
      <c r="DV237" s="79"/>
      <c r="DW237" s="79"/>
      <c r="DX237" s="79"/>
      <c r="DY237" s="79"/>
      <c r="DZ237" s="79"/>
      <c r="EA237" s="79"/>
      <c r="EB237" s="79"/>
      <c r="EC237" s="79"/>
      <c r="ED237" s="79"/>
      <c r="EE237" s="79"/>
      <c r="EF237" s="79"/>
      <c r="EG237" s="79"/>
      <c r="EH237" s="79"/>
      <c r="EI237" s="79"/>
      <c r="EJ237" s="79"/>
      <c r="EK237" s="79"/>
      <c r="EL237" s="79"/>
      <c r="EM237" s="79"/>
      <c r="EN237" s="79"/>
      <c r="EO237" s="79"/>
      <c r="EP237" s="79"/>
      <c r="EQ237" s="79"/>
      <c r="ER237" s="79"/>
      <c r="ES237" s="79"/>
      <c r="ET237" s="79"/>
      <c r="EU237" s="79"/>
      <c r="EV237" s="79"/>
      <c r="EW237" s="79"/>
      <c r="EX237" s="79"/>
      <c r="EY237" s="79"/>
      <c r="EZ237" s="79"/>
      <c r="FA237" s="79"/>
      <c r="FB237" s="79"/>
      <c r="FC237" s="79"/>
      <c r="FD237" s="79"/>
      <c r="FE237" s="79"/>
      <c r="FF237" s="79"/>
      <c r="FG237" s="79"/>
      <c r="FH237" s="79"/>
      <c r="FI237" s="79"/>
      <c r="FJ237" s="79"/>
      <c r="FK237" s="79"/>
      <c r="FL237" s="79"/>
      <c r="FM237" s="79"/>
      <c r="FN237" s="79"/>
      <c r="FO237" s="79"/>
      <c r="FP237" s="79"/>
      <c r="FQ237" s="79"/>
      <c r="FR237" s="79"/>
      <c r="FS237" s="79"/>
      <c r="FT237" s="79"/>
      <c r="FU237" s="79"/>
      <c r="FV237" s="79"/>
      <c r="FW237" s="79"/>
      <c r="FX237" s="79"/>
      <c r="FY237" s="79"/>
      <c r="FZ237" s="79"/>
      <c r="GA237" s="79"/>
      <c r="GB237" s="79"/>
      <c r="GC237" s="79"/>
      <c r="GD237" s="79"/>
      <c r="GE237" s="79"/>
      <c r="GF237" s="79"/>
      <c r="GG237" s="79"/>
      <c r="GH237" s="79"/>
    </row>
    <row r="238" spans="1:190" ht="14.25" x14ac:dyDescent="0.2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79"/>
      <c r="AU238" s="79"/>
      <c r="AV238" s="79"/>
      <c r="AW238" s="79"/>
      <c r="AX238" s="79"/>
      <c r="AY238" s="79"/>
      <c r="AZ238" s="79"/>
      <c r="BA238" s="79"/>
      <c r="BB238" s="79"/>
      <c r="BC238" s="79"/>
      <c r="BD238" s="79"/>
      <c r="BE238" s="79"/>
      <c r="BF238" s="79"/>
      <c r="BG238" s="79"/>
      <c r="BH238" s="79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BX238" s="79"/>
      <c r="BY238" s="79"/>
      <c r="BZ238" s="79"/>
      <c r="CA238" s="79"/>
      <c r="CB238" s="79"/>
      <c r="CC238" s="79"/>
      <c r="CD238" s="79"/>
      <c r="CE238" s="79"/>
      <c r="CF238" s="79"/>
      <c r="CG238" s="79"/>
      <c r="CH238" s="79"/>
      <c r="CI238" s="79"/>
      <c r="CJ238" s="79"/>
      <c r="CK238" s="79"/>
      <c r="CL238" s="79"/>
      <c r="CM238" s="79"/>
      <c r="CN238" s="79"/>
      <c r="CO238" s="79"/>
      <c r="CP238" s="79"/>
      <c r="CQ238" s="79"/>
      <c r="CR238" s="79"/>
      <c r="CS238" s="79"/>
      <c r="CT238" s="79"/>
      <c r="CU238" s="79"/>
      <c r="CV238" s="79"/>
      <c r="CW238" s="79"/>
      <c r="CX238" s="79"/>
      <c r="CY238" s="79"/>
      <c r="CZ238" s="79"/>
      <c r="DA238" s="79"/>
      <c r="DB238" s="79"/>
      <c r="DC238" s="79"/>
      <c r="DD238" s="79"/>
      <c r="DE238" s="79"/>
      <c r="DF238" s="79"/>
      <c r="DG238" s="79"/>
      <c r="DH238" s="79"/>
      <c r="DI238" s="79"/>
      <c r="DJ238" s="79"/>
      <c r="DK238" s="79"/>
      <c r="DL238" s="79"/>
      <c r="DM238" s="79"/>
      <c r="DN238" s="79"/>
      <c r="DO238" s="79"/>
      <c r="DP238" s="79"/>
      <c r="DQ238" s="79"/>
      <c r="DR238" s="79"/>
      <c r="DS238" s="79"/>
      <c r="DT238" s="79"/>
      <c r="DU238" s="79"/>
      <c r="DV238" s="79"/>
      <c r="DW238" s="79"/>
      <c r="DX238" s="79"/>
      <c r="DY238" s="79"/>
      <c r="DZ238" s="79"/>
      <c r="EA238" s="79"/>
      <c r="EB238" s="79"/>
      <c r="EC238" s="79"/>
      <c r="ED238" s="79"/>
      <c r="EE238" s="79"/>
      <c r="EF238" s="79"/>
      <c r="EG238" s="79"/>
      <c r="EH238" s="79"/>
      <c r="EI238" s="79"/>
      <c r="EJ238" s="79"/>
      <c r="EK238" s="79"/>
      <c r="EL238" s="79"/>
      <c r="EM238" s="79"/>
      <c r="EN238" s="79"/>
      <c r="EO238" s="79"/>
      <c r="EP238" s="79"/>
      <c r="EQ238" s="79"/>
      <c r="ER238" s="79"/>
      <c r="ES238" s="79"/>
      <c r="ET238" s="79"/>
      <c r="EU238" s="79"/>
      <c r="EV238" s="79"/>
      <c r="EW238" s="79"/>
      <c r="EX238" s="79"/>
      <c r="EY238" s="79"/>
      <c r="EZ238" s="79"/>
      <c r="FA238" s="79"/>
      <c r="FB238" s="79"/>
      <c r="FC238" s="79"/>
      <c r="FD238" s="79"/>
      <c r="FE238" s="79"/>
      <c r="FF238" s="79"/>
      <c r="FG238" s="79"/>
      <c r="FH238" s="79"/>
      <c r="FI238" s="79"/>
      <c r="FJ238" s="79"/>
      <c r="FK238" s="79"/>
      <c r="FL238" s="79"/>
      <c r="FM238" s="79"/>
      <c r="FN238" s="79"/>
      <c r="FO238" s="79"/>
      <c r="FP238" s="79"/>
      <c r="FQ238" s="79"/>
      <c r="FR238" s="79"/>
      <c r="FS238" s="79"/>
      <c r="FT238" s="79"/>
      <c r="FU238" s="79"/>
      <c r="FV238" s="79"/>
      <c r="FW238" s="79"/>
      <c r="FX238" s="79"/>
      <c r="FY238" s="79"/>
      <c r="FZ238" s="79"/>
      <c r="GA238" s="79"/>
      <c r="GB238" s="79"/>
      <c r="GC238" s="79"/>
      <c r="GD238" s="79"/>
      <c r="GE238" s="79"/>
      <c r="GF238" s="79"/>
      <c r="GG238" s="79"/>
      <c r="GH238" s="79"/>
    </row>
    <row r="239" spans="1:190" ht="14.25" x14ac:dyDescent="0.2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  <c r="AJ239" s="79"/>
      <c r="AK239" s="79"/>
      <c r="AL239" s="79"/>
      <c r="AM239" s="79"/>
      <c r="AN239" s="79"/>
      <c r="AO239" s="79"/>
      <c r="AP239" s="79"/>
      <c r="AQ239" s="79"/>
      <c r="AR239" s="79"/>
      <c r="AS239" s="79"/>
      <c r="AT239" s="79"/>
      <c r="AU239" s="79"/>
      <c r="AV239" s="79"/>
      <c r="AW239" s="79"/>
      <c r="AX239" s="79"/>
      <c r="AY239" s="79"/>
      <c r="AZ239" s="79"/>
      <c r="BA239" s="79"/>
      <c r="BB239" s="79"/>
      <c r="BC239" s="79"/>
      <c r="BD239" s="79"/>
      <c r="BE239" s="79"/>
      <c r="BF239" s="79"/>
      <c r="BG239" s="79"/>
      <c r="BH239" s="79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BX239" s="79"/>
      <c r="BY239" s="79"/>
      <c r="BZ239" s="79"/>
      <c r="CA239" s="79"/>
      <c r="CB239" s="79"/>
      <c r="CC239" s="79"/>
      <c r="CD239" s="79"/>
      <c r="CE239" s="79"/>
      <c r="CF239" s="79"/>
      <c r="CG239" s="79"/>
      <c r="CH239" s="79"/>
      <c r="CI239" s="79"/>
      <c r="CJ239" s="79"/>
      <c r="CK239" s="79"/>
      <c r="CL239" s="79"/>
      <c r="CM239" s="79"/>
      <c r="CN239" s="79"/>
      <c r="CO239" s="79"/>
      <c r="CP239" s="79"/>
      <c r="CQ239" s="79"/>
      <c r="CR239" s="79"/>
      <c r="CS239" s="79"/>
      <c r="CT239" s="79"/>
      <c r="CU239" s="79"/>
      <c r="CV239" s="79"/>
      <c r="CW239" s="79"/>
      <c r="CX239" s="79"/>
      <c r="CY239" s="79"/>
      <c r="CZ239" s="79"/>
      <c r="DA239" s="79"/>
      <c r="DB239" s="79"/>
      <c r="DC239" s="79"/>
      <c r="DD239" s="79"/>
      <c r="DE239" s="79"/>
      <c r="DF239" s="79"/>
      <c r="DG239" s="79"/>
      <c r="DH239" s="79"/>
      <c r="DI239" s="79"/>
      <c r="DJ239" s="79"/>
      <c r="DK239" s="79"/>
      <c r="DL239" s="79"/>
      <c r="DM239" s="79"/>
      <c r="DN239" s="79"/>
      <c r="DO239" s="79"/>
      <c r="DP239" s="79"/>
      <c r="DQ239" s="79"/>
      <c r="DR239" s="79"/>
      <c r="DS239" s="79"/>
      <c r="DT239" s="79"/>
      <c r="DU239" s="79"/>
      <c r="DV239" s="79"/>
      <c r="DW239" s="79"/>
      <c r="DX239" s="79"/>
      <c r="DY239" s="79"/>
      <c r="DZ239" s="79"/>
      <c r="EA239" s="79"/>
      <c r="EB239" s="79"/>
      <c r="EC239" s="79"/>
      <c r="ED239" s="79"/>
      <c r="EE239" s="79"/>
      <c r="EF239" s="79"/>
      <c r="EG239" s="79"/>
      <c r="EH239" s="79"/>
      <c r="EI239" s="79"/>
      <c r="EJ239" s="79"/>
      <c r="EK239" s="79"/>
      <c r="EL239" s="79"/>
      <c r="EM239" s="79"/>
      <c r="EN239" s="79"/>
      <c r="EO239" s="79"/>
      <c r="EP239" s="79"/>
      <c r="EQ239" s="79"/>
      <c r="ER239" s="79"/>
      <c r="ES239" s="79"/>
      <c r="ET239" s="79"/>
      <c r="EU239" s="79"/>
      <c r="EV239" s="79"/>
      <c r="EW239" s="79"/>
      <c r="EX239" s="79"/>
      <c r="EY239" s="79"/>
      <c r="EZ239" s="79"/>
      <c r="FA239" s="79"/>
      <c r="FB239" s="79"/>
      <c r="FC239" s="79"/>
      <c r="FD239" s="79"/>
      <c r="FE239" s="79"/>
      <c r="FF239" s="79"/>
      <c r="FG239" s="79"/>
      <c r="FH239" s="79"/>
      <c r="FI239" s="79"/>
      <c r="FJ239" s="79"/>
      <c r="FK239" s="79"/>
      <c r="FL239" s="79"/>
      <c r="FM239" s="79"/>
      <c r="FN239" s="79"/>
      <c r="FO239" s="79"/>
      <c r="FP239" s="79"/>
      <c r="FQ239" s="79"/>
      <c r="FR239" s="79"/>
      <c r="FS239" s="79"/>
      <c r="FT239" s="79"/>
      <c r="FU239" s="79"/>
      <c r="FV239" s="79"/>
      <c r="FW239" s="79"/>
      <c r="FX239" s="79"/>
      <c r="FY239" s="79"/>
      <c r="FZ239" s="79"/>
      <c r="GA239" s="79"/>
      <c r="GB239" s="79"/>
      <c r="GC239" s="79"/>
      <c r="GD239" s="79"/>
      <c r="GE239" s="79"/>
      <c r="GF239" s="79"/>
      <c r="GG239" s="79"/>
      <c r="GH239" s="79"/>
    </row>
    <row r="240" spans="1:190" ht="14.25" x14ac:dyDescent="0.2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  <c r="AJ240" s="79"/>
      <c r="AK240" s="79"/>
      <c r="AL240" s="79"/>
      <c r="AM240" s="79"/>
      <c r="AN240" s="79"/>
      <c r="AO240" s="79"/>
      <c r="AP240" s="79"/>
      <c r="AQ240" s="79"/>
      <c r="AR240" s="79"/>
      <c r="AS240" s="79"/>
      <c r="AT240" s="79"/>
      <c r="AU240" s="79"/>
      <c r="AV240" s="79"/>
      <c r="AW240" s="79"/>
      <c r="AX240" s="79"/>
      <c r="AY240" s="79"/>
      <c r="AZ240" s="79"/>
      <c r="BA240" s="79"/>
      <c r="BB240" s="79"/>
      <c r="BC240" s="79"/>
      <c r="BD240" s="79"/>
      <c r="BE240" s="79"/>
      <c r="BF240" s="79"/>
      <c r="BG240" s="79"/>
      <c r="BH240" s="79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BX240" s="79"/>
      <c r="BY240" s="79"/>
      <c r="BZ240" s="79"/>
      <c r="CA240" s="79"/>
      <c r="CB240" s="79"/>
      <c r="CC240" s="79"/>
      <c r="CD240" s="79"/>
      <c r="CE240" s="79"/>
      <c r="CF240" s="79"/>
      <c r="CG240" s="79"/>
      <c r="CH240" s="79"/>
      <c r="CI240" s="79"/>
      <c r="CJ240" s="79"/>
      <c r="CK240" s="79"/>
      <c r="CL240" s="79"/>
      <c r="CM240" s="79"/>
      <c r="CN240" s="79"/>
      <c r="CO240" s="79"/>
      <c r="CP240" s="79"/>
      <c r="CQ240" s="79"/>
      <c r="CR240" s="79"/>
      <c r="CS240" s="79"/>
      <c r="CT240" s="79"/>
      <c r="CU240" s="79"/>
      <c r="CV240" s="79"/>
      <c r="CW240" s="79"/>
      <c r="CX240" s="79"/>
      <c r="CY240" s="79"/>
      <c r="CZ240" s="79"/>
      <c r="DA240" s="79"/>
      <c r="DB240" s="79"/>
      <c r="DC240" s="79"/>
      <c r="DD240" s="79"/>
      <c r="DE240" s="79"/>
      <c r="DF240" s="79"/>
      <c r="DG240" s="79"/>
      <c r="DH240" s="79"/>
      <c r="DI240" s="79"/>
      <c r="DJ240" s="79"/>
      <c r="DK240" s="79"/>
      <c r="DL240" s="79"/>
      <c r="DM240" s="79"/>
      <c r="DN240" s="79"/>
      <c r="DO240" s="79"/>
      <c r="DP240" s="79"/>
      <c r="DQ240" s="79"/>
      <c r="DR240" s="79"/>
      <c r="DS240" s="79"/>
      <c r="DT240" s="79"/>
      <c r="DU240" s="79"/>
      <c r="DV240" s="79"/>
      <c r="DW240" s="79"/>
      <c r="DX240" s="79"/>
      <c r="DY240" s="79"/>
      <c r="DZ240" s="79"/>
      <c r="EA240" s="79"/>
      <c r="EB240" s="79"/>
      <c r="EC240" s="79"/>
      <c r="ED240" s="79"/>
      <c r="EE240" s="79"/>
      <c r="EF240" s="79"/>
      <c r="EG240" s="79"/>
      <c r="EH240" s="79"/>
      <c r="EI240" s="79"/>
      <c r="EJ240" s="79"/>
      <c r="EK240" s="79"/>
      <c r="EL240" s="79"/>
      <c r="EM240" s="79"/>
      <c r="EN240" s="79"/>
      <c r="EO240" s="79"/>
      <c r="EP240" s="79"/>
      <c r="EQ240" s="79"/>
      <c r="ER240" s="79"/>
      <c r="ES240" s="79"/>
      <c r="ET240" s="79"/>
      <c r="EU240" s="79"/>
      <c r="EV240" s="79"/>
      <c r="EW240" s="79"/>
      <c r="EX240" s="79"/>
      <c r="EY240" s="79"/>
      <c r="EZ240" s="79"/>
      <c r="FA240" s="79"/>
      <c r="FB240" s="79"/>
      <c r="FC240" s="79"/>
      <c r="FD240" s="79"/>
      <c r="FE240" s="79"/>
      <c r="FF240" s="79"/>
      <c r="FG240" s="79"/>
      <c r="FH240" s="79"/>
      <c r="FI240" s="79"/>
      <c r="FJ240" s="79"/>
      <c r="FK240" s="79"/>
      <c r="FL240" s="79"/>
      <c r="FM240" s="79"/>
      <c r="FN240" s="79"/>
      <c r="FO240" s="79"/>
      <c r="FP240" s="79"/>
      <c r="FQ240" s="79"/>
      <c r="FR240" s="79"/>
      <c r="FS240" s="79"/>
      <c r="FT240" s="79"/>
      <c r="FU240" s="79"/>
      <c r="FV240" s="79"/>
      <c r="FW240" s="79"/>
      <c r="FX240" s="79"/>
      <c r="FY240" s="79"/>
      <c r="FZ240" s="79"/>
      <c r="GA240" s="79"/>
      <c r="GB240" s="79"/>
      <c r="GC240" s="79"/>
      <c r="GD240" s="79"/>
      <c r="GE240" s="79"/>
      <c r="GF240" s="79"/>
      <c r="GG240" s="79"/>
      <c r="GH240" s="79"/>
    </row>
    <row r="241" spans="1:190" ht="14.25" x14ac:dyDescent="0.2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9"/>
      <c r="AU241" s="79"/>
      <c r="AV241" s="79"/>
      <c r="AW241" s="79"/>
      <c r="AX241" s="79"/>
      <c r="AY241" s="79"/>
      <c r="AZ241" s="79"/>
      <c r="BA241" s="79"/>
      <c r="BB241" s="79"/>
      <c r="BC241" s="79"/>
      <c r="BD241" s="79"/>
      <c r="BE241" s="79"/>
      <c r="BF241" s="79"/>
      <c r="BG241" s="79"/>
      <c r="BH241" s="79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BX241" s="79"/>
      <c r="BY241" s="79"/>
      <c r="BZ241" s="79"/>
      <c r="CA241" s="79"/>
      <c r="CB241" s="79"/>
      <c r="CC241" s="79"/>
      <c r="CD241" s="79"/>
      <c r="CE241" s="79"/>
      <c r="CF241" s="79"/>
      <c r="CG241" s="79"/>
      <c r="CH241" s="79"/>
      <c r="CI241" s="79"/>
      <c r="CJ241" s="79"/>
      <c r="CK241" s="79"/>
      <c r="CL241" s="79"/>
      <c r="CM241" s="79"/>
      <c r="CN241" s="79"/>
      <c r="CO241" s="79"/>
      <c r="CP241" s="79"/>
      <c r="CQ241" s="79"/>
      <c r="CR241" s="79"/>
      <c r="CS241" s="79"/>
      <c r="CT241" s="79"/>
      <c r="CU241" s="79"/>
      <c r="CV241" s="79"/>
      <c r="CW241" s="79"/>
      <c r="CX241" s="79"/>
      <c r="CY241" s="79"/>
      <c r="CZ241" s="79"/>
      <c r="DA241" s="79"/>
      <c r="DB241" s="79"/>
      <c r="DC241" s="79"/>
      <c r="DD241" s="79"/>
      <c r="DE241" s="79"/>
      <c r="DF241" s="79"/>
      <c r="DG241" s="79"/>
      <c r="DH241" s="79"/>
      <c r="DI241" s="79"/>
      <c r="DJ241" s="79"/>
      <c r="DK241" s="79"/>
      <c r="DL241" s="79"/>
      <c r="DM241" s="79"/>
      <c r="DN241" s="79"/>
      <c r="DO241" s="79"/>
      <c r="DP241" s="79"/>
      <c r="DQ241" s="79"/>
      <c r="DR241" s="79"/>
      <c r="DS241" s="79"/>
      <c r="DT241" s="79"/>
      <c r="DU241" s="79"/>
      <c r="DV241" s="79"/>
      <c r="DW241" s="79"/>
      <c r="DX241" s="79"/>
      <c r="DY241" s="79"/>
      <c r="DZ241" s="79"/>
      <c r="EA241" s="79"/>
      <c r="EB241" s="79"/>
      <c r="EC241" s="79"/>
      <c r="ED241" s="79"/>
      <c r="EE241" s="79"/>
      <c r="EF241" s="79"/>
      <c r="EG241" s="79"/>
      <c r="EH241" s="79"/>
      <c r="EI241" s="79"/>
      <c r="EJ241" s="79"/>
      <c r="EK241" s="79"/>
      <c r="EL241" s="79"/>
      <c r="EM241" s="79"/>
      <c r="EN241" s="79"/>
      <c r="EO241" s="79"/>
      <c r="EP241" s="79"/>
      <c r="EQ241" s="79"/>
      <c r="ER241" s="79"/>
      <c r="ES241" s="79"/>
      <c r="ET241" s="79"/>
      <c r="EU241" s="79"/>
      <c r="EV241" s="79"/>
      <c r="EW241" s="79"/>
      <c r="EX241" s="79"/>
      <c r="EY241" s="79"/>
      <c r="EZ241" s="79"/>
      <c r="FA241" s="79"/>
      <c r="FB241" s="79"/>
      <c r="FC241" s="79"/>
      <c r="FD241" s="79"/>
      <c r="FE241" s="79"/>
      <c r="FF241" s="79"/>
      <c r="FG241" s="79"/>
      <c r="FH241" s="79"/>
      <c r="FI241" s="79"/>
      <c r="FJ241" s="79"/>
      <c r="FK241" s="79"/>
      <c r="FL241" s="79"/>
      <c r="FM241" s="79"/>
      <c r="FN241" s="79"/>
      <c r="FO241" s="79"/>
      <c r="FP241" s="79"/>
      <c r="FQ241" s="79"/>
      <c r="FR241" s="79"/>
      <c r="FS241" s="79"/>
      <c r="FT241" s="79"/>
      <c r="FU241" s="79"/>
      <c r="FV241" s="79"/>
      <c r="FW241" s="79"/>
      <c r="FX241" s="79"/>
      <c r="FY241" s="79"/>
      <c r="FZ241" s="79"/>
      <c r="GA241" s="79"/>
      <c r="GB241" s="79"/>
      <c r="GC241" s="79"/>
      <c r="GD241" s="79"/>
      <c r="GE241" s="79"/>
      <c r="GF241" s="79"/>
      <c r="GG241" s="79"/>
      <c r="GH241" s="79"/>
    </row>
    <row r="242" spans="1:190" ht="14.25" x14ac:dyDescent="0.2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79"/>
      <c r="AU242" s="79"/>
      <c r="AV242" s="79"/>
      <c r="AW242" s="79"/>
      <c r="AX242" s="79"/>
      <c r="AY242" s="79"/>
      <c r="AZ242" s="79"/>
      <c r="BA242" s="79"/>
      <c r="BB242" s="79"/>
      <c r="BC242" s="79"/>
      <c r="BD242" s="79"/>
      <c r="BE242" s="79"/>
      <c r="BF242" s="79"/>
      <c r="BG242" s="79"/>
      <c r="BH242" s="79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  <c r="CC242" s="79"/>
      <c r="CD242" s="79"/>
      <c r="CE242" s="79"/>
      <c r="CF242" s="79"/>
      <c r="CG242" s="79"/>
      <c r="CH242" s="79"/>
      <c r="CI242" s="79"/>
      <c r="CJ242" s="79"/>
      <c r="CK242" s="79"/>
      <c r="CL242" s="79"/>
      <c r="CM242" s="79"/>
      <c r="CN242" s="79"/>
      <c r="CO242" s="79"/>
      <c r="CP242" s="79"/>
      <c r="CQ242" s="79"/>
      <c r="CR242" s="79"/>
      <c r="CS242" s="79"/>
      <c r="CT242" s="79"/>
      <c r="CU242" s="79"/>
      <c r="CV242" s="79"/>
      <c r="CW242" s="79"/>
      <c r="CX242" s="79"/>
      <c r="CY242" s="79"/>
      <c r="CZ242" s="79"/>
      <c r="DA242" s="79"/>
      <c r="DB242" s="79"/>
      <c r="DC242" s="79"/>
      <c r="DD242" s="79"/>
      <c r="DE242" s="79"/>
      <c r="DF242" s="79"/>
      <c r="DG242" s="79"/>
      <c r="DH242" s="79"/>
      <c r="DI242" s="79"/>
      <c r="DJ242" s="79"/>
      <c r="DK242" s="79"/>
      <c r="DL242" s="79"/>
      <c r="DM242" s="79"/>
      <c r="DN242" s="79"/>
      <c r="DO242" s="79"/>
      <c r="DP242" s="79"/>
      <c r="DQ242" s="79"/>
      <c r="DR242" s="79"/>
      <c r="DS242" s="79"/>
      <c r="DT242" s="79"/>
      <c r="DU242" s="79"/>
      <c r="DV242" s="79"/>
      <c r="DW242" s="79"/>
      <c r="DX242" s="79"/>
      <c r="DY242" s="79"/>
      <c r="DZ242" s="79"/>
      <c r="EA242" s="79"/>
      <c r="EB242" s="79"/>
      <c r="EC242" s="79"/>
      <c r="ED242" s="79"/>
      <c r="EE242" s="79"/>
      <c r="EF242" s="79"/>
      <c r="EG242" s="79"/>
      <c r="EH242" s="79"/>
      <c r="EI242" s="79"/>
      <c r="EJ242" s="79"/>
      <c r="EK242" s="79"/>
      <c r="EL242" s="79"/>
      <c r="EM242" s="79"/>
      <c r="EN242" s="79"/>
      <c r="EO242" s="79"/>
      <c r="EP242" s="79"/>
      <c r="EQ242" s="79"/>
      <c r="ER242" s="79"/>
      <c r="ES242" s="79"/>
      <c r="ET242" s="79"/>
      <c r="EU242" s="79"/>
      <c r="EV242" s="79"/>
      <c r="EW242" s="79"/>
      <c r="EX242" s="79"/>
      <c r="EY242" s="79"/>
      <c r="EZ242" s="79"/>
      <c r="FA242" s="79"/>
      <c r="FB242" s="79"/>
      <c r="FC242" s="79"/>
      <c r="FD242" s="79"/>
      <c r="FE242" s="79"/>
      <c r="FF242" s="79"/>
      <c r="FG242" s="79"/>
      <c r="FH242" s="79"/>
      <c r="FI242" s="79"/>
      <c r="FJ242" s="79"/>
      <c r="FK242" s="79"/>
      <c r="FL242" s="79"/>
      <c r="FM242" s="79"/>
      <c r="FN242" s="79"/>
      <c r="FO242" s="79"/>
      <c r="FP242" s="79"/>
      <c r="FQ242" s="79"/>
      <c r="FR242" s="79"/>
      <c r="FS242" s="79"/>
      <c r="FT242" s="79"/>
      <c r="FU242" s="79"/>
      <c r="FV242" s="79"/>
      <c r="FW242" s="79"/>
      <c r="FX242" s="79"/>
      <c r="FY242" s="79"/>
      <c r="FZ242" s="79"/>
      <c r="GA242" s="79"/>
      <c r="GB242" s="79"/>
      <c r="GC242" s="79"/>
      <c r="GD242" s="79"/>
      <c r="GE242" s="79"/>
      <c r="GF242" s="79"/>
      <c r="GG242" s="79"/>
      <c r="GH242" s="79"/>
    </row>
    <row r="243" spans="1:190" ht="14.25" x14ac:dyDescent="0.2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79"/>
      <c r="AU243" s="79"/>
      <c r="AV243" s="79"/>
      <c r="AW243" s="79"/>
      <c r="AX243" s="79"/>
      <c r="AY243" s="79"/>
      <c r="AZ243" s="79"/>
      <c r="BA243" s="79"/>
      <c r="BB243" s="79"/>
      <c r="BC243" s="79"/>
      <c r="BD243" s="79"/>
      <c r="BE243" s="79"/>
      <c r="BF243" s="79"/>
      <c r="BG243" s="79"/>
      <c r="BH243" s="79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  <c r="CC243" s="79"/>
      <c r="CD243" s="79"/>
      <c r="CE243" s="79"/>
      <c r="CF243" s="79"/>
      <c r="CG243" s="79"/>
      <c r="CH243" s="79"/>
      <c r="CI243" s="79"/>
      <c r="CJ243" s="79"/>
      <c r="CK243" s="79"/>
      <c r="CL243" s="79"/>
      <c r="CM243" s="79"/>
      <c r="CN243" s="79"/>
      <c r="CO243" s="79"/>
      <c r="CP243" s="79"/>
      <c r="CQ243" s="79"/>
      <c r="CR243" s="79"/>
      <c r="CS243" s="79"/>
      <c r="CT243" s="79"/>
      <c r="CU243" s="79"/>
      <c r="CV243" s="79"/>
      <c r="CW243" s="79"/>
      <c r="CX243" s="79"/>
      <c r="CY243" s="79"/>
      <c r="CZ243" s="79"/>
      <c r="DA243" s="79"/>
      <c r="DB243" s="79"/>
      <c r="DC243" s="79"/>
      <c r="DD243" s="79"/>
      <c r="DE243" s="79"/>
      <c r="DF243" s="79"/>
      <c r="DG243" s="79"/>
      <c r="DH243" s="79"/>
      <c r="DI243" s="79"/>
      <c r="DJ243" s="79"/>
      <c r="DK243" s="79"/>
      <c r="DL243" s="79"/>
      <c r="DM243" s="79"/>
      <c r="DN243" s="79"/>
      <c r="DO243" s="79"/>
      <c r="DP243" s="79"/>
      <c r="DQ243" s="79"/>
      <c r="DR243" s="79"/>
      <c r="DS243" s="79"/>
      <c r="DT243" s="79"/>
      <c r="DU243" s="79"/>
      <c r="DV243" s="79"/>
      <c r="DW243" s="79"/>
      <c r="DX243" s="79"/>
      <c r="DY243" s="79"/>
      <c r="DZ243" s="79"/>
      <c r="EA243" s="79"/>
      <c r="EB243" s="79"/>
      <c r="EC243" s="79"/>
      <c r="ED243" s="79"/>
      <c r="EE243" s="79"/>
      <c r="EF243" s="79"/>
      <c r="EG243" s="79"/>
      <c r="EH243" s="79"/>
      <c r="EI243" s="79"/>
      <c r="EJ243" s="79"/>
      <c r="EK243" s="79"/>
      <c r="EL243" s="79"/>
      <c r="EM243" s="79"/>
      <c r="EN243" s="79"/>
      <c r="EO243" s="79"/>
      <c r="EP243" s="79"/>
      <c r="EQ243" s="79"/>
      <c r="ER243" s="79"/>
      <c r="ES243" s="79"/>
      <c r="ET243" s="79"/>
      <c r="EU243" s="79"/>
      <c r="EV243" s="79"/>
      <c r="EW243" s="79"/>
      <c r="EX243" s="79"/>
      <c r="EY243" s="79"/>
      <c r="EZ243" s="79"/>
      <c r="FA243" s="79"/>
      <c r="FB243" s="79"/>
      <c r="FC243" s="79"/>
      <c r="FD243" s="79"/>
      <c r="FE243" s="79"/>
      <c r="FF243" s="79"/>
      <c r="FG243" s="79"/>
      <c r="FH243" s="79"/>
      <c r="FI243" s="79"/>
      <c r="FJ243" s="79"/>
      <c r="FK243" s="79"/>
      <c r="FL243" s="79"/>
      <c r="FM243" s="79"/>
      <c r="FN243" s="79"/>
      <c r="FO243" s="79"/>
      <c r="FP243" s="79"/>
      <c r="FQ243" s="79"/>
      <c r="FR243" s="79"/>
      <c r="FS243" s="79"/>
      <c r="FT243" s="79"/>
      <c r="FU243" s="79"/>
      <c r="FV243" s="79"/>
      <c r="FW243" s="79"/>
      <c r="FX243" s="79"/>
      <c r="FY243" s="79"/>
      <c r="FZ243" s="79"/>
      <c r="GA243" s="79"/>
      <c r="GB243" s="79"/>
      <c r="GC243" s="79"/>
      <c r="GD243" s="79"/>
      <c r="GE243" s="79"/>
      <c r="GF243" s="79"/>
      <c r="GG243" s="79"/>
      <c r="GH243" s="79"/>
    </row>
    <row r="244" spans="1:190" ht="14.25" x14ac:dyDescent="0.2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9"/>
      <c r="AU244" s="79"/>
      <c r="AV244" s="79"/>
      <c r="AW244" s="79"/>
      <c r="AX244" s="79"/>
      <c r="AY244" s="79"/>
      <c r="AZ244" s="79"/>
      <c r="BA244" s="79"/>
      <c r="BB244" s="79"/>
      <c r="BC244" s="79"/>
      <c r="BD244" s="79"/>
      <c r="BE244" s="79"/>
      <c r="BF244" s="79"/>
      <c r="BG244" s="79"/>
      <c r="BH244" s="79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  <c r="CC244" s="79"/>
      <c r="CD244" s="79"/>
      <c r="CE244" s="79"/>
      <c r="CF244" s="79"/>
      <c r="CG244" s="79"/>
      <c r="CH244" s="79"/>
      <c r="CI244" s="79"/>
      <c r="CJ244" s="79"/>
      <c r="CK244" s="79"/>
      <c r="CL244" s="79"/>
      <c r="CM244" s="79"/>
      <c r="CN244" s="79"/>
      <c r="CO244" s="79"/>
      <c r="CP244" s="79"/>
      <c r="CQ244" s="79"/>
      <c r="CR244" s="79"/>
      <c r="CS244" s="79"/>
      <c r="CT244" s="79"/>
      <c r="CU244" s="79"/>
      <c r="CV244" s="79"/>
      <c r="CW244" s="79"/>
      <c r="CX244" s="79"/>
      <c r="CY244" s="79"/>
      <c r="CZ244" s="79"/>
      <c r="DA244" s="79"/>
      <c r="DB244" s="79"/>
      <c r="DC244" s="79"/>
      <c r="DD244" s="79"/>
      <c r="DE244" s="79"/>
      <c r="DF244" s="79"/>
      <c r="DG244" s="79"/>
      <c r="DH244" s="79"/>
      <c r="DI244" s="79"/>
      <c r="DJ244" s="79"/>
      <c r="DK244" s="79"/>
      <c r="DL244" s="79"/>
      <c r="DM244" s="79"/>
      <c r="DN244" s="79"/>
      <c r="DO244" s="79"/>
      <c r="DP244" s="79"/>
      <c r="DQ244" s="79"/>
      <c r="DR244" s="79"/>
      <c r="DS244" s="79"/>
      <c r="DT244" s="79"/>
      <c r="DU244" s="79"/>
      <c r="DV244" s="79"/>
      <c r="DW244" s="79"/>
      <c r="DX244" s="79"/>
      <c r="DY244" s="79"/>
      <c r="DZ244" s="79"/>
      <c r="EA244" s="79"/>
      <c r="EB244" s="79"/>
      <c r="EC244" s="79"/>
      <c r="ED244" s="79"/>
      <c r="EE244" s="79"/>
      <c r="EF244" s="79"/>
      <c r="EG244" s="79"/>
      <c r="EH244" s="79"/>
      <c r="EI244" s="79"/>
      <c r="EJ244" s="79"/>
      <c r="EK244" s="79"/>
      <c r="EL244" s="79"/>
      <c r="EM244" s="79"/>
      <c r="EN244" s="79"/>
      <c r="EO244" s="79"/>
      <c r="EP244" s="79"/>
      <c r="EQ244" s="79"/>
      <c r="ER244" s="79"/>
      <c r="ES244" s="79"/>
      <c r="ET244" s="79"/>
      <c r="EU244" s="79"/>
      <c r="EV244" s="79"/>
      <c r="EW244" s="79"/>
      <c r="EX244" s="79"/>
      <c r="EY244" s="79"/>
      <c r="EZ244" s="79"/>
      <c r="FA244" s="79"/>
      <c r="FB244" s="79"/>
      <c r="FC244" s="79"/>
      <c r="FD244" s="79"/>
      <c r="FE244" s="79"/>
      <c r="FF244" s="79"/>
      <c r="FG244" s="79"/>
      <c r="FH244" s="79"/>
      <c r="FI244" s="79"/>
      <c r="FJ244" s="79"/>
      <c r="FK244" s="79"/>
      <c r="FL244" s="79"/>
      <c r="FM244" s="79"/>
      <c r="FN244" s="79"/>
      <c r="FO244" s="79"/>
      <c r="FP244" s="79"/>
      <c r="FQ244" s="79"/>
      <c r="FR244" s="79"/>
      <c r="FS244" s="79"/>
      <c r="FT244" s="79"/>
      <c r="FU244" s="79"/>
      <c r="FV244" s="79"/>
      <c r="FW244" s="79"/>
      <c r="FX244" s="79"/>
      <c r="FY244" s="79"/>
      <c r="FZ244" s="79"/>
      <c r="GA244" s="79"/>
      <c r="GB244" s="79"/>
      <c r="GC244" s="79"/>
      <c r="GD244" s="79"/>
      <c r="GE244" s="79"/>
      <c r="GF244" s="79"/>
      <c r="GG244" s="79"/>
      <c r="GH244" s="79"/>
    </row>
    <row r="245" spans="1:190" ht="14.25" x14ac:dyDescent="0.2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9"/>
      <c r="AU245" s="79"/>
      <c r="AV245" s="79"/>
      <c r="AW245" s="79"/>
      <c r="AX245" s="79"/>
      <c r="AY245" s="79"/>
      <c r="AZ245" s="79"/>
      <c r="BA245" s="79"/>
      <c r="BB245" s="79"/>
      <c r="BC245" s="79"/>
      <c r="BD245" s="79"/>
      <c r="BE245" s="79"/>
      <c r="BF245" s="79"/>
      <c r="BG245" s="79"/>
      <c r="BH245" s="79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  <c r="CC245" s="79"/>
      <c r="CD245" s="79"/>
      <c r="CE245" s="79"/>
      <c r="CF245" s="79"/>
      <c r="CG245" s="79"/>
      <c r="CH245" s="79"/>
      <c r="CI245" s="79"/>
      <c r="CJ245" s="79"/>
      <c r="CK245" s="79"/>
      <c r="CL245" s="79"/>
      <c r="CM245" s="79"/>
      <c r="CN245" s="79"/>
      <c r="CO245" s="79"/>
      <c r="CP245" s="79"/>
      <c r="CQ245" s="79"/>
      <c r="CR245" s="79"/>
      <c r="CS245" s="79"/>
      <c r="CT245" s="79"/>
      <c r="CU245" s="79"/>
      <c r="CV245" s="79"/>
      <c r="CW245" s="79"/>
      <c r="CX245" s="79"/>
      <c r="CY245" s="79"/>
      <c r="CZ245" s="79"/>
      <c r="DA245" s="79"/>
      <c r="DB245" s="79"/>
      <c r="DC245" s="79"/>
      <c r="DD245" s="79"/>
      <c r="DE245" s="79"/>
      <c r="DF245" s="79"/>
      <c r="DG245" s="79"/>
      <c r="DH245" s="79"/>
      <c r="DI245" s="79"/>
      <c r="DJ245" s="79"/>
      <c r="DK245" s="79"/>
      <c r="DL245" s="79"/>
      <c r="DM245" s="79"/>
      <c r="DN245" s="79"/>
      <c r="DO245" s="79"/>
      <c r="DP245" s="79"/>
      <c r="DQ245" s="79"/>
      <c r="DR245" s="79"/>
      <c r="DS245" s="79"/>
      <c r="DT245" s="79"/>
      <c r="DU245" s="79"/>
      <c r="DV245" s="79"/>
      <c r="DW245" s="79"/>
      <c r="DX245" s="79"/>
      <c r="DY245" s="79"/>
      <c r="DZ245" s="79"/>
      <c r="EA245" s="79"/>
      <c r="EB245" s="79"/>
      <c r="EC245" s="79"/>
      <c r="ED245" s="79"/>
      <c r="EE245" s="79"/>
      <c r="EF245" s="79"/>
      <c r="EG245" s="79"/>
      <c r="EH245" s="79"/>
      <c r="EI245" s="79"/>
      <c r="EJ245" s="79"/>
      <c r="EK245" s="79"/>
      <c r="EL245" s="79"/>
      <c r="EM245" s="79"/>
      <c r="EN245" s="79"/>
      <c r="EO245" s="79"/>
      <c r="EP245" s="79"/>
      <c r="EQ245" s="79"/>
      <c r="ER245" s="79"/>
      <c r="ES245" s="79"/>
      <c r="ET245" s="79"/>
      <c r="EU245" s="79"/>
      <c r="EV245" s="79"/>
      <c r="EW245" s="79"/>
      <c r="EX245" s="79"/>
      <c r="EY245" s="79"/>
      <c r="EZ245" s="79"/>
      <c r="FA245" s="79"/>
      <c r="FB245" s="79"/>
      <c r="FC245" s="79"/>
      <c r="FD245" s="79"/>
      <c r="FE245" s="79"/>
      <c r="FF245" s="79"/>
      <c r="FG245" s="79"/>
      <c r="FH245" s="79"/>
      <c r="FI245" s="79"/>
      <c r="FJ245" s="79"/>
      <c r="FK245" s="79"/>
      <c r="FL245" s="79"/>
      <c r="FM245" s="79"/>
      <c r="FN245" s="79"/>
      <c r="FO245" s="79"/>
      <c r="FP245" s="79"/>
      <c r="FQ245" s="79"/>
      <c r="FR245" s="79"/>
      <c r="FS245" s="79"/>
      <c r="FT245" s="79"/>
      <c r="FU245" s="79"/>
      <c r="FV245" s="79"/>
      <c r="FW245" s="79"/>
      <c r="FX245" s="79"/>
      <c r="FY245" s="79"/>
      <c r="FZ245" s="79"/>
      <c r="GA245" s="79"/>
      <c r="GB245" s="79"/>
      <c r="GC245" s="79"/>
      <c r="GD245" s="79"/>
      <c r="GE245" s="79"/>
      <c r="GF245" s="79"/>
      <c r="GG245" s="79"/>
      <c r="GH245" s="79"/>
    </row>
    <row r="246" spans="1:190" ht="14.25" x14ac:dyDescent="0.2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9"/>
      <c r="AU246" s="79"/>
      <c r="AV246" s="79"/>
      <c r="AW246" s="79"/>
      <c r="AX246" s="79"/>
      <c r="AY246" s="79"/>
      <c r="AZ246" s="79"/>
      <c r="BA246" s="79"/>
      <c r="BB246" s="79"/>
      <c r="BC246" s="79"/>
      <c r="BD246" s="79"/>
      <c r="BE246" s="79"/>
      <c r="BF246" s="79"/>
      <c r="BG246" s="79"/>
      <c r="BH246" s="79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  <c r="CC246" s="79"/>
      <c r="CD246" s="79"/>
      <c r="CE246" s="79"/>
      <c r="CF246" s="79"/>
      <c r="CG246" s="79"/>
      <c r="CH246" s="79"/>
      <c r="CI246" s="79"/>
      <c r="CJ246" s="79"/>
      <c r="CK246" s="79"/>
      <c r="CL246" s="79"/>
      <c r="CM246" s="79"/>
      <c r="CN246" s="79"/>
      <c r="CO246" s="79"/>
      <c r="CP246" s="79"/>
      <c r="CQ246" s="79"/>
      <c r="CR246" s="79"/>
      <c r="CS246" s="79"/>
      <c r="CT246" s="79"/>
      <c r="CU246" s="79"/>
      <c r="CV246" s="79"/>
      <c r="CW246" s="79"/>
      <c r="CX246" s="79"/>
      <c r="CY246" s="79"/>
      <c r="CZ246" s="79"/>
      <c r="DA246" s="79"/>
      <c r="DB246" s="79"/>
      <c r="DC246" s="79"/>
      <c r="DD246" s="79"/>
      <c r="DE246" s="79"/>
      <c r="DF246" s="79"/>
      <c r="DG246" s="79"/>
      <c r="DH246" s="79"/>
      <c r="DI246" s="79"/>
      <c r="DJ246" s="79"/>
      <c r="DK246" s="79"/>
      <c r="DL246" s="79"/>
      <c r="DM246" s="79"/>
      <c r="DN246" s="79"/>
      <c r="DO246" s="79"/>
      <c r="DP246" s="79"/>
      <c r="DQ246" s="79"/>
      <c r="DR246" s="79"/>
      <c r="DS246" s="79"/>
      <c r="DT246" s="79"/>
      <c r="DU246" s="79"/>
      <c r="DV246" s="79"/>
      <c r="DW246" s="79"/>
      <c r="DX246" s="79"/>
      <c r="DY246" s="79"/>
      <c r="DZ246" s="79"/>
      <c r="EA246" s="79"/>
      <c r="EB246" s="79"/>
      <c r="EC246" s="79"/>
      <c r="ED246" s="79"/>
      <c r="EE246" s="79"/>
      <c r="EF246" s="79"/>
      <c r="EG246" s="79"/>
      <c r="EH246" s="79"/>
      <c r="EI246" s="79"/>
      <c r="EJ246" s="79"/>
      <c r="EK246" s="79"/>
      <c r="EL246" s="79"/>
      <c r="EM246" s="79"/>
      <c r="EN246" s="79"/>
      <c r="EO246" s="79"/>
      <c r="EP246" s="79"/>
      <c r="EQ246" s="79"/>
      <c r="ER246" s="79"/>
      <c r="ES246" s="79"/>
      <c r="ET246" s="79"/>
      <c r="EU246" s="79"/>
      <c r="EV246" s="79"/>
      <c r="EW246" s="79"/>
      <c r="EX246" s="79"/>
      <c r="EY246" s="79"/>
      <c r="EZ246" s="79"/>
      <c r="FA246" s="79"/>
      <c r="FB246" s="79"/>
      <c r="FC246" s="79"/>
      <c r="FD246" s="79"/>
      <c r="FE246" s="79"/>
      <c r="FF246" s="79"/>
      <c r="FG246" s="79"/>
      <c r="FH246" s="79"/>
      <c r="FI246" s="79"/>
      <c r="FJ246" s="79"/>
      <c r="FK246" s="79"/>
      <c r="FL246" s="79"/>
      <c r="FM246" s="79"/>
      <c r="FN246" s="79"/>
      <c r="FO246" s="79"/>
      <c r="FP246" s="79"/>
      <c r="FQ246" s="79"/>
      <c r="FR246" s="79"/>
      <c r="FS246" s="79"/>
      <c r="FT246" s="79"/>
      <c r="FU246" s="79"/>
      <c r="FV246" s="79"/>
      <c r="FW246" s="79"/>
      <c r="FX246" s="79"/>
      <c r="FY246" s="79"/>
      <c r="FZ246" s="79"/>
      <c r="GA246" s="79"/>
      <c r="GB246" s="79"/>
      <c r="GC246" s="79"/>
      <c r="GD246" s="79"/>
      <c r="GE246" s="79"/>
      <c r="GF246" s="79"/>
      <c r="GG246" s="79"/>
      <c r="GH246" s="79"/>
    </row>
    <row r="247" spans="1:190" ht="14.25" x14ac:dyDescent="0.2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9"/>
      <c r="AU247" s="79"/>
      <c r="AV247" s="7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  <c r="CC247" s="79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79"/>
      <c r="DG247" s="79"/>
      <c r="DH247" s="79"/>
      <c r="DI247" s="79"/>
      <c r="DJ247" s="79"/>
      <c r="DK247" s="79"/>
      <c r="DL247" s="79"/>
      <c r="DM247" s="79"/>
      <c r="DN247" s="79"/>
      <c r="DO247" s="79"/>
      <c r="DP247" s="79"/>
      <c r="DQ247" s="79"/>
      <c r="DR247" s="79"/>
      <c r="DS247" s="79"/>
      <c r="DT247" s="79"/>
      <c r="DU247" s="79"/>
      <c r="DV247" s="79"/>
      <c r="DW247" s="79"/>
      <c r="DX247" s="79"/>
      <c r="DY247" s="79"/>
      <c r="DZ247" s="79"/>
      <c r="EA247" s="79"/>
      <c r="EB247" s="79"/>
      <c r="EC247" s="79"/>
      <c r="ED247" s="79"/>
      <c r="EE247" s="79"/>
      <c r="EF247" s="79"/>
      <c r="EG247" s="79"/>
      <c r="EH247" s="79"/>
      <c r="EI247" s="79"/>
      <c r="EJ247" s="79"/>
      <c r="EK247" s="79"/>
      <c r="EL247" s="79"/>
      <c r="EM247" s="79"/>
      <c r="EN247" s="79"/>
      <c r="EO247" s="79"/>
      <c r="EP247" s="79"/>
      <c r="EQ247" s="79"/>
      <c r="ER247" s="79"/>
      <c r="ES247" s="79"/>
      <c r="ET247" s="79"/>
      <c r="EU247" s="79"/>
      <c r="EV247" s="79"/>
      <c r="EW247" s="79"/>
      <c r="EX247" s="79"/>
      <c r="EY247" s="79"/>
      <c r="EZ247" s="79"/>
      <c r="FA247" s="79"/>
      <c r="FB247" s="79"/>
      <c r="FC247" s="79"/>
      <c r="FD247" s="79"/>
      <c r="FE247" s="79"/>
      <c r="FF247" s="79"/>
      <c r="FG247" s="79"/>
      <c r="FH247" s="79"/>
      <c r="FI247" s="79"/>
      <c r="FJ247" s="79"/>
      <c r="FK247" s="79"/>
      <c r="FL247" s="79"/>
      <c r="FM247" s="79"/>
      <c r="FN247" s="79"/>
      <c r="FO247" s="79"/>
      <c r="FP247" s="79"/>
      <c r="FQ247" s="79"/>
      <c r="FR247" s="79"/>
      <c r="FS247" s="79"/>
      <c r="FT247" s="79"/>
      <c r="FU247" s="79"/>
      <c r="FV247" s="79"/>
      <c r="FW247" s="79"/>
      <c r="FX247" s="79"/>
      <c r="FY247" s="79"/>
      <c r="FZ247" s="79"/>
      <c r="GA247" s="79"/>
      <c r="GB247" s="79"/>
      <c r="GC247" s="79"/>
      <c r="GD247" s="79"/>
      <c r="GE247" s="79"/>
      <c r="GF247" s="79"/>
      <c r="GG247" s="79"/>
      <c r="GH247" s="79"/>
    </row>
    <row r="248" spans="1:190" ht="14.25" x14ac:dyDescent="0.2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9"/>
      <c r="AU248" s="79"/>
      <c r="AV248" s="79"/>
      <c r="AW248" s="79"/>
      <c r="AX248" s="79"/>
      <c r="AY248" s="79"/>
      <c r="AZ248" s="79"/>
      <c r="BA248" s="79"/>
      <c r="BB248" s="79"/>
      <c r="BC248" s="79"/>
      <c r="BD248" s="79"/>
      <c r="BE248" s="79"/>
      <c r="BF248" s="79"/>
      <c r="BG248" s="79"/>
      <c r="BH248" s="79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  <c r="CC248" s="79"/>
      <c r="CD248" s="79"/>
      <c r="CE248" s="79"/>
      <c r="CF248" s="79"/>
      <c r="CG248" s="79"/>
      <c r="CH248" s="79"/>
      <c r="CI248" s="79"/>
      <c r="CJ248" s="79"/>
      <c r="CK248" s="79"/>
      <c r="CL248" s="79"/>
      <c r="CM248" s="79"/>
      <c r="CN248" s="79"/>
      <c r="CO248" s="79"/>
      <c r="CP248" s="79"/>
      <c r="CQ248" s="79"/>
      <c r="CR248" s="79"/>
      <c r="CS248" s="79"/>
      <c r="CT248" s="79"/>
      <c r="CU248" s="79"/>
      <c r="CV248" s="79"/>
      <c r="CW248" s="79"/>
      <c r="CX248" s="79"/>
      <c r="CY248" s="79"/>
      <c r="CZ248" s="79"/>
      <c r="DA248" s="79"/>
      <c r="DB248" s="79"/>
      <c r="DC248" s="79"/>
      <c r="DD248" s="79"/>
      <c r="DE248" s="79"/>
      <c r="DF248" s="79"/>
      <c r="DG248" s="79"/>
      <c r="DH248" s="79"/>
      <c r="DI248" s="79"/>
      <c r="DJ248" s="79"/>
      <c r="DK248" s="79"/>
      <c r="DL248" s="79"/>
      <c r="DM248" s="79"/>
      <c r="DN248" s="79"/>
      <c r="DO248" s="79"/>
      <c r="DP248" s="79"/>
      <c r="DQ248" s="79"/>
      <c r="DR248" s="79"/>
      <c r="DS248" s="79"/>
      <c r="DT248" s="79"/>
      <c r="DU248" s="79"/>
      <c r="DV248" s="79"/>
      <c r="DW248" s="79"/>
      <c r="DX248" s="79"/>
      <c r="DY248" s="79"/>
      <c r="DZ248" s="79"/>
      <c r="EA248" s="79"/>
      <c r="EB248" s="79"/>
      <c r="EC248" s="79"/>
      <c r="ED248" s="79"/>
      <c r="EE248" s="79"/>
      <c r="EF248" s="79"/>
      <c r="EG248" s="79"/>
      <c r="EH248" s="79"/>
      <c r="EI248" s="79"/>
      <c r="EJ248" s="79"/>
      <c r="EK248" s="79"/>
      <c r="EL248" s="79"/>
      <c r="EM248" s="79"/>
      <c r="EN248" s="79"/>
      <c r="EO248" s="79"/>
      <c r="EP248" s="79"/>
      <c r="EQ248" s="79"/>
      <c r="ER248" s="79"/>
      <c r="ES248" s="79"/>
      <c r="ET248" s="79"/>
      <c r="EU248" s="79"/>
      <c r="EV248" s="79"/>
      <c r="EW248" s="79"/>
      <c r="EX248" s="79"/>
      <c r="EY248" s="79"/>
      <c r="EZ248" s="79"/>
      <c r="FA248" s="79"/>
      <c r="FB248" s="79"/>
      <c r="FC248" s="79"/>
      <c r="FD248" s="79"/>
      <c r="FE248" s="79"/>
      <c r="FF248" s="79"/>
      <c r="FG248" s="79"/>
      <c r="FH248" s="79"/>
      <c r="FI248" s="79"/>
      <c r="FJ248" s="79"/>
      <c r="FK248" s="79"/>
      <c r="FL248" s="79"/>
      <c r="FM248" s="79"/>
      <c r="FN248" s="79"/>
      <c r="FO248" s="79"/>
      <c r="FP248" s="79"/>
      <c r="FQ248" s="79"/>
      <c r="FR248" s="79"/>
      <c r="FS248" s="79"/>
      <c r="FT248" s="79"/>
      <c r="FU248" s="79"/>
      <c r="FV248" s="79"/>
      <c r="FW248" s="79"/>
      <c r="FX248" s="79"/>
      <c r="FY248" s="79"/>
      <c r="FZ248" s="79"/>
      <c r="GA248" s="79"/>
      <c r="GB248" s="79"/>
      <c r="GC248" s="79"/>
      <c r="GD248" s="79"/>
      <c r="GE248" s="79"/>
      <c r="GF248" s="79"/>
      <c r="GG248" s="79"/>
      <c r="GH248" s="79"/>
    </row>
    <row r="249" spans="1:190" ht="14.25" x14ac:dyDescent="0.2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9"/>
      <c r="AU249" s="79"/>
      <c r="AV249" s="79"/>
      <c r="AW249" s="79"/>
      <c r="AX249" s="79"/>
      <c r="AY249" s="79"/>
      <c r="AZ249" s="79"/>
      <c r="BA249" s="79"/>
      <c r="BB249" s="79"/>
      <c r="BC249" s="79"/>
      <c r="BD249" s="79"/>
      <c r="BE249" s="79"/>
      <c r="BF249" s="79"/>
      <c r="BG249" s="79"/>
      <c r="BH249" s="79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  <c r="CC249" s="79"/>
      <c r="CD249" s="79"/>
      <c r="CE249" s="79"/>
      <c r="CF249" s="79"/>
      <c r="CG249" s="79"/>
      <c r="CH249" s="79"/>
      <c r="CI249" s="79"/>
      <c r="CJ249" s="79"/>
      <c r="CK249" s="79"/>
      <c r="CL249" s="79"/>
      <c r="CM249" s="79"/>
      <c r="CN249" s="79"/>
      <c r="CO249" s="79"/>
      <c r="CP249" s="79"/>
      <c r="CQ249" s="79"/>
      <c r="CR249" s="79"/>
      <c r="CS249" s="79"/>
      <c r="CT249" s="79"/>
      <c r="CU249" s="79"/>
      <c r="CV249" s="79"/>
      <c r="CW249" s="79"/>
      <c r="CX249" s="79"/>
      <c r="CY249" s="79"/>
      <c r="CZ249" s="79"/>
      <c r="DA249" s="79"/>
      <c r="DB249" s="79"/>
      <c r="DC249" s="79"/>
      <c r="DD249" s="79"/>
      <c r="DE249" s="79"/>
      <c r="DF249" s="79"/>
      <c r="DG249" s="79"/>
      <c r="DH249" s="79"/>
      <c r="DI249" s="79"/>
      <c r="DJ249" s="79"/>
      <c r="DK249" s="79"/>
      <c r="DL249" s="79"/>
      <c r="DM249" s="79"/>
      <c r="DN249" s="79"/>
      <c r="DO249" s="79"/>
      <c r="DP249" s="79"/>
      <c r="DQ249" s="79"/>
      <c r="DR249" s="79"/>
      <c r="DS249" s="79"/>
      <c r="DT249" s="79"/>
      <c r="DU249" s="79"/>
      <c r="DV249" s="79"/>
      <c r="DW249" s="79"/>
      <c r="DX249" s="79"/>
      <c r="DY249" s="79"/>
      <c r="DZ249" s="79"/>
      <c r="EA249" s="79"/>
      <c r="EB249" s="79"/>
      <c r="EC249" s="79"/>
      <c r="ED249" s="79"/>
      <c r="EE249" s="79"/>
      <c r="EF249" s="79"/>
      <c r="EG249" s="79"/>
      <c r="EH249" s="79"/>
      <c r="EI249" s="79"/>
      <c r="EJ249" s="79"/>
      <c r="EK249" s="79"/>
      <c r="EL249" s="79"/>
      <c r="EM249" s="79"/>
      <c r="EN249" s="79"/>
      <c r="EO249" s="79"/>
      <c r="EP249" s="79"/>
      <c r="EQ249" s="79"/>
      <c r="ER249" s="79"/>
      <c r="ES249" s="79"/>
      <c r="ET249" s="79"/>
      <c r="EU249" s="79"/>
      <c r="EV249" s="79"/>
      <c r="EW249" s="79"/>
      <c r="EX249" s="79"/>
      <c r="EY249" s="79"/>
      <c r="EZ249" s="79"/>
      <c r="FA249" s="79"/>
      <c r="FB249" s="79"/>
      <c r="FC249" s="79"/>
      <c r="FD249" s="79"/>
      <c r="FE249" s="79"/>
      <c r="FF249" s="79"/>
      <c r="FG249" s="79"/>
      <c r="FH249" s="79"/>
      <c r="FI249" s="79"/>
      <c r="FJ249" s="79"/>
      <c r="FK249" s="79"/>
      <c r="FL249" s="79"/>
      <c r="FM249" s="79"/>
      <c r="FN249" s="79"/>
      <c r="FO249" s="79"/>
      <c r="FP249" s="79"/>
      <c r="FQ249" s="79"/>
      <c r="FR249" s="79"/>
      <c r="FS249" s="79"/>
      <c r="FT249" s="79"/>
      <c r="FU249" s="79"/>
      <c r="FV249" s="79"/>
      <c r="FW249" s="79"/>
      <c r="FX249" s="79"/>
      <c r="FY249" s="79"/>
      <c r="FZ249" s="79"/>
      <c r="GA249" s="79"/>
      <c r="GB249" s="79"/>
      <c r="GC249" s="79"/>
      <c r="GD249" s="79"/>
      <c r="GE249" s="79"/>
      <c r="GF249" s="79"/>
      <c r="GG249" s="79"/>
      <c r="GH249" s="79"/>
    </row>
    <row r="250" spans="1:190" ht="14.25" x14ac:dyDescent="0.2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79"/>
      <c r="AR250" s="79"/>
      <c r="AS250" s="79"/>
      <c r="AT250" s="79"/>
      <c r="AU250" s="79"/>
      <c r="AV250" s="79"/>
      <c r="AW250" s="79"/>
      <c r="AX250" s="79"/>
      <c r="AY250" s="79"/>
      <c r="AZ250" s="79"/>
      <c r="BA250" s="79"/>
      <c r="BB250" s="79"/>
      <c r="BC250" s="79"/>
      <c r="BD250" s="79"/>
      <c r="BE250" s="79"/>
      <c r="BF250" s="79"/>
      <c r="BG250" s="79"/>
      <c r="BH250" s="79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  <c r="CC250" s="79"/>
      <c r="CD250" s="79"/>
      <c r="CE250" s="79"/>
      <c r="CF250" s="79"/>
      <c r="CG250" s="79"/>
      <c r="CH250" s="79"/>
      <c r="CI250" s="79"/>
      <c r="CJ250" s="79"/>
      <c r="CK250" s="79"/>
      <c r="CL250" s="79"/>
      <c r="CM250" s="79"/>
      <c r="CN250" s="79"/>
      <c r="CO250" s="79"/>
      <c r="CP250" s="79"/>
      <c r="CQ250" s="79"/>
      <c r="CR250" s="79"/>
      <c r="CS250" s="79"/>
      <c r="CT250" s="79"/>
      <c r="CU250" s="79"/>
      <c r="CV250" s="79"/>
      <c r="CW250" s="79"/>
      <c r="CX250" s="79"/>
      <c r="CY250" s="79"/>
      <c r="CZ250" s="79"/>
      <c r="DA250" s="79"/>
      <c r="DB250" s="79"/>
      <c r="DC250" s="79"/>
      <c r="DD250" s="79"/>
      <c r="DE250" s="79"/>
      <c r="DF250" s="79"/>
      <c r="DG250" s="79"/>
      <c r="DH250" s="79"/>
      <c r="DI250" s="79"/>
      <c r="DJ250" s="79"/>
      <c r="DK250" s="79"/>
      <c r="DL250" s="79"/>
      <c r="DM250" s="79"/>
      <c r="DN250" s="79"/>
      <c r="DO250" s="79"/>
      <c r="DP250" s="79"/>
      <c r="DQ250" s="79"/>
      <c r="DR250" s="79"/>
      <c r="DS250" s="79"/>
      <c r="DT250" s="79"/>
      <c r="DU250" s="79"/>
      <c r="DV250" s="79"/>
      <c r="DW250" s="79"/>
      <c r="DX250" s="79"/>
      <c r="DY250" s="79"/>
      <c r="DZ250" s="79"/>
      <c r="EA250" s="79"/>
      <c r="EB250" s="79"/>
      <c r="EC250" s="79"/>
      <c r="ED250" s="79"/>
      <c r="EE250" s="79"/>
      <c r="EF250" s="79"/>
      <c r="EG250" s="79"/>
      <c r="EH250" s="79"/>
      <c r="EI250" s="79"/>
      <c r="EJ250" s="79"/>
      <c r="EK250" s="79"/>
      <c r="EL250" s="79"/>
      <c r="EM250" s="79"/>
      <c r="EN250" s="79"/>
      <c r="EO250" s="79"/>
      <c r="EP250" s="79"/>
      <c r="EQ250" s="79"/>
      <c r="ER250" s="79"/>
      <c r="ES250" s="79"/>
      <c r="ET250" s="79"/>
      <c r="EU250" s="79"/>
      <c r="EV250" s="79"/>
      <c r="EW250" s="79"/>
      <c r="EX250" s="79"/>
      <c r="EY250" s="79"/>
      <c r="EZ250" s="79"/>
      <c r="FA250" s="79"/>
      <c r="FB250" s="79"/>
      <c r="FC250" s="79"/>
      <c r="FD250" s="79"/>
      <c r="FE250" s="79"/>
      <c r="FF250" s="79"/>
      <c r="FG250" s="79"/>
      <c r="FH250" s="79"/>
      <c r="FI250" s="79"/>
      <c r="FJ250" s="79"/>
      <c r="FK250" s="79"/>
      <c r="FL250" s="79"/>
      <c r="FM250" s="79"/>
      <c r="FN250" s="79"/>
      <c r="FO250" s="79"/>
      <c r="FP250" s="79"/>
      <c r="FQ250" s="79"/>
      <c r="FR250" s="79"/>
      <c r="FS250" s="79"/>
      <c r="FT250" s="79"/>
      <c r="FU250" s="79"/>
      <c r="FV250" s="79"/>
      <c r="FW250" s="79"/>
      <c r="FX250" s="79"/>
      <c r="FY250" s="79"/>
      <c r="FZ250" s="79"/>
      <c r="GA250" s="79"/>
      <c r="GB250" s="79"/>
      <c r="GC250" s="79"/>
      <c r="GD250" s="79"/>
      <c r="GE250" s="79"/>
      <c r="GF250" s="79"/>
      <c r="GG250" s="79"/>
      <c r="GH250" s="79"/>
    </row>
    <row r="251" spans="1:190" ht="14.25" x14ac:dyDescent="0.2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79"/>
      <c r="AU251" s="79"/>
      <c r="AV251" s="79"/>
      <c r="AW251" s="79"/>
      <c r="AX251" s="79"/>
      <c r="AY251" s="79"/>
      <c r="AZ251" s="79"/>
      <c r="BA251" s="79"/>
      <c r="BB251" s="79"/>
      <c r="BC251" s="79"/>
      <c r="BD251" s="79"/>
      <c r="BE251" s="79"/>
      <c r="BF251" s="79"/>
      <c r="BG251" s="79"/>
      <c r="BH251" s="79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  <c r="CC251" s="79"/>
      <c r="CD251" s="79"/>
      <c r="CE251" s="79"/>
      <c r="CF251" s="79"/>
      <c r="CG251" s="79"/>
      <c r="CH251" s="79"/>
      <c r="CI251" s="79"/>
      <c r="CJ251" s="79"/>
      <c r="CK251" s="79"/>
      <c r="CL251" s="79"/>
      <c r="CM251" s="79"/>
      <c r="CN251" s="79"/>
      <c r="CO251" s="79"/>
      <c r="CP251" s="79"/>
      <c r="CQ251" s="79"/>
      <c r="CR251" s="79"/>
      <c r="CS251" s="79"/>
      <c r="CT251" s="79"/>
      <c r="CU251" s="79"/>
      <c r="CV251" s="79"/>
      <c r="CW251" s="79"/>
      <c r="CX251" s="79"/>
      <c r="CY251" s="79"/>
      <c r="CZ251" s="79"/>
      <c r="DA251" s="79"/>
      <c r="DB251" s="79"/>
      <c r="DC251" s="79"/>
      <c r="DD251" s="79"/>
      <c r="DE251" s="79"/>
      <c r="DF251" s="79"/>
      <c r="DG251" s="79"/>
      <c r="DH251" s="79"/>
      <c r="DI251" s="79"/>
      <c r="DJ251" s="79"/>
      <c r="DK251" s="79"/>
      <c r="DL251" s="79"/>
      <c r="DM251" s="79"/>
      <c r="DN251" s="79"/>
      <c r="DO251" s="79"/>
      <c r="DP251" s="79"/>
      <c r="DQ251" s="79"/>
      <c r="DR251" s="79"/>
      <c r="DS251" s="79"/>
      <c r="DT251" s="79"/>
      <c r="DU251" s="79"/>
      <c r="DV251" s="79"/>
      <c r="DW251" s="79"/>
      <c r="DX251" s="79"/>
      <c r="DY251" s="79"/>
      <c r="DZ251" s="79"/>
      <c r="EA251" s="79"/>
      <c r="EB251" s="79"/>
      <c r="EC251" s="79"/>
      <c r="ED251" s="79"/>
      <c r="EE251" s="79"/>
      <c r="EF251" s="79"/>
      <c r="EG251" s="79"/>
      <c r="EH251" s="79"/>
      <c r="EI251" s="79"/>
      <c r="EJ251" s="79"/>
      <c r="EK251" s="79"/>
      <c r="EL251" s="79"/>
      <c r="EM251" s="79"/>
      <c r="EN251" s="79"/>
      <c r="EO251" s="79"/>
      <c r="EP251" s="79"/>
      <c r="EQ251" s="79"/>
      <c r="ER251" s="79"/>
      <c r="ES251" s="79"/>
      <c r="ET251" s="79"/>
      <c r="EU251" s="79"/>
      <c r="EV251" s="79"/>
      <c r="EW251" s="79"/>
      <c r="EX251" s="79"/>
      <c r="EY251" s="79"/>
      <c r="EZ251" s="79"/>
      <c r="FA251" s="79"/>
      <c r="FB251" s="79"/>
      <c r="FC251" s="79"/>
      <c r="FD251" s="79"/>
      <c r="FE251" s="79"/>
      <c r="FF251" s="79"/>
      <c r="FG251" s="79"/>
      <c r="FH251" s="79"/>
      <c r="FI251" s="79"/>
      <c r="FJ251" s="79"/>
      <c r="FK251" s="79"/>
      <c r="FL251" s="79"/>
      <c r="FM251" s="79"/>
      <c r="FN251" s="79"/>
      <c r="FO251" s="79"/>
      <c r="FP251" s="79"/>
      <c r="FQ251" s="79"/>
      <c r="FR251" s="79"/>
      <c r="FS251" s="79"/>
      <c r="FT251" s="79"/>
      <c r="FU251" s="79"/>
      <c r="FV251" s="79"/>
      <c r="FW251" s="79"/>
      <c r="FX251" s="79"/>
      <c r="FY251" s="79"/>
      <c r="FZ251" s="79"/>
      <c r="GA251" s="79"/>
      <c r="GB251" s="79"/>
      <c r="GC251" s="79"/>
      <c r="GD251" s="79"/>
      <c r="GE251" s="79"/>
      <c r="GF251" s="79"/>
      <c r="GG251" s="79"/>
      <c r="GH251" s="79"/>
    </row>
    <row r="252" spans="1:190" ht="14.25" x14ac:dyDescent="0.2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79"/>
      <c r="AU252" s="79"/>
      <c r="AV252" s="79"/>
      <c r="AW252" s="79"/>
      <c r="AX252" s="79"/>
      <c r="AY252" s="79"/>
      <c r="AZ252" s="79"/>
      <c r="BA252" s="79"/>
      <c r="BB252" s="79"/>
      <c r="BC252" s="79"/>
      <c r="BD252" s="79"/>
      <c r="BE252" s="79"/>
      <c r="BF252" s="79"/>
      <c r="BG252" s="79"/>
      <c r="BH252" s="79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  <c r="CC252" s="79"/>
      <c r="CD252" s="79"/>
      <c r="CE252" s="79"/>
      <c r="CF252" s="79"/>
      <c r="CG252" s="79"/>
      <c r="CH252" s="79"/>
      <c r="CI252" s="79"/>
      <c r="CJ252" s="79"/>
      <c r="CK252" s="79"/>
      <c r="CL252" s="79"/>
      <c r="CM252" s="79"/>
      <c r="CN252" s="79"/>
      <c r="CO252" s="79"/>
      <c r="CP252" s="79"/>
      <c r="CQ252" s="79"/>
      <c r="CR252" s="79"/>
      <c r="CS252" s="79"/>
      <c r="CT252" s="79"/>
      <c r="CU252" s="79"/>
      <c r="CV252" s="79"/>
      <c r="CW252" s="79"/>
      <c r="CX252" s="79"/>
      <c r="CY252" s="79"/>
      <c r="CZ252" s="79"/>
      <c r="DA252" s="79"/>
      <c r="DB252" s="79"/>
      <c r="DC252" s="79"/>
      <c r="DD252" s="79"/>
      <c r="DE252" s="79"/>
      <c r="DF252" s="79"/>
      <c r="DG252" s="79"/>
      <c r="DH252" s="79"/>
      <c r="DI252" s="79"/>
      <c r="DJ252" s="79"/>
      <c r="DK252" s="79"/>
      <c r="DL252" s="79"/>
      <c r="DM252" s="79"/>
      <c r="DN252" s="79"/>
      <c r="DO252" s="79"/>
      <c r="DP252" s="79"/>
      <c r="DQ252" s="79"/>
      <c r="DR252" s="79"/>
      <c r="DS252" s="79"/>
      <c r="DT252" s="79"/>
      <c r="DU252" s="79"/>
      <c r="DV252" s="79"/>
      <c r="DW252" s="79"/>
      <c r="DX252" s="79"/>
      <c r="DY252" s="79"/>
      <c r="DZ252" s="79"/>
      <c r="EA252" s="79"/>
      <c r="EB252" s="79"/>
      <c r="EC252" s="79"/>
      <c r="ED252" s="79"/>
      <c r="EE252" s="79"/>
      <c r="EF252" s="79"/>
      <c r="EG252" s="79"/>
      <c r="EH252" s="79"/>
      <c r="EI252" s="79"/>
      <c r="EJ252" s="79"/>
      <c r="EK252" s="79"/>
      <c r="EL252" s="79"/>
      <c r="EM252" s="79"/>
      <c r="EN252" s="79"/>
      <c r="EO252" s="79"/>
      <c r="EP252" s="79"/>
      <c r="EQ252" s="79"/>
      <c r="ER252" s="79"/>
      <c r="ES252" s="79"/>
      <c r="ET252" s="79"/>
      <c r="EU252" s="79"/>
      <c r="EV252" s="79"/>
      <c r="EW252" s="79"/>
      <c r="EX252" s="79"/>
      <c r="EY252" s="79"/>
      <c r="EZ252" s="79"/>
      <c r="FA252" s="79"/>
      <c r="FB252" s="79"/>
      <c r="FC252" s="79"/>
      <c r="FD252" s="79"/>
      <c r="FE252" s="79"/>
      <c r="FF252" s="79"/>
      <c r="FG252" s="79"/>
      <c r="FH252" s="79"/>
      <c r="FI252" s="79"/>
      <c r="FJ252" s="79"/>
      <c r="FK252" s="79"/>
      <c r="FL252" s="79"/>
      <c r="FM252" s="79"/>
      <c r="FN252" s="79"/>
      <c r="FO252" s="79"/>
      <c r="FP252" s="79"/>
      <c r="FQ252" s="79"/>
      <c r="FR252" s="79"/>
      <c r="FS252" s="79"/>
      <c r="FT252" s="79"/>
      <c r="FU252" s="79"/>
      <c r="FV252" s="79"/>
      <c r="FW252" s="79"/>
      <c r="FX252" s="79"/>
      <c r="FY252" s="79"/>
      <c r="FZ252" s="79"/>
      <c r="GA252" s="79"/>
      <c r="GB252" s="79"/>
      <c r="GC252" s="79"/>
      <c r="GD252" s="79"/>
      <c r="GE252" s="79"/>
      <c r="GF252" s="79"/>
      <c r="GG252" s="79"/>
      <c r="GH252" s="79"/>
    </row>
    <row r="253" spans="1:190" ht="14.25" x14ac:dyDescent="0.2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  <c r="AJ253" s="79"/>
      <c r="AK253" s="79"/>
      <c r="AL253" s="79"/>
      <c r="AM253" s="79"/>
      <c r="AN253" s="79"/>
      <c r="AO253" s="79"/>
      <c r="AP253" s="79"/>
      <c r="AQ253" s="79"/>
      <c r="AR253" s="79"/>
      <c r="AS253" s="79"/>
      <c r="AT253" s="79"/>
      <c r="AU253" s="79"/>
      <c r="AV253" s="79"/>
      <c r="AW253" s="79"/>
      <c r="AX253" s="79"/>
      <c r="AY253" s="79"/>
      <c r="AZ253" s="79"/>
      <c r="BA253" s="79"/>
      <c r="BB253" s="79"/>
      <c r="BC253" s="79"/>
      <c r="BD253" s="79"/>
      <c r="BE253" s="79"/>
      <c r="BF253" s="79"/>
      <c r="BG253" s="79"/>
      <c r="BH253" s="79"/>
      <c r="BI253" s="79"/>
      <c r="BJ253" s="79"/>
      <c r="BK253" s="79"/>
      <c r="BL253" s="79"/>
      <c r="BM253" s="79"/>
      <c r="BN253" s="79"/>
      <c r="BO253" s="79"/>
      <c r="BP253" s="79"/>
      <c r="BQ253" s="79"/>
      <c r="BR253" s="79"/>
      <c r="BS253" s="79"/>
      <c r="BT253" s="79"/>
      <c r="BU253" s="79"/>
      <c r="BV253" s="79"/>
      <c r="BW253" s="79"/>
      <c r="BX253" s="79"/>
      <c r="BY253" s="79"/>
      <c r="BZ253" s="79"/>
      <c r="CA253" s="79"/>
      <c r="CB253" s="79"/>
      <c r="CC253" s="79"/>
      <c r="CD253" s="79"/>
      <c r="CE253" s="79"/>
      <c r="CF253" s="79"/>
      <c r="CG253" s="79"/>
      <c r="CH253" s="79"/>
      <c r="CI253" s="79"/>
      <c r="CJ253" s="79"/>
      <c r="CK253" s="79"/>
      <c r="CL253" s="79"/>
      <c r="CM253" s="79"/>
      <c r="CN253" s="79"/>
      <c r="CO253" s="79"/>
      <c r="CP253" s="79"/>
      <c r="CQ253" s="79"/>
      <c r="CR253" s="79"/>
      <c r="CS253" s="79"/>
      <c r="CT253" s="79"/>
      <c r="CU253" s="79"/>
      <c r="CV253" s="79"/>
      <c r="CW253" s="79"/>
      <c r="CX253" s="79"/>
      <c r="CY253" s="79"/>
      <c r="CZ253" s="79"/>
      <c r="DA253" s="79"/>
      <c r="DB253" s="79"/>
      <c r="DC253" s="79"/>
      <c r="DD253" s="79"/>
      <c r="DE253" s="79"/>
      <c r="DF253" s="79"/>
      <c r="DG253" s="79"/>
      <c r="DH253" s="79"/>
      <c r="DI253" s="79"/>
      <c r="DJ253" s="79"/>
      <c r="DK253" s="79"/>
      <c r="DL253" s="79"/>
      <c r="DM253" s="79"/>
      <c r="DN253" s="79"/>
      <c r="DO253" s="79"/>
      <c r="DP253" s="79"/>
      <c r="DQ253" s="79"/>
      <c r="DR253" s="79"/>
      <c r="DS253" s="79"/>
      <c r="DT253" s="79"/>
      <c r="DU253" s="79"/>
      <c r="DV253" s="79"/>
      <c r="DW253" s="79"/>
      <c r="DX253" s="79"/>
      <c r="DY253" s="79"/>
      <c r="DZ253" s="79"/>
      <c r="EA253" s="79"/>
      <c r="EB253" s="79"/>
      <c r="EC253" s="79"/>
      <c r="ED253" s="79"/>
      <c r="EE253" s="79"/>
      <c r="EF253" s="79"/>
      <c r="EG253" s="79"/>
      <c r="EH253" s="79"/>
      <c r="EI253" s="79"/>
      <c r="EJ253" s="79"/>
      <c r="EK253" s="79"/>
      <c r="EL253" s="79"/>
      <c r="EM253" s="79"/>
      <c r="EN253" s="79"/>
      <c r="EO253" s="79"/>
      <c r="EP253" s="79"/>
      <c r="EQ253" s="79"/>
      <c r="ER253" s="79"/>
      <c r="ES253" s="79"/>
      <c r="ET253" s="79"/>
      <c r="EU253" s="79"/>
      <c r="EV253" s="79"/>
      <c r="EW253" s="79"/>
      <c r="EX253" s="79"/>
      <c r="EY253" s="79"/>
      <c r="EZ253" s="79"/>
      <c r="FA253" s="79"/>
      <c r="FB253" s="79"/>
      <c r="FC253" s="79"/>
      <c r="FD253" s="79"/>
      <c r="FE253" s="79"/>
      <c r="FF253" s="79"/>
      <c r="FG253" s="79"/>
      <c r="FH253" s="79"/>
      <c r="FI253" s="79"/>
      <c r="FJ253" s="79"/>
      <c r="FK253" s="79"/>
      <c r="FL253" s="79"/>
      <c r="FM253" s="79"/>
      <c r="FN253" s="79"/>
      <c r="FO253" s="79"/>
      <c r="FP253" s="79"/>
      <c r="FQ253" s="79"/>
      <c r="FR253" s="79"/>
      <c r="FS253" s="79"/>
      <c r="FT253" s="79"/>
      <c r="FU253" s="79"/>
      <c r="FV253" s="79"/>
      <c r="FW253" s="79"/>
      <c r="FX253" s="79"/>
      <c r="FY253" s="79"/>
      <c r="FZ253" s="79"/>
      <c r="GA253" s="79"/>
      <c r="GB253" s="79"/>
      <c r="GC253" s="79"/>
      <c r="GD253" s="79"/>
      <c r="GE253" s="79"/>
      <c r="GF253" s="79"/>
      <c r="GG253" s="79"/>
      <c r="GH253" s="79"/>
    </row>
    <row r="254" spans="1:190" ht="14.25" x14ac:dyDescent="0.2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  <c r="AJ254" s="79"/>
      <c r="AK254" s="79"/>
      <c r="AL254" s="79"/>
      <c r="AM254" s="79"/>
      <c r="AN254" s="79"/>
      <c r="AO254" s="79"/>
      <c r="AP254" s="79"/>
      <c r="AQ254" s="79"/>
      <c r="AR254" s="79"/>
      <c r="AS254" s="79"/>
      <c r="AT254" s="79"/>
      <c r="AU254" s="79"/>
      <c r="AV254" s="79"/>
      <c r="AW254" s="79"/>
      <c r="AX254" s="79"/>
      <c r="AY254" s="79"/>
      <c r="AZ254" s="79"/>
      <c r="BA254" s="79"/>
      <c r="BB254" s="79"/>
      <c r="BC254" s="79"/>
      <c r="BD254" s="79"/>
      <c r="BE254" s="79"/>
      <c r="BF254" s="79"/>
      <c r="BG254" s="79"/>
      <c r="BH254" s="79"/>
      <c r="BI254" s="79"/>
      <c r="BJ254" s="79"/>
      <c r="BK254" s="79"/>
      <c r="BL254" s="79"/>
      <c r="BM254" s="79"/>
      <c r="BN254" s="79"/>
      <c r="BO254" s="79"/>
      <c r="BP254" s="79"/>
      <c r="BQ254" s="79"/>
      <c r="BR254" s="79"/>
      <c r="BS254" s="79"/>
      <c r="BT254" s="79"/>
      <c r="BU254" s="79"/>
      <c r="BV254" s="79"/>
      <c r="BW254" s="79"/>
      <c r="BX254" s="79"/>
      <c r="BY254" s="79"/>
      <c r="BZ254" s="79"/>
      <c r="CA254" s="79"/>
      <c r="CB254" s="79"/>
      <c r="CC254" s="79"/>
      <c r="CD254" s="79"/>
      <c r="CE254" s="79"/>
      <c r="CF254" s="79"/>
      <c r="CG254" s="79"/>
      <c r="CH254" s="79"/>
      <c r="CI254" s="79"/>
      <c r="CJ254" s="79"/>
      <c r="CK254" s="79"/>
      <c r="CL254" s="79"/>
      <c r="CM254" s="79"/>
      <c r="CN254" s="79"/>
      <c r="CO254" s="79"/>
      <c r="CP254" s="79"/>
      <c r="CQ254" s="79"/>
      <c r="CR254" s="79"/>
      <c r="CS254" s="79"/>
      <c r="CT254" s="79"/>
      <c r="CU254" s="79"/>
      <c r="CV254" s="79"/>
      <c r="CW254" s="79"/>
      <c r="CX254" s="79"/>
      <c r="CY254" s="79"/>
      <c r="CZ254" s="79"/>
      <c r="DA254" s="79"/>
      <c r="DB254" s="79"/>
      <c r="DC254" s="79"/>
      <c r="DD254" s="79"/>
      <c r="DE254" s="79"/>
      <c r="DF254" s="79"/>
      <c r="DG254" s="79"/>
      <c r="DH254" s="79"/>
      <c r="DI254" s="79"/>
      <c r="DJ254" s="79"/>
      <c r="DK254" s="79"/>
      <c r="DL254" s="79"/>
      <c r="DM254" s="79"/>
      <c r="DN254" s="79"/>
      <c r="DO254" s="79"/>
      <c r="DP254" s="79"/>
      <c r="DQ254" s="79"/>
      <c r="DR254" s="79"/>
      <c r="DS254" s="79"/>
      <c r="DT254" s="79"/>
      <c r="DU254" s="79"/>
      <c r="DV254" s="79"/>
      <c r="DW254" s="79"/>
      <c r="DX254" s="79"/>
      <c r="DY254" s="79"/>
      <c r="DZ254" s="79"/>
      <c r="EA254" s="79"/>
      <c r="EB254" s="79"/>
      <c r="EC254" s="79"/>
      <c r="ED254" s="79"/>
      <c r="EE254" s="79"/>
      <c r="EF254" s="79"/>
      <c r="EG254" s="79"/>
      <c r="EH254" s="79"/>
      <c r="EI254" s="79"/>
      <c r="EJ254" s="79"/>
      <c r="EK254" s="79"/>
      <c r="EL254" s="79"/>
      <c r="EM254" s="79"/>
      <c r="EN254" s="79"/>
      <c r="EO254" s="79"/>
      <c r="EP254" s="79"/>
      <c r="EQ254" s="79"/>
      <c r="ER254" s="79"/>
      <c r="ES254" s="79"/>
      <c r="ET254" s="79"/>
      <c r="EU254" s="79"/>
      <c r="EV254" s="79"/>
      <c r="EW254" s="79"/>
      <c r="EX254" s="79"/>
      <c r="EY254" s="79"/>
      <c r="EZ254" s="79"/>
      <c r="FA254" s="79"/>
      <c r="FB254" s="79"/>
      <c r="FC254" s="79"/>
      <c r="FD254" s="79"/>
      <c r="FE254" s="79"/>
      <c r="FF254" s="79"/>
      <c r="FG254" s="79"/>
      <c r="FH254" s="79"/>
      <c r="FI254" s="79"/>
      <c r="FJ254" s="79"/>
      <c r="FK254" s="79"/>
      <c r="FL254" s="79"/>
      <c r="FM254" s="79"/>
      <c r="FN254" s="79"/>
      <c r="FO254" s="79"/>
      <c r="FP254" s="79"/>
      <c r="FQ254" s="79"/>
      <c r="FR254" s="79"/>
      <c r="FS254" s="79"/>
      <c r="FT254" s="79"/>
      <c r="FU254" s="79"/>
      <c r="FV254" s="79"/>
      <c r="FW254" s="79"/>
      <c r="FX254" s="79"/>
      <c r="FY254" s="79"/>
      <c r="FZ254" s="79"/>
      <c r="GA254" s="79"/>
      <c r="GB254" s="79"/>
      <c r="GC254" s="79"/>
      <c r="GD254" s="79"/>
      <c r="GE254" s="79"/>
      <c r="GF254" s="79"/>
      <c r="GG254" s="79"/>
      <c r="GH254" s="79"/>
    </row>
    <row r="255" spans="1:190" ht="14.25" x14ac:dyDescent="0.2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79"/>
      <c r="AK255" s="79"/>
      <c r="AL255" s="79"/>
      <c r="AM255" s="79"/>
      <c r="AN255" s="79"/>
      <c r="AO255" s="79"/>
      <c r="AP255" s="79"/>
      <c r="AQ255" s="79"/>
      <c r="AR255" s="79"/>
      <c r="AS255" s="79"/>
      <c r="AT255" s="79"/>
      <c r="AU255" s="79"/>
      <c r="AV255" s="79"/>
      <c r="AW255" s="79"/>
      <c r="AX255" s="79"/>
      <c r="AY255" s="79"/>
      <c r="AZ255" s="79"/>
      <c r="BA255" s="79"/>
      <c r="BB255" s="79"/>
      <c r="BC255" s="79"/>
      <c r="BD255" s="79"/>
      <c r="BE255" s="79"/>
      <c r="BF255" s="79"/>
      <c r="BG255" s="79"/>
      <c r="BH255" s="79"/>
      <c r="BI255" s="79"/>
      <c r="BJ255" s="79"/>
      <c r="BK255" s="79"/>
      <c r="BL255" s="79"/>
      <c r="BM255" s="79"/>
      <c r="BN255" s="79"/>
      <c r="BO255" s="79"/>
      <c r="BP255" s="79"/>
      <c r="BQ255" s="79"/>
      <c r="BR255" s="79"/>
      <c r="BS255" s="79"/>
      <c r="BT255" s="79"/>
      <c r="BU255" s="79"/>
      <c r="BV255" s="79"/>
      <c r="BW255" s="79"/>
      <c r="BX255" s="79"/>
      <c r="BY255" s="79"/>
      <c r="BZ255" s="79"/>
      <c r="CA255" s="79"/>
      <c r="CB255" s="79"/>
      <c r="CC255" s="79"/>
      <c r="CD255" s="79"/>
      <c r="CE255" s="79"/>
      <c r="CF255" s="79"/>
      <c r="CG255" s="79"/>
      <c r="CH255" s="79"/>
      <c r="CI255" s="79"/>
      <c r="CJ255" s="79"/>
      <c r="CK255" s="79"/>
      <c r="CL255" s="79"/>
      <c r="CM255" s="79"/>
      <c r="CN255" s="79"/>
      <c r="CO255" s="79"/>
      <c r="CP255" s="79"/>
      <c r="CQ255" s="79"/>
      <c r="CR255" s="79"/>
      <c r="CS255" s="79"/>
      <c r="CT255" s="79"/>
      <c r="CU255" s="79"/>
      <c r="CV255" s="79"/>
      <c r="CW255" s="79"/>
      <c r="CX255" s="79"/>
      <c r="CY255" s="79"/>
      <c r="CZ255" s="79"/>
      <c r="DA255" s="79"/>
      <c r="DB255" s="79"/>
      <c r="DC255" s="79"/>
      <c r="DD255" s="79"/>
      <c r="DE255" s="79"/>
      <c r="DF255" s="79"/>
      <c r="DG255" s="79"/>
      <c r="DH255" s="79"/>
      <c r="DI255" s="79"/>
      <c r="DJ255" s="79"/>
      <c r="DK255" s="79"/>
      <c r="DL255" s="79"/>
      <c r="DM255" s="79"/>
      <c r="DN255" s="79"/>
      <c r="DO255" s="79"/>
      <c r="DP255" s="79"/>
      <c r="DQ255" s="79"/>
      <c r="DR255" s="79"/>
      <c r="DS255" s="79"/>
      <c r="DT255" s="79"/>
      <c r="DU255" s="79"/>
      <c r="DV255" s="79"/>
      <c r="DW255" s="79"/>
      <c r="DX255" s="79"/>
      <c r="DY255" s="79"/>
      <c r="DZ255" s="79"/>
      <c r="EA255" s="79"/>
      <c r="EB255" s="79"/>
      <c r="EC255" s="79"/>
      <c r="ED255" s="79"/>
      <c r="EE255" s="79"/>
      <c r="EF255" s="79"/>
      <c r="EG255" s="79"/>
      <c r="EH255" s="79"/>
      <c r="EI255" s="79"/>
      <c r="EJ255" s="79"/>
      <c r="EK255" s="79"/>
      <c r="EL255" s="79"/>
      <c r="EM255" s="79"/>
      <c r="EN255" s="79"/>
      <c r="EO255" s="79"/>
      <c r="EP255" s="79"/>
      <c r="EQ255" s="79"/>
      <c r="ER255" s="79"/>
      <c r="ES255" s="79"/>
      <c r="ET255" s="79"/>
      <c r="EU255" s="79"/>
      <c r="EV255" s="79"/>
      <c r="EW255" s="79"/>
      <c r="EX255" s="79"/>
      <c r="EY255" s="79"/>
      <c r="EZ255" s="79"/>
      <c r="FA255" s="79"/>
      <c r="FB255" s="79"/>
      <c r="FC255" s="79"/>
      <c r="FD255" s="79"/>
      <c r="FE255" s="79"/>
      <c r="FF255" s="79"/>
      <c r="FG255" s="79"/>
      <c r="FH255" s="79"/>
      <c r="FI255" s="79"/>
      <c r="FJ255" s="79"/>
      <c r="FK255" s="79"/>
      <c r="FL255" s="79"/>
      <c r="FM255" s="79"/>
      <c r="FN255" s="79"/>
      <c r="FO255" s="79"/>
      <c r="FP255" s="79"/>
      <c r="FQ255" s="79"/>
      <c r="FR255" s="79"/>
      <c r="FS255" s="79"/>
      <c r="FT255" s="79"/>
      <c r="FU255" s="79"/>
      <c r="FV255" s="79"/>
      <c r="FW255" s="79"/>
      <c r="FX255" s="79"/>
      <c r="FY255" s="79"/>
      <c r="FZ255" s="79"/>
      <c r="GA255" s="79"/>
      <c r="GB255" s="79"/>
      <c r="GC255" s="79"/>
      <c r="GD255" s="79"/>
      <c r="GE255" s="79"/>
      <c r="GF255" s="79"/>
      <c r="GG255" s="79"/>
      <c r="GH255" s="79"/>
    </row>
    <row r="256" spans="1:190" ht="14.25" x14ac:dyDescent="0.2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79"/>
      <c r="AU256" s="79"/>
      <c r="AV256" s="79"/>
      <c r="AW256" s="79"/>
      <c r="AX256" s="79"/>
      <c r="AY256" s="79"/>
      <c r="AZ256" s="79"/>
      <c r="BA256" s="79"/>
      <c r="BB256" s="79"/>
      <c r="BC256" s="79"/>
      <c r="BD256" s="79"/>
      <c r="BE256" s="79"/>
      <c r="BF256" s="79"/>
      <c r="BG256" s="79"/>
      <c r="BH256" s="79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79"/>
      <c r="BU256" s="79"/>
      <c r="BV256" s="79"/>
      <c r="BW256" s="79"/>
      <c r="BX256" s="79"/>
      <c r="BY256" s="79"/>
      <c r="BZ256" s="79"/>
      <c r="CA256" s="79"/>
      <c r="CB256" s="79"/>
      <c r="CC256" s="79"/>
      <c r="CD256" s="79"/>
      <c r="CE256" s="79"/>
      <c r="CF256" s="79"/>
      <c r="CG256" s="79"/>
      <c r="CH256" s="79"/>
      <c r="CI256" s="79"/>
      <c r="CJ256" s="79"/>
      <c r="CK256" s="79"/>
      <c r="CL256" s="79"/>
      <c r="CM256" s="79"/>
      <c r="CN256" s="79"/>
      <c r="CO256" s="79"/>
      <c r="CP256" s="79"/>
      <c r="CQ256" s="79"/>
      <c r="CR256" s="79"/>
      <c r="CS256" s="79"/>
      <c r="CT256" s="79"/>
      <c r="CU256" s="79"/>
      <c r="CV256" s="79"/>
      <c r="CW256" s="79"/>
      <c r="CX256" s="79"/>
      <c r="CY256" s="79"/>
      <c r="CZ256" s="79"/>
      <c r="DA256" s="79"/>
      <c r="DB256" s="79"/>
      <c r="DC256" s="79"/>
      <c r="DD256" s="79"/>
      <c r="DE256" s="79"/>
      <c r="DF256" s="79"/>
      <c r="DG256" s="79"/>
      <c r="DH256" s="79"/>
      <c r="DI256" s="79"/>
      <c r="DJ256" s="79"/>
      <c r="DK256" s="79"/>
      <c r="DL256" s="79"/>
      <c r="DM256" s="79"/>
      <c r="DN256" s="79"/>
      <c r="DO256" s="79"/>
      <c r="DP256" s="79"/>
      <c r="DQ256" s="79"/>
      <c r="DR256" s="79"/>
      <c r="DS256" s="79"/>
      <c r="DT256" s="79"/>
      <c r="DU256" s="79"/>
      <c r="DV256" s="79"/>
      <c r="DW256" s="79"/>
      <c r="DX256" s="79"/>
      <c r="DY256" s="79"/>
      <c r="DZ256" s="79"/>
      <c r="EA256" s="79"/>
      <c r="EB256" s="79"/>
      <c r="EC256" s="79"/>
      <c r="ED256" s="79"/>
      <c r="EE256" s="79"/>
      <c r="EF256" s="79"/>
      <c r="EG256" s="79"/>
      <c r="EH256" s="79"/>
      <c r="EI256" s="79"/>
      <c r="EJ256" s="79"/>
      <c r="EK256" s="79"/>
      <c r="EL256" s="79"/>
      <c r="EM256" s="79"/>
      <c r="EN256" s="79"/>
      <c r="EO256" s="79"/>
      <c r="EP256" s="79"/>
      <c r="EQ256" s="79"/>
      <c r="ER256" s="79"/>
      <c r="ES256" s="79"/>
      <c r="ET256" s="79"/>
      <c r="EU256" s="79"/>
      <c r="EV256" s="79"/>
      <c r="EW256" s="79"/>
      <c r="EX256" s="79"/>
      <c r="EY256" s="79"/>
      <c r="EZ256" s="79"/>
      <c r="FA256" s="79"/>
      <c r="FB256" s="79"/>
      <c r="FC256" s="79"/>
      <c r="FD256" s="79"/>
      <c r="FE256" s="79"/>
      <c r="FF256" s="79"/>
      <c r="FG256" s="79"/>
      <c r="FH256" s="79"/>
      <c r="FI256" s="79"/>
      <c r="FJ256" s="79"/>
      <c r="FK256" s="79"/>
      <c r="FL256" s="79"/>
      <c r="FM256" s="79"/>
      <c r="FN256" s="79"/>
      <c r="FO256" s="79"/>
      <c r="FP256" s="79"/>
      <c r="FQ256" s="79"/>
      <c r="FR256" s="79"/>
      <c r="FS256" s="79"/>
      <c r="FT256" s="79"/>
      <c r="FU256" s="79"/>
      <c r="FV256" s="79"/>
      <c r="FW256" s="79"/>
      <c r="FX256" s="79"/>
      <c r="FY256" s="79"/>
      <c r="FZ256" s="79"/>
      <c r="GA256" s="79"/>
      <c r="GB256" s="79"/>
      <c r="GC256" s="79"/>
      <c r="GD256" s="79"/>
      <c r="GE256" s="79"/>
      <c r="GF256" s="79"/>
      <c r="GG256" s="79"/>
      <c r="GH256" s="79"/>
    </row>
    <row r="257" spans="1:190" ht="14.25" x14ac:dyDescent="0.2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9"/>
      <c r="AU257" s="79"/>
      <c r="AV257" s="79"/>
      <c r="AW257" s="79"/>
      <c r="AX257" s="79"/>
      <c r="AY257" s="79"/>
      <c r="AZ257" s="79"/>
      <c r="BA257" s="79"/>
      <c r="BB257" s="79"/>
      <c r="BC257" s="79"/>
      <c r="BD257" s="79"/>
      <c r="BE257" s="79"/>
      <c r="BF257" s="79"/>
      <c r="BG257" s="79"/>
      <c r="BH257" s="79"/>
      <c r="BI257" s="79"/>
      <c r="BJ257" s="79"/>
      <c r="BK257" s="79"/>
      <c r="BL257" s="79"/>
      <c r="BM257" s="79"/>
      <c r="BN257" s="79"/>
      <c r="BO257" s="79"/>
      <c r="BP257" s="79"/>
      <c r="BQ257" s="79"/>
      <c r="BR257" s="79"/>
      <c r="BS257" s="79"/>
      <c r="BT257" s="79"/>
      <c r="BU257" s="79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79"/>
      <c r="DG257" s="79"/>
      <c r="DH257" s="79"/>
      <c r="DI257" s="79"/>
      <c r="DJ257" s="79"/>
      <c r="DK257" s="79"/>
      <c r="DL257" s="79"/>
      <c r="DM257" s="79"/>
      <c r="DN257" s="79"/>
      <c r="DO257" s="79"/>
      <c r="DP257" s="79"/>
      <c r="DQ257" s="79"/>
      <c r="DR257" s="79"/>
      <c r="DS257" s="79"/>
      <c r="DT257" s="79"/>
      <c r="DU257" s="79"/>
      <c r="DV257" s="79"/>
      <c r="DW257" s="79"/>
      <c r="DX257" s="79"/>
      <c r="DY257" s="79"/>
      <c r="DZ257" s="79"/>
      <c r="EA257" s="79"/>
      <c r="EB257" s="79"/>
      <c r="EC257" s="79"/>
      <c r="ED257" s="79"/>
      <c r="EE257" s="79"/>
      <c r="EF257" s="79"/>
      <c r="EG257" s="79"/>
      <c r="EH257" s="79"/>
      <c r="EI257" s="79"/>
      <c r="EJ257" s="79"/>
      <c r="EK257" s="79"/>
      <c r="EL257" s="79"/>
      <c r="EM257" s="79"/>
      <c r="EN257" s="79"/>
      <c r="EO257" s="79"/>
      <c r="EP257" s="79"/>
      <c r="EQ257" s="79"/>
      <c r="ER257" s="79"/>
      <c r="ES257" s="79"/>
      <c r="ET257" s="79"/>
      <c r="EU257" s="79"/>
      <c r="EV257" s="79"/>
      <c r="EW257" s="79"/>
      <c r="EX257" s="79"/>
      <c r="EY257" s="79"/>
      <c r="EZ257" s="79"/>
      <c r="FA257" s="79"/>
      <c r="FB257" s="79"/>
      <c r="FC257" s="79"/>
      <c r="FD257" s="79"/>
      <c r="FE257" s="79"/>
      <c r="FF257" s="79"/>
      <c r="FG257" s="79"/>
      <c r="FH257" s="79"/>
      <c r="FI257" s="79"/>
      <c r="FJ257" s="79"/>
      <c r="FK257" s="79"/>
      <c r="FL257" s="79"/>
      <c r="FM257" s="79"/>
      <c r="FN257" s="79"/>
      <c r="FO257" s="79"/>
      <c r="FP257" s="79"/>
      <c r="FQ257" s="79"/>
      <c r="FR257" s="79"/>
      <c r="FS257" s="79"/>
      <c r="FT257" s="79"/>
      <c r="FU257" s="79"/>
      <c r="FV257" s="79"/>
      <c r="FW257" s="79"/>
      <c r="FX257" s="79"/>
      <c r="FY257" s="79"/>
      <c r="FZ257" s="79"/>
      <c r="GA257" s="79"/>
      <c r="GB257" s="79"/>
      <c r="GC257" s="79"/>
      <c r="GD257" s="79"/>
      <c r="GE257" s="79"/>
      <c r="GF257" s="79"/>
      <c r="GG257" s="79"/>
      <c r="GH257" s="79"/>
    </row>
    <row r="258" spans="1:190" ht="14.25" x14ac:dyDescent="0.2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79"/>
      <c r="AU258" s="79"/>
      <c r="AV258" s="79"/>
      <c r="AW258" s="79"/>
      <c r="AX258" s="79"/>
      <c r="AY258" s="79"/>
      <c r="AZ258" s="79"/>
      <c r="BA258" s="79"/>
      <c r="BB258" s="79"/>
      <c r="BC258" s="79"/>
      <c r="BD258" s="79"/>
      <c r="BE258" s="79"/>
      <c r="BF258" s="79"/>
      <c r="BG258" s="79"/>
      <c r="BH258" s="79"/>
      <c r="BI258" s="79"/>
      <c r="BJ258" s="79"/>
      <c r="BK258" s="79"/>
      <c r="BL258" s="79"/>
      <c r="BM258" s="79"/>
      <c r="BN258" s="79"/>
      <c r="BO258" s="79"/>
      <c r="BP258" s="79"/>
      <c r="BQ258" s="79"/>
      <c r="BR258" s="79"/>
      <c r="BS258" s="79"/>
      <c r="BT258" s="79"/>
      <c r="BU258" s="79"/>
      <c r="BV258" s="79"/>
      <c r="BW258" s="79"/>
      <c r="BX258" s="79"/>
      <c r="BY258" s="79"/>
      <c r="BZ258" s="79"/>
      <c r="CA258" s="79"/>
      <c r="CB258" s="79"/>
      <c r="CC258" s="79"/>
      <c r="CD258" s="79"/>
      <c r="CE258" s="79"/>
      <c r="CF258" s="79"/>
      <c r="CG258" s="79"/>
      <c r="CH258" s="79"/>
      <c r="CI258" s="79"/>
      <c r="CJ258" s="79"/>
      <c r="CK258" s="79"/>
      <c r="CL258" s="79"/>
      <c r="CM258" s="79"/>
      <c r="CN258" s="79"/>
      <c r="CO258" s="79"/>
      <c r="CP258" s="79"/>
      <c r="CQ258" s="79"/>
      <c r="CR258" s="79"/>
      <c r="CS258" s="79"/>
      <c r="CT258" s="79"/>
      <c r="CU258" s="79"/>
      <c r="CV258" s="79"/>
      <c r="CW258" s="79"/>
      <c r="CX258" s="79"/>
      <c r="CY258" s="79"/>
      <c r="CZ258" s="79"/>
      <c r="DA258" s="79"/>
      <c r="DB258" s="79"/>
      <c r="DC258" s="79"/>
      <c r="DD258" s="79"/>
      <c r="DE258" s="79"/>
      <c r="DF258" s="79"/>
      <c r="DG258" s="79"/>
      <c r="DH258" s="79"/>
      <c r="DI258" s="79"/>
      <c r="DJ258" s="79"/>
      <c r="DK258" s="79"/>
      <c r="DL258" s="79"/>
      <c r="DM258" s="79"/>
      <c r="DN258" s="79"/>
      <c r="DO258" s="79"/>
      <c r="DP258" s="79"/>
      <c r="DQ258" s="79"/>
      <c r="DR258" s="79"/>
      <c r="DS258" s="79"/>
      <c r="DT258" s="79"/>
      <c r="DU258" s="79"/>
      <c r="DV258" s="79"/>
      <c r="DW258" s="79"/>
      <c r="DX258" s="79"/>
      <c r="DY258" s="79"/>
      <c r="DZ258" s="79"/>
      <c r="EA258" s="79"/>
      <c r="EB258" s="79"/>
      <c r="EC258" s="79"/>
      <c r="ED258" s="79"/>
      <c r="EE258" s="79"/>
      <c r="EF258" s="79"/>
      <c r="EG258" s="79"/>
      <c r="EH258" s="79"/>
      <c r="EI258" s="79"/>
      <c r="EJ258" s="79"/>
      <c r="EK258" s="79"/>
      <c r="EL258" s="79"/>
      <c r="EM258" s="79"/>
      <c r="EN258" s="79"/>
      <c r="EO258" s="79"/>
      <c r="EP258" s="79"/>
      <c r="EQ258" s="79"/>
      <c r="ER258" s="79"/>
      <c r="ES258" s="79"/>
      <c r="ET258" s="79"/>
      <c r="EU258" s="79"/>
      <c r="EV258" s="79"/>
      <c r="EW258" s="79"/>
      <c r="EX258" s="79"/>
      <c r="EY258" s="79"/>
      <c r="EZ258" s="79"/>
      <c r="FA258" s="79"/>
      <c r="FB258" s="79"/>
      <c r="FC258" s="79"/>
      <c r="FD258" s="79"/>
      <c r="FE258" s="79"/>
      <c r="FF258" s="79"/>
      <c r="FG258" s="79"/>
      <c r="FH258" s="79"/>
      <c r="FI258" s="79"/>
      <c r="FJ258" s="79"/>
      <c r="FK258" s="79"/>
      <c r="FL258" s="79"/>
      <c r="FM258" s="79"/>
      <c r="FN258" s="79"/>
      <c r="FO258" s="79"/>
      <c r="FP258" s="79"/>
      <c r="FQ258" s="79"/>
      <c r="FR258" s="79"/>
      <c r="FS258" s="79"/>
      <c r="FT258" s="79"/>
      <c r="FU258" s="79"/>
      <c r="FV258" s="79"/>
      <c r="FW258" s="79"/>
      <c r="FX258" s="79"/>
      <c r="FY258" s="79"/>
      <c r="FZ258" s="79"/>
      <c r="GA258" s="79"/>
      <c r="GB258" s="79"/>
      <c r="GC258" s="79"/>
      <c r="GD258" s="79"/>
      <c r="GE258" s="79"/>
      <c r="GF258" s="79"/>
      <c r="GG258" s="79"/>
      <c r="GH258" s="79"/>
    </row>
    <row r="259" spans="1:190" ht="14.25" x14ac:dyDescent="0.2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  <c r="AX259" s="79"/>
      <c r="AY259" s="79"/>
      <c r="AZ259" s="79"/>
      <c r="BA259" s="79"/>
      <c r="BB259" s="79"/>
      <c r="BC259" s="79"/>
      <c r="BD259" s="79"/>
      <c r="BE259" s="79"/>
      <c r="BF259" s="79"/>
      <c r="BG259" s="79"/>
      <c r="BH259" s="79"/>
      <c r="BI259" s="79"/>
      <c r="BJ259" s="79"/>
      <c r="BK259" s="79"/>
      <c r="BL259" s="79"/>
      <c r="BM259" s="79"/>
      <c r="BN259" s="79"/>
      <c r="BO259" s="79"/>
      <c r="BP259" s="79"/>
      <c r="BQ259" s="79"/>
      <c r="BR259" s="79"/>
      <c r="BS259" s="79"/>
      <c r="BT259" s="79"/>
      <c r="BU259" s="79"/>
      <c r="BV259" s="79"/>
      <c r="BW259" s="79"/>
      <c r="BX259" s="79"/>
      <c r="BY259" s="79"/>
      <c r="BZ259" s="79"/>
      <c r="CA259" s="79"/>
      <c r="CB259" s="79"/>
      <c r="CC259" s="79"/>
      <c r="CD259" s="79"/>
      <c r="CE259" s="79"/>
      <c r="CF259" s="79"/>
      <c r="CG259" s="79"/>
      <c r="CH259" s="79"/>
      <c r="CI259" s="79"/>
      <c r="CJ259" s="79"/>
      <c r="CK259" s="79"/>
      <c r="CL259" s="79"/>
      <c r="CM259" s="79"/>
      <c r="CN259" s="79"/>
      <c r="CO259" s="79"/>
      <c r="CP259" s="79"/>
      <c r="CQ259" s="79"/>
      <c r="CR259" s="79"/>
      <c r="CS259" s="79"/>
      <c r="CT259" s="79"/>
      <c r="CU259" s="79"/>
      <c r="CV259" s="79"/>
      <c r="CW259" s="79"/>
      <c r="CX259" s="79"/>
      <c r="CY259" s="79"/>
      <c r="CZ259" s="79"/>
      <c r="DA259" s="79"/>
      <c r="DB259" s="79"/>
      <c r="DC259" s="79"/>
      <c r="DD259" s="79"/>
      <c r="DE259" s="79"/>
      <c r="DF259" s="79"/>
      <c r="DG259" s="79"/>
      <c r="DH259" s="79"/>
      <c r="DI259" s="79"/>
      <c r="DJ259" s="79"/>
      <c r="DK259" s="79"/>
      <c r="DL259" s="79"/>
      <c r="DM259" s="79"/>
      <c r="DN259" s="79"/>
      <c r="DO259" s="79"/>
      <c r="DP259" s="79"/>
      <c r="DQ259" s="79"/>
      <c r="DR259" s="79"/>
      <c r="DS259" s="79"/>
      <c r="DT259" s="79"/>
      <c r="DU259" s="79"/>
      <c r="DV259" s="79"/>
      <c r="DW259" s="79"/>
      <c r="DX259" s="79"/>
      <c r="DY259" s="79"/>
      <c r="DZ259" s="79"/>
      <c r="EA259" s="79"/>
      <c r="EB259" s="79"/>
      <c r="EC259" s="79"/>
      <c r="ED259" s="79"/>
      <c r="EE259" s="79"/>
      <c r="EF259" s="79"/>
      <c r="EG259" s="79"/>
      <c r="EH259" s="79"/>
      <c r="EI259" s="79"/>
      <c r="EJ259" s="79"/>
      <c r="EK259" s="79"/>
      <c r="EL259" s="79"/>
      <c r="EM259" s="79"/>
      <c r="EN259" s="79"/>
      <c r="EO259" s="79"/>
      <c r="EP259" s="79"/>
      <c r="EQ259" s="79"/>
      <c r="ER259" s="79"/>
      <c r="ES259" s="79"/>
      <c r="ET259" s="79"/>
      <c r="EU259" s="79"/>
      <c r="EV259" s="79"/>
      <c r="EW259" s="79"/>
      <c r="EX259" s="79"/>
      <c r="EY259" s="79"/>
      <c r="EZ259" s="79"/>
      <c r="FA259" s="79"/>
      <c r="FB259" s="79"/>
      <c r="FC259" s="79"/>
      <c r="FD259" s="79"/>
      <c r="FE259" s="79"/>
      <c r="FF259" s="79"/>
      <c r="FG259" s="79"/>
      <c r="FH259" s="79"/>
      <c r="FI259" s="79"/>
      <c r="FJ259" s="79"/>
      <c r="FK259" s="79"/>
      <c r="FL259" s="79"/>
      <c r="FM259" s="79"/>
      <c r="FN259" s="79"/>
      <c r="FO259" s="79"/>
      <c r="FP259" s="79"/>
      <c r="FQ259" s="79"/>
      <c r="FR259" s="79"/>
      <c r="FS259" s="79"/>
      <c r="FT259" s="79"/>
      <c r="FU259" s="79"/>
      <c r="FV259" s="79"/>
      <c r="FW259" s="79"/>
      <c r="FX259" s="79"/>
      <c r="FY259" s="79"/>
      <c r="FZ259" s="79"/>
      <c r="GA259" s="79"/>
      <c r="GB259" s="79"/>
      <c r="GC259" s="79"/>
      <c r="GD259" s="79"/>
      <c r="GE259" s="79"/>
      <c r="GF259" s="79"/>
      <c r="GG259" s="79"/>
      <c r="GH259" s="79"/>
    </row>
    <row r="260" spans="1:190" ht="14.25" x14ac:dyDescent="0.2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9"/>
      <c r="AU260" s="79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79"/>
      <c r="BG260" s="79"/>
      <c r="BH260" s="79"/>
      <c r="BI260" s="79"/>
      <c r="BJ260" s="79"/>
      <c r="BK260" s="79"/>
      <c r="BL260" s="79"/>
      <c r="BM260" s="79"/>
      <c r="BN260" s="79"/>
      <c r="BO260" s="79"/>
      <c r="BP260" s="79"/>
      <c r="BQ260" s="79"/>
      <c r="BR260" s="79"/>
      <c r="BS260" s="79"/>
      <c r="BT260" s="79"/>
      <c r="BU260" s="79"/>
      <c r="BV260" s="79"/>
      <c r="BW260" s="79"/>
      <c r="BX260" s="79"/>
      <c r="BY260" s="79"/>
      <c r="BZ260" s="79"/>
      <c r="CA260" s="79"/>
      <c r="CB260" s="79"/>
      <c r="CC260" s="79"/>
      <c r="CD260" s="79"/>
      <c r="CE260" s="79"/>
      <c r="CF260" s="79"/>
      <c r="CG260" s="79"/>
      <c r="CH260" s="79"/>
      <c r="CI260" s="79"/>
      <c r="CJ260" s="79"/>
      <c r="CK260" s="79"/>
      <c r="CL260" s="79"/>
      <c r="CM260" s="79"/>
      <c r="CN260" s="79"/>
      <c r="CO260" s="79"/>
      <c r="CP260" s="79"/>
      <c r="CQ260" s="79"/>
      <c r="CR260" s="79"/>
      <c r="CS260" s="79"/>
      <c r="CT260" s="79"/>
      <c r="CU260" s="79"/>
      <c r="CV260" s="79"/>
      <c r="CW260" s="79"/>
      <c r="CX260" s="79"/>
      <c r="CY260" s="79"/>
      <c r="CZ260" s="79"/>
      <c r="DA260" s="79"/>
      <c r="DB260" s="79"/>
      <c r="DC260" s="79"/>
      <c r="DD260" s="79"/>
      <c r="DE260" s="79"/>
      <c r="DF260" s="79"/>
      <c r="DG260" s="79"/>
      <c r="DH260" s="79"/>
      <c r="DI260" s="79"/>
      <c r="DJ260" s="79"/>
      <c r="DK260" s="79"/>
      <c r="DL260" s="79"/>
      <c r="DM260" s="79"/>
      <c r="DN260" s="79"/>
      <c r="DO260" s="79"/>
      <c r="DP260" s="79"/>
      <c r="DQ260" s="79"/>
      <c r="DR260" s="79"/>
      <c r="DS260" s="79"/>
      <c r="DT260" s="79"/>
      <c r="DU260" s="79"/>
      <c r="DV260" s="79"/>
      <c r="DW260" s="79"/>
      <c r="DX260" s="79"/>
      <c r="DY260" s="79"/>
      <c r="DZ260" s="79"/>
      <c r="EA260" s="79"/>
      <c r="EB260" s="79"/>
      <c r="EC260" s="79"/>
      <c r="ED260" s="79"/>
      <c r="EE260" s="79"/>
      <c r="EF260" s="79"/>
      <c r="EG260" s="79"/>
      <c r="EH260" s="79"/>
      <c r="EI260" s="79"/>
      <c r="EJ260" s="79"/>
      <c r="EK260" s="79"/>
      <c r="EL260" s="79"/>
      <c r="EM260" s="79"/>
      <c r="EN260" s="79"/>
      <c r="EO260" s="79"/>
      <c r="EP260" s="79"/>
      <c r="EQ260" s="79"/>
      <c r="ER260" s="79"/>
      <c r="ES260" s="79"/>
      <c r="ET260" s="79"/>
      <c r="EU260" s="79"/>
      <c r="EV260" s="79"/>
      <c r="EW260" s="79"/>
      <c r="EX260" s="79"/>
      <c r="EY260" s="79"/>
      <c r="EZ260" s="79"/>
      <c r="FA260" s="79"/>
      <c r="FB260" s="79"/>
      <c r="FC260" s="79"/>
      <c r="FD260" s="79"/>
      <c r="FE260" s="79"/>
      <c r="FF260" s="79"/>
      <c r="FG260" s="79"/>
      <c r="FH260" s="79"/>
      <c r="FI260" s="79"/>
      <c r="FJ260" s="79"/>
      <c r="FK260" s="79"/>
      <c r="FL260" s="79"/>
      <c r="FM260" s="79"/>
      <c r="FN260" s="79"/>
      <c r="FO260" s="79"/>
      <c r="FP260" s="79"/>
      <c r="FQ260" s="79"/>
      <c r="FR260" s="79"/>
      <c r="FS260" s="79"/>
      <c r="FT260" s="79"/>
      <c r="FU260" s="79"/>
      <c r="FV260" s="79"/>
      <c r="FW260" s="79"/>
      <c r="FX260" s="79"/>
      <c r="FY260" s="79"/>
      <c r="FZ260" s="79"/>
      <c r="GA260" s="79"/>
      <c r="GB260" s="79"/>
      <c r="GC260" s="79"/>
      <c r="GD260" s="79"/>
      <c r="GE260" s="79"/>
      <c r="GF260" s="79"/>
      <c r="GG260" s="79"/>
      <c r="GH260" s="79"/>
    </row>
    <row r="261" spans="1:190" ht="14.25" x14ac:dyDescent="0.2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9"/>
      <c r="AU261" s="79"/>
      <c r="AV261" s="79"/>
      <c r="AW261" s="79"/>
      <c r="AX261" s="79"/>
      <c r="AY261" s="79"/>
      <c r="AZ261" s="79"/>
      <c r="BA261" s="79"/>
      <c r="BB261" s="79"/>
      <c r="BC261" s="79"/>
      <c r="BD261" s="79"/>
      <c r="BE261" s="79"/>
      <c r="BF261" s="79"/>
      <c r="BG261" s="79"/>
      <c r="BH261" s="79"/>
      <c r="BI261" s="79"/>
      <c r="BJ261" s="79"/>
      <c r="BK261" s="79"/>
      <c r="BL261" s="79"/>
      <c r="BM261" s="79"/>
      <c r="BN261" s="79"/>
      <c r="BO261" s="79"/>
      <c r="BP261" s="79"/>
      <c r="BQ261" s="79"/>
      <c r="BR261" s="79"/>
      <c r="BS261" s="79"/>
      <c r="BT261" s="79"/>
      <c r="BU261" s="79"/>
      <c r="BV261" s="79"/>
      <c r="BW261" s="79"/>
      <c r="BX261" s="79"/>
      <c r="BY261" s="79"/>
      <c r="BZ261" s="79"/>
      <c r="CA261" s="79"/>
      <c r="CB261" s="79"/>
      <c r="CC261" s="79"/>
      <c r="CD261" s="79"/>
      <c r="CE261" s="79"/>
      <c r="CF261" s="79"/>
      <c r="CG261" s="79"/>
      <c r="CH261" s="79"/>
      <c r="CI261" s="79"/>
      <c r="CJ261" s="79"/>
      <c r="CK261" s="79"/>
      <c r="CL261" s="79"/>
      <c r="CM261" s="79"/>
      <c r="CN261" s="79"/>
      <c r="CO261" s="79"/>
      <c r="CP261" s="79"/>
      <c r="CQ261" s="79"/>
      <c r="CR261" s="79"/>
      <c r="CS261" s="79"/>
      <c r="CT261" s="79"/>
      <c r="CU261" s="79"/>
      <c r="CV261" s="79"/>
      <c r="CW261" s="79"/>
      <c r="CX261" s="79"/>
      <c r="CY261" s="79"/>
      <c r="CZ261" s="79"/>
      <c r="DA261" s="79"/>
      <c r="DB261" s="79"/>
      <c r="DC261" s="79"/>
      <c r="DD261" s="79"/>
      <c r="DE261" s="79"/>
      <c r="DF261" s="79"/>
      <c r="DG261" s="79"/>
      <c r="DH261" s="79"/>
      <c r="DI261" s="79"/>
      <c r="DJ261" s="79"/>
      <c r="DK261" s="79"/>
      <c r="DL261" s="79"/>
      <c r="DM261" s="79"/>
      <c r="DN261" s="79"/>
      <c r="DO261" s="79"/>
      <c r="DP261" s="79"/>
      <c r="DQ261" s="79"/>
      <c r="DR261" s="79"/>
      <c r="DS261" s="79"/>
      <c r="DT261" s="79"/>
      <c r="DU261" s="79"/>
      <c r="DV261" s="79"/>
      <c r="DW261" s="79"/>
      <c r="DX261" s="79"/>
      <c r="DY261" s="79"/>
      <c r="DZ261" s="79"/>
      <c r="EA261" s="79"/>
      <c r="EB261" s="79"/>
      <c r="EC261" s="79"/>
      <c r="ED261" s="79"/>
      <c r="EE261" s="79"/>
      <c r="EF261" s="79"/>
      <c r="EG261" s="79"/>
      <c r="EH261" s="79"/>
      <c r="EI261" s="79"/>
      <c r="EJ261" s="79"/>
      <c r="EK261" s="79"/>
      <c r="EL261" s="79"/>
      <c r="EM261" s="79"/>
      <c r="EN261" s="79"/>
      <c r="EO261" s="79"/>
      <c r="EP261" s="79"/>
      <c r="EQ261" s="79"/>
      <c r="ER261" s="79"/>
      <c r="ES261" s="79"/>
      <c r="ET261" s="79"/>
      <c r="EU261" s="79"/>
      <c r="EV261" s="79"/>
      <c r="EW261" s="79"/>
      <c r="EX261" s="79"/>
      <c r="EY261" s="79"/>
      <c r="EZ261" s="79"/>
      <c r="FA261" s="79"/>
      <c r="FB261" s="79"/>
      <c r="FC261" s="79"/>
      <c r="FD261" s="79"/>
      <c r="FE261" s="79"/>
      <c r="FF261" s="79"/>
      <c r="FG261" s="79"/>
      <c r="FH261" s="79"/>
      <c r="FI261" s="79"/>
      <c r="FJ261" s="79"/>
      <c r="FK261" s="79"/>
      <c r="FL261" s="79"/>
      <c r="FM261" s="79"/>
      <c r="FN261" s="79"/>
      <c r="FO261" s="79"/>
      <c r="FP261" s="79"/>
      <c r="FQ261" s="79"/>
      <c r="FR261" s="79"/>
      <c r="FS261" s="79"/>
      <c r="FT261" s="79"/>
      <c r="FU261" s="79"/>
      <c r="FV261" s="79"/>
      <c r="FW261" s="79"/>
      <c r="FX261" s="79"/>
      <c r="FY261" s="79"/>
      <c r="FZ261" s="79"/>
      <c r="GA261" s="79"/>
      <c r="GB261" s="79"/>
      <c r="GC261" s="79"/>
      <c r="GD261" s="79"/>
      <c r="GE261" s="79"/>
      <c r="GF261" s="79"/>
      <c r="GG261" s="79"/>
      <c r="GH261" s="79"/>
    </row>
  </sheetData>
  <hyperlinks>
    <hyperlink ref="C13" r:id="rId1" xr:uid="{591A442F-E13E-484F-B26D-100A12C5F95B}"/>
    <hyperlink ref="C17" r:id="rId2" xr:uid="{CB0FEBB6-F93F-4191-B19D-2B6E93898717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5E41-87A6-4A6F-9B66-8F2D839FD431}">
  <dimension ref="A1:T701"/>
  <sheetViews>
    <sheetView topLeftCell="A634" zoomScaleNormal="100" workbookViewId="0">
      <selection activeCell="A3" sqref="A3:B688"/>
    </sheetView>
  </sheetViews>
  <sheetFormatPr defaultColWidth="9" defaultRowHeight="15" x14ac:dyDescent="0.25"/>
  <cols>
    <col min="1" max="1" width="9.5703125" style="85" bestFit="1" customWidth="1"/>
    <col min="2" max="4" width="9" style="85"/>
    <col min="5" max="5" width="10.140625" style="85" bestFit="1" customWidth="1"/>
    <col min="6" max="17" width="9" style="85"/>
    <col min="18" max="18" width="9.5703125" style="85" bestFit="1" customWidth="1"/>
    <col min="19" max="16384" width="9" style="85"/>
  </cols>
  <sheetData>
    <row r="1" spans="1:20" ht="75" x14ac:dyDescent="0.25">
      <c r="A1" s="92"/>
      <c r="B1" s="92" t="s">
        <v>242</v>
      </c>
      <c r="N1" s="92"/>
      <c r="O1" s="92" t="s">
        <v>242</v>
      </c>
    </row>
    <row r="2" spans="1:20" ht="30" x14ac:dyDescent="0.25">
      <c r="A2" s="92"/>
      <c r="B2" s="92" t="s">
        <v>241</v>
      </c>
      <c r="N2" s="92"/>
      <c r="O2" s="92" t="s">
        <v>241</v>
      </c>
    </row>
    <row r="3" spans="1:20" x14ac:dyDescent="0.25">
      <c r="A3" s="89">
        <v>44561</v>
      </c>
      <c r="B3" s="91" t="e">
        <v>#N/A</v>
      </c>
      <c r="F3" s="85" t="str">
        <f>B1</f>
        <v>AXIAN Group USD420m Feb 2027</v>
      </c>
      <c r="N3" s="89">
        <v>44561</v>
      </c>
      <c r="O3" s="88" t="e">
        <v>#N/A</v>
      </c>
      <c r="S3" s="85" t="str">
        <f>O1</f>
        <v>AXIAN Group USD420m Feb 2027</v>
      </c>
    </row>
    <row r="4" spans="1:20" x14ac:dyDescent="0.25">
      <c r="A4" s="89">
        <v>44564</v>
      </c>
      <c r="B4" s="91" t="e">
        <v>#N/A</v>
      </c>
      <c r="E4" s="87">
        <f t="shared" ref="E4:E67" si="0">A3</f>
        <v>44561</v>
      </c>
      <c r="F4" s="90"/>
      <c r="G4" s="90"/>
      <c r="N4" s="89">
        <v>44564</v>
      </c>
      <c r="O4" s="88" t="e">
        <v>#N/A</v>
      </c>
      <c r="R4" s="87">
        <f t="shared" ref="R4:R67" si="1">N3</f>
        <v>44561</v>
      </c>
      <c r="S4" s="86"/>
      <c r="T4" s="86"/>
    </row>
    <row r="5" spans="1:20" x14ac:dyDescent="0.25">
      <c r="A5" s="89">
        <v>44565</v>
      </c>
      <c r="B5" s="91" t="e">
        <v>#N/A</v>
      </c>
      <c r="E5" s="87">
        <f t="shared" si="0"/>
        <v>44564</v>
      </c>
      <c r="F5" s="90"/>
      <c r="G5" s="90"/>
      <c r="N5" s="89">
        <v>44565</v>
      </c>
      <c r="O5" s="88" t="e">
        <v>#N/A</v>
      </c>
      <c r="R5" s="87">
        <f t="shared" si="1"/>
        <v>44564</v>
      </c>
      <c r="S5" s="86"/>
      <c r="T5" s="86"/>
    </row>
    <row r="6" spans="1:20" x14ac:dyDescent="0.25">
      <c r="A6" s="89">
        <v>44566</v>
      </c>
      <c r="B6" s="91" t="e">
        <v>#N/A</v>
      </c>
      <c r="E6" s="87">
        <f t="shared" si="0"/>
        <v>44565</v>
      </c>
      <c r="F6" s="90"/>
      <c r="G6" s="90"/>
      <c r="N6" s="89">
        <v>44566</v>
      </c>
      <c r="O6" s="88" t="e">
        <v>#N/A</v>
      </c>
      <c r="R6" s="87">
        <f t="shared" si="1"/>
        <v>44565</v>
      </c>
      <c r="S6" s="86"/>
      <c r="T6" s="86"/>
    </row>
    <row r="7" spans="1:20" x14ac:dyDescent="0.25">
      <c r="A7" s="89">
        <v>44567</v>
      </c>
      <c r="B7" s="91" t="e">
        <v>#N/A</v>
      </c>
      <c r="E7" s="87">
        <f t="shared" si="0"/>
        <v>44566</v>
      </c>
      <c r="F7" s="90"/>
      <c r="G7" s="90"/>
      <c r="N7" s="89">
        <v>44567</v>
      </c>
      <c r="O7" s="88" t="e">
        <v>#N/A</v>
      </c>
      <c r="R7" s="87">
        <f t="shared" si="1"/>
        <v>44566</v>
      </c>
      <c r="S7" s="86"/>
      <c r="T7" s="86"/>
    </row>
    <row r="8" spans="1:20" x14ac:dyDescent="0.25">
      <c r="A8" s="89">
        <v>44568</v>
      </c>
      <c r="B8" s="91" t="e">
        <v>#N/A</v>
      </c>
      <c r="E8" s="87">
        <f t="shared" si="0"/>
        <v>44567</v>
      </c>
      <c r="F8" s="90"/>
      <c r="G8" s="90"/>
      <c r="N8" s="89">
        <v>44568</v>
      </c>
      <c r="O8" s="88" t="e">
        <v>#N/A</v>
      </c>
      <c r="R8" s="87">
        <f t="shared" si="1"/>
        <v>44567</v>
      </c>
      <c r="S8" s="86"/>
      <c r="T8" s="86"/>
    </row>
    <row r="9" spans="1:20" x14ac:dyDescent="0.25">
      <c r="A9" s="89">
        <v>44571</v>
      </c>
      <c r="B9" s="91" t="e">
        <v>#N/A</v>
      </c>
      <c r="E9" s="87">
        <f t="shared" si="0"/>
        <v>44568</v>
      </c>
      <c r="F9" s="90"/>
      <c r="G9" s="90"/>
      <c r="N9" s="89">
        <v>44571</v>
      </c>
      <c r="O9" s="88" t="e">
        <v>#N/A</v>
      </c>
      <c r="R9" s="87">
        <f t="shared" si="1"/>
        <v>44568</v>
      </c>
      <c r="S9" s="86"/>
      <c r="T9" s="86"/>
    </row>
    <row r="10" spans="1:20" x14ac:dyDescent="0.25">
      <c r="A10" s="89">
        <v>44572</v>
      </c>
      <c r="B10" s="91" t="e">
        <v>#N/A</v>
      </c>
      <c r="E10" s="87">
        <f t="shared" si="0"/>
        <v>44571</v>
      </c>
      <c r="F10" s="90"/>
      <c r="G10" s="90"/>
      <c r="N10" s="89">
        <v>44572</v>
      </c>
      <c r="O10" s="88" t="e">
        <v>#N/A</v>
      </c>
      <c r="R10" s="87">
        <f t="shared" si="1"/>
        <v>44571</v>
      </c>
      <c r="S10" s="86"/>
      <c r="T10" s="86"/>
    </row>
    <row r="11" spans="1:20" x14ac:dyDescent="0.25">
      <c r="A11" s="89">
        <v>44573</v>
      </c>
      <c r="B11" s="91" t="e">
        <v>#N/A</v>
      </c>
      <c r="E11" s="87">
        <f t="shared" si="0"/>
        <v>44572</v>
      </c>
      <c r="F11" s="90"/>
      <c r="G11" s="90"/>
      <c r="N11" s="89">
        <v>44573</v>
      </c>
      <c r="O11" s="88" t="e">
        <v>#N/A</v>
      </c>
      <c r="R11" s="87">
        <f t="shared" si="1"/>
        <v>44572</v>
      </c>
      <c r="S11" s="86"/>
      <c r="T11" s="86"/>
    </row>
    <row r="12" spans="1:20" x14ac:dyDescent="0.25">
      <c r="A12" s="89">
        <v>44574</v>
      </c>
      <c r="B12" s="91" t="e">
        <v>#N/A</v>
      </c>
      <c r="E12" s="87">
        <f t="shared" si="0"/>
        <v>44573</v>
      </c>
      <c r="F12" s="90"/>
      <c r="G12" s="90"/>
      <c r="N12" s="89">
        <v>44574</v>
      </c>
      <c r="O12" s="88" t="e">
        <v>#N/A</v>
      </c>
      <c r="R12" s="87">
        <f t="shared" si="1"/>
        <v>44573</v>
      </c>
      <c r="S12" s="86"/>
      <c r="T12" s="86"/>
    </row>
    <row r="13" spans="1:20" x14ac:dyDescent="0.25">
      <c r="A13" s="89">
        <v>44575</v>
      </c>
      <c r="B13" s="91" t="e">
        <v>#N/A</v>
      </c>
      <c r="E13" s="87">
        <f t="shared" si="0"/>
        <v>44574</v>
      </c>
      <c r="F13" s="90"/>
      <c r="G13" s="90"/>
      <c r="N13" s="89">
        <v>44575</v>
      </c>
      <c r="O13" s="88" t="e">
        <v>#N/A</v>
      </c>
      <c r="R13" s="87">
        <f t="shared" si="1"/>
        <v>44574</v>
      </c>
      <c r="S13" s="86"/>
      <c r="T13" s="86"/>
    </row>
    <row r="14" spans="1:20" x14ac:dyDescent="0.25">
      <c r="A14" s="89">
        <v>44579</v>
      </c>
      <c r="B14" s="91" t="e">
        <v>#N/A</v>
      </c>
      <c r="E14" s="87">
        <f t="shared" si="0"/>
        <v>44575</v>
      </c>
      <c r="F14" s="90"/>
      <c r="G14" s="90"/>
      <c r="N14" s="89">
        <v>44579</v>
      </c>
      <c r="O14" s="88" t="e">
        <v>#N/A</v>
      </c>
      <c r="R14" s="87">
        <f t="shared" si="1"/>
        <v>44575</v>
      </c>
      <c r="S14" s="86"/>
      <c r="T14" s="86"/>
    </row>
    <row r="15" spans="1:20" x14ac:dyDescent="0.25">
      <c r="A15" s="89">
        <v>44580</v>
      </c>
      <c r="B15" s="91" t="e">
        <v>#N/A</v>
      </c>
      <c r="E15" s="87">
        <f t="shared" si="0"/>
        <v>44579</v>
      </c>
      <c r="F15" s="90"/>
      <c r="G15" s="90"/>
      <c r="N15" s="89">
        <v>44580</v>
      </c>
      <c r="O15" s="88" t="e">
        <v>#N/A</v>
      </c>
      <c r="R15" s="87">
        <f t="shared" si="1"/>
        <v>44579</v>
      </c>
      <c r="S15" s="86"/>
      <c r="T15" s="86"/>
    </row>
    <row r="16" spans="1:20" x14ac:dyDescent="0.25">
      <c r="A16" s="89">
        <v>44581</v>
      </c>
      <c r="B16" s="91" t="e">
        <v>#N/A</v>
      </c>
      <c r="E16" s="87">
        <f t="shared" si="0"/>
        <v>44580</v>
      </c>
      <c r="F16" s="90"/>
      <c r="G16" s="90"/>
      <c r="N16" s="89">
        <v>44581</v>
      </c>
      <c r="O16" s="88" t="e">
        <v>#N/A</v>
      </c>
      <c r="R16" s="87">
        <f t="shared" si="1"/>
        <v>44580</v>
      </c>
      <c r="S16" s="86"/>
      <c r="T16" s="86"/>
    </row>
    <row r="17" spans="1:20" x14ac:dyDescent="0.25">
      <c r="A17" s="89">
        <v>44582</v>
      </c>
      <c r="B17" s="91" t="e">
        <v>#N/A</v>
      </c>
      <c r="E17" s="87">
        <f t="shared" si="0"/>
        <v>44581</v>
      </c>
      <c r="F17" s="90"/>
      <c r="G17" s="90"/>
      <c r="N17" s="89">
        <v>44582</v>
      </c>
      <c r="O17" s="88" t="e">
        <v>#N/A</v>
      </c>
      <c r="R17" s="87">
        <f t="shared" si="1"/>
        <v>44581</v>
      </c>
      <c r="S17" s="86"/>
      <c r="T17" s="86"/>
    </row>
    <row r="18" spans="1:20" x14ac:dyDescent="0.25">
      <c r="A18" s="89">
        <v>44585</v>
      </c>
      <c r="B18" s="91" t="e">
        <v>#N/A</v>
      </c>
      <c r="E18" s="87">
        <f t="shared" si="0"/>
        <v>44582</v>
      </c>
      <c r="F18" s="90"/>
      <c r="G18" s="90"/>
      <c r="N18" s="89">
        <v>44585</v>
      </c>
      <c r="O18" s="88" t="e">
        <v>#N/A</v>
      </c>
      <c r="R18" s="87">
        <f t="shared" si="1"/>
        <v>44582</v>
      </c>
      <c r="S18" s="86"/>
      <c r="T18" s="86"/>
    </row>
    <row r="19" spans="1:20" x14ac:dyDescent="0.25">
      <c r="A19" s="89">
        <v>44586</v>
      </c>
      <c r="B19" s="91" t="e">
        <v>#N/A</v>
      </c>
      <c r="E19" s="87">
        <f t="shared" si="0"/>
        <v>44585</v>
      </c>
      <c r="F19" s="90"/>
      <c r="G19" s="90"/>
      <c r="N19" s="89">
        <v>44586</v>
      </c>
      <c r="O19" s="88" t="e">
        <v>#N/A</v>
      </c>
      <c r="R19" s="87">
        <f t="shared" si="1"/>
        <v>44585</v>
      </c>
      <c r="S19" s="86"/>
      <c r="T19" s="86"/>
    </row>
    <row r="20" spans="1:20" x14ac:dyDescent="0.25">
      <c r="A20" s="89">
        <v>44587</v>
      </c>
      <c r="B20" s="91" t="e">
        <v>#N/A</v>
      </c>
      <c r="E20" s="87">
        <f t="shared" si="0"/>
        <v>44586</v>
      </c>
      <c r="F20" s="90"/>
      <c r="G20" s="90"/>
      <c r="N20" s="89">
        <v>44587</v>
      </c>
      <c r="O20" s="88" t="e">
        <v>#N/A</v>
      </c>
      <c r="R20" s="87">
        <f t="shared" si="1"/>
        <v>44586</v>
      </c>
      <c r="S20" s="86"/>
      <c r="T20" s="86"/>
    </row>
    <row r="21" spans="1:20" x14ac:dyDescent="0.25">
      <c r="A21" s="89">
        <v>44588</v>
      </c>
      <c r="B21" s="91" t="e">
        <v>#N/A</v>
      </c>
      <c r="E21" s="87">
        <f t="shared" si="0"/>
        <v>44587</v>
      </c>
      <c r="F21" s="90"/>
      <c r="G21" s="90"/>
      <c r="N21" s="89">
        <v>44588</v>
      </c>
      <c r="O21" s="88" t="e">
        <v>#N/A</v>
      </c>
      <c r="R21" s="87">
        <f t="shared" si="1"/>
        <v>44587</v>
      </c>
      <c r="S21" s="86"/>
      <c r="T21" s="86"/>
    </row>
    <row r="22" spans="1:20" x14ac:dyDescent="0.25">
      <c r="A22" s="89">
        <v>44589</v>
      </c>
      <c r="B22" s="91" t="e">
        <v>#N/A</v>
      </c>
      <c r="E22" s="87">
        <f t="shared" si="0"/>
        <v>44588</v>
      </c>
      <c r="F22" s="90"/>
      <c r="G22" s="90"/>
      <c r="N22" s="89">
        <v>44589</v>
      </c>
      <c r="O22" s="88" t="e">
        <v>#N/A</v>
      </c>
      <c r="R22" s="87">
        <f t="shared" si="1"/>
        <v>44588</v>
      </c>
      <c r="S22" s="86"/>
      <c r="T22" s="86"/>
    </row>
    <row r="23" spans="1:20" x14ac:dyDescent="0.25">
      <c r="A23" s="89">
        <v>44592</v>
      </c>
      <c r="B23" s="91" t="e">
        <v>#N/A</v>
      </c>
      <c r="E23" s="87">
        <f t="shared" si="0"/>
        <v>44589</v>
      </c>
      <c r="F23" s="90"/>
      <c r="G23" s="90"/>
      <c r="N23" s="89">
        <v>44592</v>
      </c>
      <c r="O23" s="88" t="e">
        <v>#N/A</v>
      </c>
      <c r="R23" s="87">
        <f t="shared" si="1"/>
        <v>44589</v>
      </c>
      <c r="S23" s="86"/>
      <c r="T23" s="86"/>
    </row>
    <row r="24" spans="1:20" x14ac:dyDescent="0.25">
      <c r="A24" s="89">
        <v>44593</v>
      </c>
      <c r="B24" s="91" t="e">
        <v>#N/A</v>
      </c>
      <c r="E24" s="87">
        <f t="shared" si="0"/>
        <v>44592</v>
      </c>
      <c r="F24" s="90"/>
      <c r="G24" s="90"/>
      <c r="N24" s="89">
        <v>44593</v>
      </c>
      <c r="O24" s="88" t="e">
        <v>#N/A</v>
      </c>
      <c r="R24" s="87">
        <f t="shared" si="1"/>
        <v>44592</v>
      </c>
      <c r="S24" s="86"/>
      <c r="T24" s="86"/>
    </row>
    <row r="25" spans="1:20" x14ac:dyDescent="0.25">
      <c r="A25" s="89">
        <v>44594</v>
      </c>
      <c r="B25" s="91" t="e">
        <v>#N/A</v>
      </c>
      <c r="E25" s="87">
        <f t="shared" si="0"/>
        <v>44593</v>
      </c>
      <c r="F25" s="90"/>
      <c r="G25" s="90"/>
      <c r="N25" s="89">
        <v>44594</v>
      </c>
      <c r="O25" s="88" t="e">
        <v>#N/A</v>
      </c>
      <c r="R25" s="87">
        <f t="shared" si="1"/>
        <v>44593</v>
      </c>
      <c r="S25" s="86"/>
      <c r="T25" s="86"/>
    </row>
    <row r="26" spans="1:20" x14ac:dyDescent="0.25">
      <c r="A26" s="89">
        <v>44595</v>
      </c>
      <c r="B26" s="91" t="e">
        <v>#N/A</v>
      </c>
      <c r="E26" s="87">
        <f t="shared" si="0"/>
        <v>44594</v>
      </c>
      <c r="F26" s="90"/>
      <c r="G26" s="90"/>
      <c r="N26" s="89">
        <v>44595</v>
      </c>
      <c r="O26" s="88" t="e">
        <v>#N/A</v>
      </c>
      <c r="R26" s="87">
        <f t="shared" si="1"/>
        <v>44594</v>
      </c>
      <c r="S26" s="86"/>
      <c r="T26" s="86"/>
    </row>
    <row r="27" spans="1:20" x14ac:dyDescent="0.25">
      <c r="A27" s="89">
        <v>44596</v>
      </c>
      <c r="B27" s="91" t="e">
        <v>#N/A</v>
      </c>
      <c r="E27" s="87">
        <f t="shared" si="0"/>
        <v>44595</v>
      </c>
      <c r="F27" s="90"/>
      <c r="G27" s="90"/>
      <c r="N27" s="89">
        <v>44596</v>
      </c>
      <c r="O27" s="88" t="e">
        <v>#N/A</v>
      </c>
      <c r="R27" s="87">
        <f t="shared" si="1"/>
        <v>44595</v>
      </c>
      <c r="S27" s="86"/>
      <c r="T27" s="86"/>
    </row>
    <row r="28" spans="1:20" x14ac:dyDescent="0.25">
      <c r="A28" s="89">
        <v>44599</v>
      </c>
      <c r="B28" s="91" t="e">
        <v>#N/A</v>
      </c>
      <c r="E28" s="87">
        <f t="shared" si="0"/>
        <v>44596</v>
      </c>
      <c r="F28" s="90"/>
      <c r="G28" s="90"/>
      <c r="N28" s="89">
        <v>44599</v>
      </c>
      <c r="O28" s="88" t="e">
        <v>#N/A</v>
      </c>
      <c r="R28" s="87">
        <f t="shared" si="1"/>
        <v>44596</v>
      </c>
      <c r="S28" s="86"/>
      <c r="T28" s="86"/>
    </row>
    <row r="29" spans="1:20" x14ac:dyDescent="0.25">
      <c r="A29" s="89">
        <v>44600</v>
      </c>
      <c r="B29" s="91" t="e">
        <v>#N/A</v>
      </c>
      <c r="E29" s="87">
        <f t="shared" si="0"/>
        <v>44599</v>
      </c>
      <c r="F29" s="90"/>
      <c r="G29" s="90"/>
      <c r="N29" s="89">
        <v>44600</v>
      </c>
      <c r="O29" s="88" t="e">
        <v>#N/A</v>
      </c>
      <c r="R29" s="87">
        <f t="shared" si="1"/>
        <v>44599</v>
      </c>
      <c r="S29" s="86"/>
      <c r="T29" s="86"/>
    </row>
    <row r="30" spans="1:20" x14ac:dyDescent="0.25">
      <c r="A30" s="89">
        <v>44601</v>
      </c>
      <c r="B30" s="91" t="e">
        <v>#N/A</v>
      </c>
      <c r="E30" s="87">
        <f t="shared" si="0"/>
        <v>44600</v>
      </c>
      <c r="F30" s="90"/>
      <c r="G30" s="90"/>
      <c r="N30" s="89">
        <v>44601</v>
      </c>
      <c r="O30" s="88" t="e">
        <v>#N/A</v>
      </c>
      <c r="R30" s="87">
        <f t="shared" si="1"/>
        <v>44600</v>
      </c>
      <c r="S30" s="86"/>
      <c r="T30" s="86"/>
    </row>
    <row r="31" spans="1:20" x14ac:dyDescent="0.25">
      <c r="A31" s="89">
        <v>44602</v>
      </c>
      <c r="B31" s="91" t="e">
        <v>#N/A</v>
      </c>
      <c r="E31" s="87">
        <f t="shared" si="0"/>
        <v>44601</v>
      </c>
      <c r="F31" s="90"/>
      <c r="G31" s="90"/>
      <c r="N31" s="89">
        <v>44602</v>
      </c>
      <c r="O31" s="88" t="e">
        <v>#N/A</v>
      </c>
      <c r="R31" s="87">
        <f t="shared" si="1"/>
        <v>44601</v>
      </c>
      <c r="S31" s="86"/>
      <c r="T31" s="86"/>
    </row>
    <row r="32" spans="1:20" x14ac:dyDescent="0.25">
      <c r="A32" s="89">
        <v>44603</v>
      </c>
      <c r="B32" s="91" t="e">
        <v>#N/A</v>
      </c>
      <c r="E32" s="87">
        <f t="shared" si="0"/>
        <v>44602</v>
      </c>
      <c r="F32" s="90"/>
      <c r="G32" s="90"/>
      <c r="N32" s="89">
        <v>44603</v>
      </c>
      <c r="O32" s="88" t="e">
        <v>#N/A</v>
      </c>
      <c r="R32" s="87">
        <f t="shared" si="1"/>
        <v>44602</v>
      </c>
      <c r="S32" s="86"/>
      <c r="T32" s="86"/>
    </row>
    <row r="33" spans="1:20" x14ac:dyDescent="0.25">
      <c r="A33" s="89">
        <v>44606</v>
      </c>
      <c r="B33" s="91" t="e">
        <v>#N/A</v>
      </c>
      <c r="E33" s="87">
        <f t="shared" si="0"/>
        <v>44603</v>
      </c>
      <c r="F33" s="90"/>
      <c r="G33" s="90"/>
      <c r="N33" s="89">
        <v>44606</v>
      </c>
      <c r="O33" s="88" t="e">
        <v>#N/A</v>
      </c>
      <c r="R33" s="87">
        <f t="shared" si="1"/>
        <v>44603</v>
      </c>
      <c r="S33" s="86"/>
      <c r="T33" s="86"/>
    </row>
    <row r="34" spans="1:20" x14ac:dyDescent="0.25">
      <c r="A34" s="89">
        <v>44607</v>
      </c>
      <c r="B34" s="91" t="e">
        <v>#N/A</v>
      </c>
      <c r="E34" s="87">
        <f t="shared" si="0"/>
        <v>44606</v>
      </c>
      <c r="F34" s="90"/>
      <c r="G34" s="90"/>
      <c r="N34" s="89">
        <v>44607</v>
      </c>
      <c r="O34" s="88" t="e">
        <v>#N/A</v>
      </c>
      <c r="R34" s="87">
        <f t="shared" si="1"/>
        <v>44606</v>
      </c>
      <c r="S34" s="86"/>
      <c r="T34" s="86"/>
    </row>
    <row r="35" spans="1:20" x14ac:dyDescent="0.25">
      <c r="A35" s="89">
        <v>44608</v>
      </c>
      <c r="B35" s="91" t="e">
        <v>#N/A</v>
      </c>
      <c r="E35" s="87">
        <f t="shared" si="0"/>
        <v>44607</v>
      </c>
      <c r="F35" s="90"/>
      <c r="G35" s="90"/>
      <c r="N35" s="89">
        <v>44608</v>
      </c>
      <c r="O35" s="88" t="e">
        <v>#N/A</v>
      </c>
      <c r="R35" s="87">
        <f t="shared" si="1"/>
        <v>44607</v>
      </c>
      <c r="S35" s="86"/>
      <c r="T35" s="86"/>
    </row>
    <row r="36" spans="1:20" x14ac:dyDescent="0.25">
      <c r="A36" s="89">
        <v>44609</v>
      </c>
      <c r="B36" s="91" t="e">
        <v>#N/A</v>
      </c>
      <c r="E36" s="87">
        <f t="shared" si="0"/>
        <v>44608</v>
      </c>
      <c r="F36" s="90"/>
      <c r="G36" s="90"/>
      <c r="N36" s="89">
        <v>44609</v>
      </c>
      <c r="O36" s="88" t="e">
        <v>#N/A</v>
      </c>
      <c r="R36" s="87">
        <f t="shared" si="1"/>
        <v>44608</v>
      </c>
      <c r="S36" s="86"/>
      <c r="T36" s="86"/>
    </row>
    <row r="37" spans="1:20" x14ac:dyDescent="0.25">
      <c r="A37" s="89">
        <v>44610</v>
      </c>
      <c r="B37" s="91" t="e">
        <v>#N/A</v>
      </c>
      <c r="E37" s="87">
        <f t="shared" si="0"/>
        <v>44609</v>
      </c>
      <c r="F37" s="90"/>
      <c r="G37" s="90"/>
      <c r="N37" s="89">
        <v>44610</v>
      </c>
      <c r="O37" s="88" t="e">
        <v>#N/A</v>
      </c>
      <c r="R37" s="87">
        <f t="shared" si="1"/>
        <v>44609</v>
      </c>
      <c r="S37" s="86"/>
      <c r="T37" s="86"/>
    </row>
    <row r="38" spans="1:20" x14ac:dyDescent="0.25">
      <c r="A38" s="89">
        <v>44614</v>
      </c>
      <c r="B38" s="91" t="e">
        <v>#N/A</v>
      </c>
      <c r="E38" s="87">
        <f t="shared" si="0"/>
        <v>44610</v>
      </c>
      <c r="F38" s="90"/>
      <c r="G38" s="90"/>
      <c r="N38" s="89">
        <v>44614</v>
      </c>
      <c r="O38" s="88" t="e">
        <v>#N/A</v>
      </c>
      <c r="R38" s="87">
        <f t="shared" si="1"/>
        <v>44610</v>
      </c>
      <c r="S38" s="86"/>
      <c r="T38" s="86"/>
    </row>
    <row r="39" spans="1:20" x14ac:dyDescent="0.25">
      <c r="A39" s="89">
        <v>44615</v>
      </c>
      <c r="B39" s="91" t="e">
        <v>#N/A</v>
      </c>
      <c r="E39" s="87">
        <f t="shared" si="0"/>
        <v>44614</v>
      </c>
      <c r="F39" s="90"/>
      <c r="G39" s="90"/>
      <c r="N39" s="89">
        <v>44615</v>
      </c>
      <c r="O39" s="88" t="e">
        <v>#N/A</v>
      </c>
      <c r="R39" s="87">
        <f t="shared" si="1"/>
        <v>44614</v>
      </c>
      <c r="S39" s="86"/>
      <c r="T39" s="86"/>
    </row>
    <row r="40" spans="1:20" x14ac:dyDescent="0.25">
      <c r="A40" s="89">
        <v>44616</v>
      </c>
      <c r="B40" s="91" t="e">
        <v>#N/A</v>
      </c>
      <c r="E40" s="87">
        <f t="shared" si="0"/>
        <v>44615</v>
      </c>
      <c r="F40" s="90"/>
      <c r="G40" s="90"/>
      <c r="N40" s="89">
        <v>44616</v>
      </c>
      <c r="O40" s="88" t="e">
        <v>#N/A</v>
      </c>
      <c r="R40" s="87">
        <f t="shared" si="1"/>
        <v>44615</v>
      </c>
      <c r="S40" s="86"/>
      <c r="T40" s="86"/>
    </row>
    <row r="41" spans="1:20" x14ac:dyDescent="0.25">
      <c r="A41" s="89">
        <v>44617</v>
      </c>
      <c r="B41" s="91" t="e">
        <v>#N/A</v>
      </c>
      <c r="E41" s="87">
        <f t="shared" si="0"/>
        <v>44616</v>
      </c>
      <c r="F41" s="90"/>
      <c r="G41" s="90"/>
      <c r="N41" s="89">
        <v>44617</v>
      </c>
      <c r="O41" s="88" t="e">
        <v>#N/A</v>
      </c>
      <c r="R41" s="87">
        <f t="shared" si="1"/>
        <v>44616</v>
      </c>
      <c r="S41" s="86"/>
      <c r="T41" s="86"/>
    </row>
    <row r="42" spans="1:20" x14ac:dyDescent="0.25">
      <c r="A42" s="89">
        <v>44620</v>
      </c>
      <c r="B42" s="91" t="e">
        <v>#N/A</v>
      </c>
      <c r="E42" s="87">
        <f t="shared" si="0"/>
        <v>44617</v>
      </c>
      <c r="F42" s="90"/>
      <c r="G42" s="90"/>
      <c r="N42" s="89">
        <v>44620</v>
      </c>
      <c r="O42" s="88" t="e">
        <v>#N/A</v>
      </c>
      <c r="R42" s="87">
        <f t="shared" si="1"/>
        <v>44617</v>
      </c>
      <c r="S42" s="86"/>
      <c r="T42" s="86"/>
    </row>
    <row r="43" spans="1:20" x14ac:dyDescent="0.25">
      <c r="A43" s="89">
        <v>44621</v>
      </c>
      <c r="B43" s="91" t="e">
        <v>#N/A</v>
      </c>
      <c r="E43" s="87">
        <f t="shared" si="0"/>
        <v>44620</v>
      </c>
      <c r="F43" s="90"/>
      <c r="G43" s="90"/>
      <c r="N43" s="89">
        <v>44621</v>
      </c>
      <c r="O43" s="88" t="e">
        <v>#N/A</v>
      </c>
      <c r="R43" s="87">
        <f t="shared" si="1"/>
        <v>44620</v>
      </c>
      <c r="S43" s="86"/>
      <c r="T43" s="86"/>
    </row>
    <row r="44" spans="1:20" x14ac:dyDescent="0.25">
      <c r="A44" s="89">
        <v>44622</v>
      </c>
      <c r="B44" s="91" t="e">
        <v>#N/A</v>
      </c>
      <c r="E44" s="87">
        <f t="shared" si="0"/>
        <v>44621</v>
      </c>
      <c r="F44" s="90"/>
      <c r="G44" s="90"/>
      <c r="N44" s="89">
        <v>44622</v>
      </c>
      <c r="O44" s="88" t="e">
        <v>#N/A</v>
      </c>
      <c r="R44" s="87">
        <f t="shared" si="1"/>
        <v>44621</v>
      </c>
      <c r="S44" s="86"/>
      <c r="T44" s="86"/>
    </row>
    <row r="45" spans="1:20" x14ac:dyDescent="0.25">
      <c r="A45" s="89">
        <v>44623</v>
      </c>
      <c r="B45" s="91" t="e">
        <v>#N/A</v>
      </c>
      <c r="E45" s="87">
        <f t="shared" si="0"/>
        <v>44622</v>
      </c>
      <c r="F45" s="90"/>
      <c r="G45" s="90"/>
      <c r="N45" s="89">
        <v>44623</v>
      </c>
      <c r="O45" s="88" t="e">
        <v>#N/A</v>
      </c>
      <c r="R45" s="87">
        <f t="shared" si="1"/>
        <v>44622</v>
      </c>
      <c r="S45" s="86"/>
      <c r="T45" s="86"/>
    </row>
    <row r="46" spans="1:20" x14ac:dyDescent="0.25">
      <c r="A46" s="89">
        <v>44624</v>
      </c>
      <c r="B46" s="91" t="e">
        <v>#N/A</v>
      </c>
      <c r="E46" s="87">
        <f t="shared" si="0"/>
        <v>44623</v>
      </c>
      <c r="F46" s="90"/>
      <c r="G46" s="90"/>
      <c r="N46" s="89">
        <v>44624</v>
      </c>
      <c r="O46" s="88" t="e">
        <v>#N/A</v>
      </c>
      <c r="R46" s="87">
        <f t="shared" si="1"/>
        <v>44623</v>
      </c>
      <c r="S46" s="86"/>
      <c r="T46" s="86"/>
    </row>
    <row r="47" spans="1:20" x14ac:dyDescent="0.25">
      <c r="A47" s="89">
        <v>44627</v>
      </c>
      <c r="B47" s="91" t="e">
        <v>#N/A</v>
      </c>
      <c r="E47" s="87">
        <f t="shared" si="0"/>
        <v>44624</v>
      </c>
      <c r="F47" s="90"/>
      <c r="G47" s="90"/>
      <c r="N47" s="89">
        <v>44627</v>
      </c>
      <c r="O47" s="88" t="e">
        <v>#N/A</v>
      </c>
      <c r="R47" s="87">
        <f t="shared" si="1"/>
        <v>44624</v>
      </c>
      <c r="S47" s="86"/>
      <c r="T47" s="86"/>
    </row>
    <row r="48" spans="1:20" x14ac:dyDescent="0.25">
      <c r="A48" s="89">
        <v>44628</v>
      </c>
      <c r="B48" s="91" t="e">
        <v>#N/A</v>
      </c>
      <c r="E48" s="87">
        <f t="shared" si="0"/>
        <v>44627</v>
      </c>
      <c r="F48" s="90"/>
      <c r="G48" s="90"/>
      <c r="N48" s="89">
        <v>44628</v>
      </c>
      <c r="O48" s="88" t="e">
        <v>#N/A</v>
      </c>
      <c r="R48" s="87">
        <f t="shared" si="1"/>
        <v>44627</v>
      </c>
      <c r="S48" s="86"/>
      <c r="T48" s="86"/>
    </row>
    <row r="49" spans="1:20" x14ac:dyDescent="0.25">
      <c r="A49" s="89">
        <v>44629</v>
      </c>
      <c r="B49" s="91" t="e">
        <v>#N/A</v>
      </c>
      <c r="E49" s="87">
        <f t="shared" si="0"/>
        <v>44628</v>
      </c>
      <c r="F49" s="90"/>
      <c r="G49" s="90"/>
      <c r="N49" s="89">
        <v>44629</v>
      </c>
      <c r="O49" s="88" t="e">
        <v>#N/A</v>
      </c>
      <c r="R49" s="87">
        <f t="shared" si="1"/>
        <v>44628</v>
      </c>
      <c r="S49" s="86"/>
      <c r="T49" s="86"/>
    </row>
    <row r="50" spans="1:20" x14ac:dyDescent="0.25">
      <c r="A50" s="89">
        <v>44630</v>
      </c>
      <c r="B50" s="91" t="e">
        <v>#N/A</v>
      </c>
      <c r="E50" s="87">
        <f t="shared" si="0"/>
        <v>44629</v>
      </c>
      <c r="F50" s="90"/>
      <c r="G50" s="90"/>
      <c r="N50" s="89">
        <v>44630</v>
      </c>
      <c r="O50" s="88" t="e">
        <v>#N/A</v>
      </c>
      <c r="R50" s="87">
        <f t="shared" si="1"/>
        <v>44629</v>
      </c>
      <c r="S50" s="86"/>
      <c r="T50" s="86"/>
    </row>
    <row r="51" spans="1:20" x14ac:dyDescent="0.25">
      <c r="A51" s="89">
        <v>44631</v>
      </c>
      <c r="B51" s="91" t="e">
        <v>#N/A</v>
      </c>
      <c r="E51" s="87">
        <f t="shared" si="0"/>
        <v>44630</v>
      </c>
      <c r="F51" s="90"/>
      <c r="G51" s="90"/>
      <c r="N51" s="89">
        <v>44631</v>
      </c>
      <c r="O51" s="88" t="e">
        <v>#N/A</v>
      </c>
      <c r="R51" s="87">
        <f t="shared" si="1"/>
        <v>44630</v>
      </c>
      <c r="S51" s="86"/>
      <c r="T51" s="86"/>
    </row>
    <row r="52" spans="1:20" x14ac:dyDescent="0.25">
      <c r="A52" s="89">
        <v>44634</v>
      </c>
      <c r="B52" s="91" t="e">
        <v>#N/A</v>
      </c>
      <c r="E52" s="87">
        <f t="shared" si="0"/>
        <v>44631</v>
      </c>
      <c r="F52" s="90"/>
      <c r="G52" s="90"/>
      <c r="N52" s="89">
        <v>44634</v>
      </c>
      <c r="O52" s="88" t="e">
        <v>#N/A</v>
      </c>
      <c r="R52" s="87">
        <f t="shared" si="1"/>
        <v>44631</v>
      </c>
      <c r="S52" s="86"/>
      <c r="T52" s="86"/>
    </row>
    <row r="53" spans="1:20" x14ac:dyDescent="0.25">
      <c r="A53" s="89">
        <v>44635</v>
      </c>
      <c r="B53" s="91" t="e">
        <v>#N/A</v>
      </c>
      <c r="E53" s="87">
        <f t="shared" si="0"/>
        <v>44634</v>
      </c>
      <c r="F53" s="90"/>
      <c r="G53" s="90"/>
      <c r="N53" s="89">
        <v>44635</v>
      </c>
      <c r="O53" s="88" t="e">
        <v>#N/A</v>
      </c>
      <c r="R53" s="87">
        <f t="shared" si="1"/>
        <v>44634</v>
      </c>
      <c r="S53" s="86"/>
      <c r="T53" s="86"/>
    </row>
    <row r="54" spans="1:20" x14ac:dyDescent="0.25">
      <c r="A54" s="89">
        <v>44636</v>
      </c>
      <c r="B54" s="91" t="e">
        <v>#N/A</v>
      </c>
      <c r="E54" s="87">
        <f t="shared" si="0"/>
        <v>44635</v>
      </c>
      <c r="F54" s="90"/>
      <c r="G54" s="90"/>
      <c r="N54" s="89">
        <v>44636</v>
      </c>
      <c r="O54" s="88" t="e">
        <v>#N/A</v>
      </c>
      <c r="R54" s="87">
        <f t="shared" si="1"/>
        <v>44635</v>
      </c>
      <c r="S54" s="86"/>
      <c r="T54" s="86"/>
    </row>
    <row r="55" spans="1:20" x14ac:dyDescent="0.25">
      <c r="A55" s="89">
        <v>44637</v>
      </c>
      <c r="B55" s="91" t="e">
        <v>#N/A</v>
      </c>
      <c r="E55" s="87">
        <f t="shared" si="0"/>
        <v>44636</v>
      </c>
      <c r="F55" s="90"/>
      <c r="G55" s="90"/>
      <c r="N55" s="89">
        <v>44637</v>
      </c>
      <c r="O55" s="88" t="e">
        <v>#N/A</v>
      </c>
      <c r="R55" s="87">
        <f t="shared" si="1"/>
        <v>44636</v>
      </c>
      <c r="S55" s="86"/>
      <c r="T55" s="86"/>
    </row>
    <row r="56" spans="1:20" x14ac:dyDescent="0.25">
      <c r="A56" s="89">
        <v>44638</v>
      </c>
      <c r="B56" s="91" t="e">
        <v>#N/A</v>
      </c>
      <c r="E56" s="87">
        <f t="shared" si="0"/>
        <v>44637</v>
      </c>
      <c r="F56" s="90"/>
      <c r="G56" s="90"/>
      <c r="N56" s="89">
        <v>44638</v>
      </c>
      <c r="O56" s="88" t="e">
        <v>#N/A</v>
      </c>
      <c r="R56" s="87">
        <f t="shared" si="1"/>
        <v>44637</v>
      </c>
      <c r="S56" s="86"/>
      <c r="T56" s="86"/>
    </row>
    <row r="57" spans="1:20" x14ac:dyDescent="0.25">
      <c r="A57" s="89">
        <v>44641</v>
      </c>
      <c r="B57" s="91" t="e">
        <v>#N/A</v>
      </c>
      <c r="E57" s="87">
        <f t="shared" si="0"/>
        <v>44638</v>
      </c>
      <c r="F57" s="90"/>
      <c r="G57" s="90"/>
      <c r="N57" s="89">
        <v>44641</v>
      </c>
      <c r="O57" s="88" t="e">
        <v>#N/A</v>
      </c>
      <c r="R57" s="87">
        <f t="shared" si="1"/>
        <v>44638</v>
      </c>
      <c r="S57" s="86"/>
      <c r="T57" s="86"/>
    </row>
    <row r="58" spans="1:20" x14ac:dyDescent="0.25">
      <c r="A58" s="89">
        <v>44642</v>
      </c>
      <c r="B58" s="91" t="e">
        <v>#N/A</v>
      </c>
      <c r="E58" s="87">
        <f t="shared" si="0"/>
        <v>44641</v>
      </c>
      <c r="F58" s="90"/>
      <c r="G58" s="90"/>
      <c r="N58" s="89">
        <v>44642</v>
      </c>
      <c r="O58" s="88" t="e">
        <v>#N/A</v>
      </c>
      <c r="R58" s="87">
        <f t="shared" si="1"/>
        <v>44641</v>
      </c>
      <c r="S58" s="86"/>
      <c r="T58" s="86"/>
    </row>
    <row r="59" spans="1:20" x14ac:dyDescent="0.25">
      <c r="A59" s="89">
        <v>44643</v>
      </c>
      <c r="B59" s="91" t="e">
        <v>#N/A</v>
      </c>
      <c r="E59" s="87">
        <f t="shared" si="0"/>
        <v>44642</v>
      </c>
      <c r="F59" s="90"/>
      <c r="G59" s="90"/>
      <c r="N59" s="89">
        <v>44643</v>
      </c>
      <c r="O59" s="88" t="e">
        <v>#N/A</v>
      </c>
      <c r="R59" s="87">
        <f t="shared" si="1"/>
        <v>44642</v>
      </c>
      <c r="S59" s="86"/>
      <c r="T59" s="86"/>
    </row>
    <row r="60" spans="1:20" x14ac:dyDescent="0.25">
      <c r="A60" s="89">
        <v>44644</v>
      </c>
      <c r="B60" s="91" t="e">
        <v>#N/A</v>
      </c>
      <c r="E60" s="87">
        <f t="shared" si="0"/>
        <v>44643</v>
      </c>
      <c r="F60" s="90"/>
      <c r="G60" s="90"/>
      <c r="N60" s="89">
        <v>44644</v>
      </c>
      <c r="O60" s="88" t="e">
        <v>#N/A</v>
      </c>
      <c r="R60" s="87">
        <f t="shared" si="1"/>
        <v>44643</v>
      </c>
      <c r="S60" s="86"/>
      <c r="T60" s="86"/>
    </row>
    <row r="61" spans="1:20" x14ac:dyDescent="0.25">
      <c r="A61" s="89">
        <v>44645</v>
      </c>
      <c r="B61" s="91" t="e">
        <v>#N/A</v>
      </c>
      <c r="E61" s="87">
        <f t="shared" si="0"/>
        <v>44644</v>
      </c>
      <c r="F61" s="90"/>
      <c r="G61" s="90"/>
      <c r="N61" s="89">
        <v>44645</v>
      </c>
      <c r="O61" s="88" t="e">
        <v>#N/A</v>
      </c>
      <c r="R61" s="87">
        <f t="shared" si="1"/>
        <v>44644</v>
      </c>
      <c r="S61" s="86"/>
      <c r="T61" s="86"/>
    </row>
    <row r="62" spans="1:20" x14ac:dyDescent="0.25">
      <c r="A62" s="89">
        <v>44648</v>
      </c>
      <c r="B62" s="91" t="e">
        <v>#N/A</v>
      </c>
      <c r="E62" s="87">
        <f t="shared" si="0"/>
        <v>44645</v>
      </c>
      <c r="F62" s="90"/>
      <c r="G62" s="90"/>
      <c r="N62" s="89">
        <v>44648</v>
      </c>
      <c r="O62" s="88" t="e">
        <v>#N/A</v>
      </c>
      <c r="R62" s="87">
        <f t="shared" si="1"/>
        <v>44645</v>
      </c>
      <c r="S62" s="86"/>
      <c r="T62" s="86"/>
    </row>
    <row r="63" spans="1:20" x14ac:dyDescent="0.25">
      <c r="A63" s="89">
        <v>44649</v>
      </c>
      <c r="B63" s="91" t="e">
        <v>#N/A</v>
      </c>
      <c r="E63" s="87">
        <f t="shared" si="0"/>
        <v>44648</v>
      </c>
      <c r="F63" s="90"/>
      <c r="G63" s="90"/>
      <c r="N63" s="89">
        <v>44649</v>
      </c>
      <c r="O63" s="88" t="e">
        <v>#N/A</v>
      </c>
      <c r="R63" s="87">
        <f t="shared" si="1"/>
        <v>44648</v>
      </c>
      <c r="S63" s="86"/>
      <c r="T63" s="86"/>
    </row>
    <row r="64" spans="1:20" x14ac:dyDescent="0.25">
      <c r="A64" s="89">
        <v>44650</v>
      </c>
      <c r="B64" s="91" t="e">
        <v>#N/A</v>
      </c>
      <c r="E64" s="87">
        <f t="shared" si="0"/>
        <v>44649</v>
      </c>
      <c r="F64" s="90"/>
      <c r="G64" s="90"/>
      <c r="N64" s="89">
        <v>44650</v>
      </c>
      <c r="O64" s="88" t="e">
        <v>#N/A</v>
      </c>
      <c r="R64" s="87">
        <f t="shared" si="1"/>
        <v>44649</v>
      </c>
      <c r="S64" s="86"/>
      <c r="T64" s="86"/>
    </row>
    <row r="65" spans="1:20" x14ac:dyDescent="0.25">
      <c r="A65" s="89">
        <v>44651</v>
      </c>
      <c r="B65" s="91" t="e">
        <v>#N/A</v>
      </c>
      <c r="E65" s="87">
        <f t="shared" si="0"/>
        <v>44650</v>
      </c>
      <c r="F65" s="90"/>
      <c r="G65" s="90"/>
      <c r="N65" s="89">
        <v>44651</v>
      </c>
      <c r="O65" s="88" t="e">
        <v>#N/A</v>
      </c>
      <c r="R65" s="87">
        <f t="shared" si="1"/>
        <v>44650</v>
      </c>
      <c r="S65" s="86"/>
      <c r="T65" s="86"/>
    </row>
    <row r="66" spans="1:20" x14ac:dyDescent="0.25">
      <c r="A66" s="89">
        <v>44652</v>
      </c>
      <c r="B66" s="91" t="e">
        <v>#N/A</v>
      </c>
      <c r="E66" s="87">
        <f t="shared" si="0"/>
        <v>44651</v>
      </c>
      <c r="F66" s="90"/>
      <c r="G66" s="90"/>
      <c r="N66" s="89">
        <v>44652</v>
      </c>
      <c r="O66" s="88" t="e">
        <v>#N/A</v>
      </c>
      <c r="R66" s="87">
        <f t="shared" si="1"/>
        <v>44651</v>
      </c>
      <c r="S66" s="86"/>
      <c r="T66" s="86"/>
    </row>
    <row r="67" spans="1:20" x14ac:dyDescent="0.25">
      <c r="A67" s="89">
        <v>44655</v>
      </c>
      <c r="B67" s="91" t="e">
        <v>#N/A</v>
      </c>
      <c r="E67" s="87">
        <f t="shared" si="0"/>
        <v>44652</v>
      </c>
      <c r="F67" s="90"/>
      <c r="G67" s="90"/>
      <c r="N67" s="89">
        <v>44655</v>
      </c>
      <c r="O67" s="88" t="e">
        <v>#N/A</v>
      </c>
      <c r="R67" s="87">
        <f t="shared" si="1"/>
        <v>44652</v>
      </c>
      <c r="S67" s="86"/>
      <c r="T67" s="86"/>
    </row>
    <row r="68" spans="1:20" x14ac:dyDescent="0.25">
      <c r="A68" s="89">
        <v>44656</v>
      </c>
      <c r="B68" s="91" t="e">
        <v>#N/A</v>
      </c>
      <c r="E68" s="87">
        <f t="shared" ref="E68:E131" si="2">A67</f>
        <v>44655</v>
      </c>
      <c r="F68" s="90"/>
      <c r="G68" s="90"/>
      <c r="N68" s="89">
        <v>44656</v>
      </c>
      <c r="O68" s="88" t="e">
        <v>#N/A</v>
      </c>
      <c r="R68" s="87">
        <f t="shared" ref="R68:R131" si="3">N67</f>
        <v>44655</v>
      </c>
      <c r="S68" s="86"/>
      <c r="T68" s="86"/>
    </row>
    <row r="69" spans="1:20" x14ac:dyDescent="0.25">
      <c r="A69" s="89">
        <v>44657</v>
      </c>
      <c r="B69" s="91" t="e">
        <v>#N/A</v>
      </c>
      <c r="E69" s="87">
        <f t="shared" si="2"/>
        <v>44656</v>
      </c>
      <c r="F69" s="90"/>
      <c r="G69" s="90"/>
      <c r="N69" s="89">
        <v>44657</v>
      </c>
      <c r="O69" s="88" t="e">
        <v>#N/A</v>
      </c>
      <c r="R69" s="87">
        <f t="shared" si="3"/>
        <v>44656</v>
      </c>
      <c r="S69" s="86"/>
      <c r="T69" s="86"/>
    </row>
    <row r="70" spans="1:20" x14ac:dyDescent="0.25">
      <c r="A70" s="89">
        <v>44658</v>
      </c>
      <c r="B70" s="91" t="e">
        <v>#N/A</v>
      </c>
      <c r="E70" s="87">
        <f t="shared" si="2"/>
        <v>44657</v>
      </c>
      <c r="F70" s="90"/>
      <c r="G70" s="90"/>
      <c r="N70" s="89">
        <v>44658</v>
      </c>
      <c r="O70" s="88" t="e">
        <v>#N/A</v>
      </c>
      <c r="R70" s="87">
        <f t="shared" si="3"/>
        <v>44657</v>
      </c>
      <c r="S70" s="86"/>
      <c r="T70" s="86"/>
    </row>
    <row r="71" spans="1:20" x14ac:dyDescent="0.25">
      <c r="A71" s="89">
        <v>44659</v>
      </c>
      <c r="B71" s="91" t="e">
        <v>#N/A</v>
      </c>
      <c r="E71" s="87">
        <f t="shared" si="2"/>
        <v>44658</v>
      </c>
      <c r="F71" s="90"/>
      <c r="G71" s="90"/>
      <c r="N71" s="89">
        <v>44659</v>
      </c>
      <c r="O71" s="88" t="e">
        <v>#N/A</v>
      </c>
      <c r="R71" s="87">
        <f t="shared" si="3"/>
        <v>44658</v>
      </c>
      <c r="S71" s="86"/>
      <c r="T71" s="86"/>
    </row>
    <row r="72" spans="1:20" x14ac:dyDescent="0.25">
      <c r="A72" s="89">
        <v>44662</v>
      </c>
      <c r="B72" s="91" t="e">
        <v>#N/A</v>
      </c>
      <c r="E72" s="87">
        <f t="shared" si="2"/>
        <v>44659</v>
      </c>
      <c r="F72" s="90"/>
      <c r="G72" s="90"/>
      <c r="N72" s="89">
        <v>44662</v>
      </c>
      <c r="O72" s="88" t="e">
        <v>#N/A</v>
      </c>
      <c r="R72" s="87">
        <f t="shared" si="3"/>
        <v>44659</v>
      </c>
      <c r="S72" s="86"/>
      <c r="T72" s="86"/>
    </row>
    <row r="73" spans="1:20" x14ac:dyDescent="0.25">
      <c r="A73" s="89">
        <v>44663</v>
      </c>
      <c r="B73" s="91" t="e">
        <v>#N/A</v>
      </c>
      <c r="E73" s="87">
        <f t="shared" si="2"/>
        <v>44662</v>
      </c>
      <c r="F73" s="90"/>
      <c r="G73" s="90"/>
      <c r="N73" s="89">
        <v>44663</v>
      </c>
      <c r="O73" s="88" t="e">
        <v>#N/A</v>
      </c>
      <c r="R73" s="87">
        <f t="shared" si="3"/>
        <v>44662</v>
      </c>
      <c r="S73" s="86"/>
      <c r="T73" s="86"/>
    </row>
    <row r="74" spans="1:20" x14ac:dyDescent="0.25">
      <c r="A74" s="89">
        <v>44664</v>
      </c>
      <c r="B74" s="91" t="e">
        <v>#N/A</v>
      </c>
      <c r="E74" s="87">
        <f t="shared" si="2"/>
        <v>44663</v>
      </c>
      <c r="F74" s="90"/>
      <c r="G74" s="90"/>
      <c r="N74" s="89">
        <v>44664</v>
      </c>
      <c r="O74" s="88" t="e">
        <v>#N/A</v>
      </c>
      <c r="R74" s="87">
        <f t="shared" si="3"/>
        <v>44663</v>
      </c>
      <c r="S74" s="86"/>
      <c r="T74" s="86"/>
    </row>
    <row r="75" spans="1:20" x14ac:dyDescent="0.25">
      <c r="A75" s="89">
        <v>44665</v>
      </c>
      <c r="B75" s="91" t="e">
        <v>#N/A</v>
      </c>
      <c r="E75" s="87">
        <f t="shared" si="2"/>
        <v>44664</v>
      </c>
      <c r="F75" s="90"/>
      <c r="G75" s="90"/>
      <c r="N75" s="89">
        <v>44665</v>
      </c>
      <c r="O75" s="88" t="e">
        <v>#N/A</v>
      </c>
      <c r="R75" s="87">
        <f t="shared" si="3"/>
        <v>44664</v>
      </c>
      <c r="S75" s="86"/>
      <c r="T75" s="86"/>
    </row>
    <row r="76" spans="1:20" x14ac:dyDescent="0.25">
      <c r="A76" s="89">
        <v>44669</v>
      </c>
      <c r="B76" s="91" t="e">
        <v>#N/A</v>
      </c>
      <c r="E76" s="87">
        <f t="shared" si="2"/>
        <v>44665</v>
      </c>
      <c r="F76" s="90"/>
      <c r="G76" s="90"/>
      <c r="N76" s="89">
        <v>44669</v>
      </c>
      <c r="O76" s="88" t="e">
        <v>#N/A</v>
      </c>
      <c r="R76" s="87">
        <f t="shared" si="3"/>
        <v>44665</v>
      </c>
      <c r="S76" s="86"/>
      <c r="T76" s="86"/>
    </row>
    <row r="77" spans="1:20" x14ac:dyDescent="0.25">
      <c r="A77" s="89">
        <v>44670</v>
      </c>
      <c r="B77" s="91">
        <v>8.0567285629381591E-2</v>
      </c>
      <c r="E77" s="87">
        <f t="shared" si="2"/>
        <v>44669</v>
      </c>
      <c r="F77" s="90"/>
      <c r="G77" s="90"/>
      <c r="N77" s="89">
        <v>44670</v>
      </c>
      <c r="O77" s="88">
        <v>97.302000000000007</v>
      </c>
      <c r="R77" s="87">
        <f t="shared" si="3"/>
        <v>44669</v>
      </c>
      <c r="S77" s="86"/>
      <c r="T77" s="86"/>
    </row>
    <row r="78" spans="1:20" x14ac:dyDescent="0.25">
      <c r="A78" s="89">
        <v>44671</v>
      </c>
      <c r="B78" s="91">
        <v>8.0570253619057106E-2</v>
      </c>
      <c r="E78" s="87">
        <f t="shared" si="2"/>
        <v>44670</v>
      </c>
      <c r="F78" s="90">
        <f t="shared" ref="F78:F109" si="4">B77</f>
        <v>8.0567285629381591E-2</v>
      </c>
      <c r="G78" s="90"/>
      <c r="N78" s="89">
        <v>44671</v>
      </c>
      <c r="O78" s="88">
        <v>97.302000000000007</v>
      </c>
      <c r="R78" s="87">
        <f t="shared" si="3"/>
        <v>44670</v>
      </c>
      <c r="S78" s="86">
        <f t="shared" ref="S78:S109" si="5">O77</f>
        <v>97.302000000000007</v>
      </c>
      <c r="T78" s="86"/>
    </row>
    <row r="79" spans="1:20" x14ac:dyDescent="0.25">
      <c r="A79" s="89">
        <v>44672</v>
      </c>
      <c r="B79" s="91">
        <v>8.0743985142732608E-2</v>
      </c>
      <c r="E79" s="87">
        <f t="shared" si="2"/>
        <v>44671</v>
      </c>
      <c r="F79" s="90">
        <f t="shared" si="4"/>
        <v>8.0570253619057106E-2</v>
      </c>
      <c r="G79" s="90"/>
      <c r="N79" s="89">
        <v>44672</v>
      </c>
      <c r="O79" s="88">
        <v>97.236000000000004</v>
      </c>
      <c r="R79" s="87">
        <f t="shared" si="3"/>
        <v>44671</v>
      </c>
      <c r="S79" s="86">
        <f t="shared" si="5"/>
        <v>97.302000000000007</v>
      </c>
      <c r="T79" s="86"/>
    </row>
    <row r="80" spans="1:20" x14ac:dyDescent="0.25">
      <c r="A80" s="89">
        <v>44673</v>
      </c>
      <c r="B80" s="91">
        <v>8.0899895782126696E-2</v>
      </c>
      <c r="E80" s="87">
        <f t="shared" si="2"/>
        <v>44672</v>
      </c>
      <c r="F80" s="90">
        <f t="shared" si="4"/>
        <v>8.0743985142732608E-2</v>
      </c>
      <c r="G80" s="90"/>
      <c r="N80" s="89">
        <v>44673</v>
      </c>
      <c r="O80" s="88">
        <v>97.177000000000007</v>
      </c>
      <c r="R80" s="87">
        <f t="shared" si="3"/>
        <v>44672</v>
      </c>
      <c r="S80" s="86">
        <f t="shared" si="5"/>
        <v>97.236000000000004</v>
      </c>
      <c r="T80" s="86"/>
    </row>
    <row r="81" spans="1:20" x14ac:dyDescent="0.25">
      <c r="A81" s="89">
        <v>44676</v>
      </c>
      <c r="B81" s="91">
        <v>8.1111956269712598E-2</v>
      </c>
      <c r="E81" s="87">
        <f t="shared" si="2"/>
        <v>44673</v>
      </c>
      <c r="F81" s="90">
        <f t="shared" si="4"/>
        <v>8.0899895782126696E-2</v>
      </c>
      <c r="G81" s="90"/>
      <c r="N81" s="89">
        <v>44676</v>
      </c>
      <c r="O81" s="88">
        <v>97.099000000000004</v>
      </c>
      <c r="R81" s="87">
        <f t="shared" si="3"/>
        <v>44673</v>
      </c>
      <c r="S81" s="86">
        <f t="shared" si="5"/>
        <v>97.177000000000007</v>
      </c>
      <c r="T81" s="86"/>
    </row>
    <row r="82" spans="1:20" x14ac:dyDescent="0.25">
      <c r="A82" s="89">
        <v>44677</v>
      </c>
      <c r="B82" s="91">
        <v>8.0982769965788806E-2</v>
      </c>
      <c r="E82" s="87">
        <f t="shared" si="2"/>
        <v>44676</v>
      </c>
      <c r="F82" s="90">
        <f t="shared" si="4"/>
        <v>8.1111956269712598E-2</v>
      </c>
      <c r="G82" s="90"/>
      <c r="N82" s="89">
        <v>44677</v>
      </c>
      <c r="O82" s="88">
        <v>97.15</v>
      </c>
      <c r="R82" s="87">
        <f t="shared" si="3"/>
        <v>44676</v>
      </c>
      <c r="S82" s="86">
        <f t="shared" si="5"/>
        <v>97.099000000000004</v>
      </c>
      <c r="T82" s="86"/>
    </row>
    <row r="83" spans="1:20" x14ac:dyDescent="0.25">
      <c r="A83" s="89">
        <v>44678</v>
      </c>
      <c r="B83" s="91">
        <v>8.1259044196464403E-2</v>
      </c>
      <c r="E83" s="87">
        <f t="shared" si="2"/>
        <v>44677</v>
      </c>
      <c r="F83" s="90">
        <f t="shared" si="4"/>
        <v>8.0982769965788806E-2</v>
      </c>
      <c r="G83" s="90"/>
      <c r="N83" s="89">
        <v>44678</v>
      </c>
      <c r="O83" s="88">
        <v>97.045000000000002</v>
      </c>
      <c r="R83" s="87">
        <f t="shared" si="3"/>
        <v>44677</v>
      </c>
      <c r="S83" s="86">
        <f t="shared" si="5"/>
        <v>97.15</v>
      </c>
      <c r="T83" s="86"/>
    </row>
    <row r="84" spans="1:20" x14ac:dyDescent="0.25">
      <c r="A84" s="89">
        <v>44679</v>
      </c>
      <c r="B84" s="91">
        <v>8.1262453608287502E-2</v>
      </c>
      <c r="E84" s="87">
        <f t="shared" si="2"/>
        <v>44678</v>
      </c>
      <c r="F84" s="90">
        <f t="shared" si="4"/>
        <v>8.1259044196464403E-2</v>
      </c>
      <c r="G84" s="90"/>
      <c r="N84" s="89">
        <v>44679</v>
      </c>
      <c r="O84" s="88">
        <v>97.045000000000002</v>
      </c>
      <c r="R84" s="87">
        <f t="shared" si="3"/>
        <v>44678</v>
      </c>
      <c r="S84" s="86">
        <f t="shared" si="5"/>
        <v>97.045000000000002</v>
      </c>
      <c r="T84" s="86"/>
    </row>
    <row r="85" spans="1:20" x14ac:dyDescent="0.25">
      <c r="A85" s="89">
        <v>44680</v>
      </c>
      <c r="B85" s="91">
        <v>8.1265878798271296E-2</v>
      </c>
      <c r="E85" s="87">
        <f t="shared" si="2"/>
        <v>44679</v>
      </c>
      <c r="F85" s="90">
        <f t="shared" si="4"/>
        <v>8.1262453608287502E-2</v>
      </c>
      <c r="G85" s="90"/>
      <c r="N85" s="89">
        <v>44680</v>
      </c>
      <c r="O85" s="88">
        <v>97.045000000000002</v>
      </c>
      <c r="R85" s="87">
        <f t="shared" si="3"/>
        <v>44679</v>
      </c>
      <c r="S85" s="86">
        <f t="shared" si="5"/>
        <v>97.045000000000002</v>
      </c>
      <c r="T85" s="86"/>
    </row>
    <row r="86" spans="1:20" x14ac:dyDescent="0.25">
      <c r="A86" s="89">
        <v>44683</v>
      </c>
      <c r="B86" s="91">
        <v>8.1466726468625114E-2</v>
      </c>
      <c r="E86" s="87">
        <f t="shared" si="2"/>
        <v>44680</v>
      </c>
      <c r="F86" s="90">
        <f t="shared" si="4"/>
        <v>8.1265878798271296E-2</v>
      </c>
      <c r="G86" s="90"/>
      <c r="N86" s="89">
        <v>44683</v>
      </c>
      <c r="O86" s="88">
        <v>96.971999999999994</v>
      </c>
      <c r="R86" s="87">
        <f t="shared" si="3"/>
        <v>44680</v>
      </c>
      <c r="S86" s="86">
        <f t="shared" si="5"/>
        <v>97.045000000000002</v>
      </c>
      <c r="T86" s="86"/>
    </row>
    <row r="87" spans="1:20" x14ac:dyDescent="0.25">
      <c r="A87" s="89">
        <v>44684</v>
      </c>
      <c r="B87" s="91">
        <v>8.1799645775182506E-2</v>
      </c>
      <c r="E87" s="87">
        <f t="shared" si="2"/>
        <v>44683</v>
      </c>
      <c r="F87" s="90">
        <f t="shared" si="4"/>
        <v>8.1466726468625114E-2</v>
      </c>
      <c r="G87" s="90"/>
      <c r="N87" s="89">
        <v>44684</v>
      </c>
      <c r="O87" s="88">
        <v>96.846000000000004</v>
      </c>
      <c r="R87" s="87">
        <f t="shared" si="3"/>
        <v>44683</v>
      </c>
      <c r="S87" s="86">
        <f t="shared" si="5"/>
        <v>96.971999999999994</v>
      </c>
      <c r="T87" s="86"/>
    </row>
    <row r="88" spans="1:20" x14ac:dyDescent="0.25">
      <c r="A88" s="89">
        <v>44685</v>
      </c>
      <c r="B88" s="91">
        <v>8.1685663554011204E-2</v>
      </c>
      <c r="E88" s="87">
        <f t="shared" si="2"/>
        <v>44684</v>
      </c>
      <c r="F88" s="90">
        <f t="shared" si="4"/>
        <v>8.1799645775182506E-2</v>
      </c>
      <c r="G88" s="90"/>
      <c r="N88" s="89">
        <v>44685</v>
      </c>
      <c r="O88" s="88">
        <v>96.891000000000005</v>
      </c>
      <c r="R88" s="87">
        <f t="shared" si="3"/>
        <v>44684</v>
      </c>
      <c r="S88" s="86">
        <f t="shared" si="5"/>
        <v>96.846000000000004</v>
      </c>
      <c r="T88" s="86"/>
    </row>
    <row r="89" spans="1:20" x14ac:dyDescent="0.25">
      <c r="A89" s="89">
        <v>44686</v>
      </c>
      <c r="B89" s="91">
        <v>8.1689378505930693E-2</v>
      </c>
      <c r="E89" s="87">
        <f t="shared" si="2"/>
        <v>44685</v>
      </c>
      <c r="F89" s="90">
        <f t="shared" si="4"/>
        <v>8.1685663554011204E-2</v>
      </c>
      <c r="G89" s="90"/>
      <c r="N89" s="89">
        <v>44686</v>
      </c>
      <c r="O89" s="88">
        <v>96.891000000000005</v>
      </c>
      <c r="R89" s="87">
        <f t="shared" si="3"/>
        <v>44685</v>
      </c>
      <c r="S89" s="86">
        <f t="shared" si="5"/>
        <v>96.891000000000005</v>
      </c>
      <c r="T89" s="86"/>
    </row>
    <row r="90" spans="1:20" x14ac:dyDescent="0.25">
      <c r="A90" s="89">
        <v>44687</v>
      </c>
      <c r="B90" s="91">
        <v>8.2445887481183797E-2</v>
      </c>
      <c r="E90" s="87">
        <f t="shared" si="2"/>
        <v>44686</v>
      </c>
      <c r="F90" s="90">
        <f t="shared" si="4"/>
        <v>8.1689378505930693E-2</v>
      </c>
      <c r="G90" s="90"/>
      <c r="N90" s="89">
        <v>44687</v>
      </c>
      <c r="O90" s="88">
        <v>96.603999999999999</v>
      </c>
      <c r="R90" s="87">
        <f t="shared" si="3"/>
        <v>44686</v>
      </c>
      <c r="S90" s="86">
        <f t="shared" si="5"/>
        <v>96.891000000000005</v>
      </c>
      <c r="T90" s="86"/>
    </row>
    <row r="91" spans="1:20" x14ac:dyDescent="0.25">
      <c r="A91" s="89">
        <v>44690</v>
      </c>
      <c r="B91" s="91">
        <v>8.3074953555234893E-2</v>
      </c>
      <c r="E91" s="87">
        <f t="shared" si="2"/>
        <v>44687</v>
      </c>
      <c r="F91" s="90">
        <f t="shared" si="4"/>
        <v>8.2445887481183797E-2</v>
      </c>
      <c r="G91" s="90"/>
      <c r="N91" s="89">
        <v>44690</v>
      </c>
      <c r="O91" s="88">
        <v>96.37</v>
      </c>
      <c r="R91" s="87">
        <f t="shared" si="3"/>
        <v>44687</v>
      </c>
      <c r="S91" s="86">
        <f t="shared" si="5"/>
        <v>96.603999999999999</v>
      </c>
      <c r="T91" s="86"/>
    </row>
    <row r="92" spans="1:20" x14ac:dyDescent="0.25">
      <c r="A92" s="89">
        <v>44691</v>
      </c>
      <c r="B92" s="91">
        <v>8.3412392106730196E-2</v>
      </c>
      <c r="E92" s="87">
        <f t="shared" si="2"/>
        <v>44690</v>
      </c>
      <c r="F92" s="90">
        <f t="shared" si="4"/>
        <v>8.3074953555234893E-2</v>
      </c>
      <c r="G92" s="90"/>
      <c r="N92" s="89">
        <v>44691</v>
      </c>
      <c r="O92" s="88">
        <v>96.244</v>
      </c>
      <c r="R92" s="87">
        <f t="shared" si="3"/>
        <v>44690</v>
      </c>
      <c r="S92" s="86">
        <f t="shared" si="5"/>
        <v>96.37</v>
      </c>
      <c r="T92" s="86"/>
    </row>
    <row r="93" spans="1:20" x14ac:dyDescent="0.25">
      <c r="A93" s="89">
        <v>44692</v>
      </c>
      <c r="B93" s="91">
        <v>8.3544083787977202E-2</v>
      </c>
      <c r="E93" s="87">
        <f t="shared" si="2"/>
        <v>44691</v>
      </c>
      <c r="F93" s="90">
        <f t="shared" si="4"/>
        <v>8.3412392106730196E-2</v>
      </c>
      <c r="G93" s="90"/>
      <c r="N93" s="89">
        <v>44692</v>
      </c>
      <c r="O93" s="88">
        <v>96.195999999999998</v>
      </c>
      <c r="R93" s="87">
        <f t="shared" si="3"/>
        <v>44691</v>
      </c>
      <c r="S93" s="86">
        <f t="shared" si="5"/>
        <v>96.244</v>
      </c>
      <c r="T93" s="86"/>
    </row>
    <row r="94" spans="1:20" x14ac:dyDescent="0.25">
      <c r="A94" s="89">
        <v>44693</v>
      </c>
      <c r="B94" s="91">
        <v>8.3405810788547807E-2</v>
      </c>
      <c r="E94" s="87">
        <f t="shared" si="2"/>
        <v>44692</v>
      </c>
      <c r="F94" s="90">
        <f t="shared" si="4"/>
        <v>8.3544083787977202E-2</v>
      </c>
      <c r="G94" s="90"/>
      <c r="N94" s="89">
        <v>44693</v>
      </c>
      <c r="O94" s="88">
        <v>96.25</v>
      </c>
      <c r="R94" s="87">
        <f t="shared" si="3"/>
        <v>44692</v>
      </c>
      <c r="S94" s="86">
        <f t="shared" si="5"/>
        <v>96.195999999999998</v>
      </c>
      <c r="T94" s="86"/>
    </row>
    <row r="95" spans="1:20" x14ac:dyDescent="0.25">
      <c r="A95" s="89">
        <v>44694</v>
      </c>
      <c r="B95" s="91">
        <v>8.3474053010667806E-2</v>
      </c>
      <c r="E95" s="87">
        <f t="shared" si="2"/>
        <v>44693</v>
      </c>
      <c r="F95" s="90">
        <f t="shared" si="4"/>
        <v>8.3405810788547807E-2</v>
      </c>
      <c r="G95" s="90"/>
      <c r="N95" s="89">
        <v>44694</v>
      </c>
      <c r="O95" s="88">
        <v>96.225999999999999</v>
      </c>
      <c r="R95" s="87">
        <f t="shared" si="3"/>
        <v>44693</v>
      </c>
      <c r="S95" s="86">
        <f t="shared" si="5"/>
        <v>96.25</v>
      </c>
      <c r="T95" s="86"/>
    </row>
    <row r="96" spans="1:20" x14ac:dyDescent="0.25">
      <c r="A96" s="89">
        <v>44697</v>
      </c>
      <c r="B96" s="91">
        <v>8.3339741020482E-2</v>
      </c>
      <c r="E96" s="87">
        <f t="shared" si="2"/>
        <v>44694</v>
      </c>
      <c r="F96" s="90">
        <f t="shared" si="4"/>
        <v>8.3474053010667806E-2</v>
      </c>
      <c r="G96" s="90"/>
      <c r="N96" s="89">
        <v>44697</v>
      </c>
      <c r="O96" s="88">
        <v>96.281999999999996</v>
      </c>
      <c r="R96" s="87">
        <f t="shared" si="3"/>
        <v>44694</v>
      </c>
      <c r="S96" s="86">
        <f t="shared" si="5"/>
        <v>96.225999999999999</v>
      </c>
      <c r="T96" s="86"/>
    </row>
    <row r="97" spans="1:20" x14ac:dyDescent="0.25">
      <c r="A97" s="89">
        <v>44698</v>
      </c>
      <c r="B97" s="91">
        <v>8.3344441058328403E-2</v>
      </c>
      <c r="E97" s="87">
        <f t="shared" si="2"/>
        <v>44697</v>
      </c>
      <c r="F97" s="90">
        <f t="shared" si="4"/>
        <v>8.3339741020482E-2</v>
      </c>
      <c r="G97" s="90"/>
      <c r="N97" s="89">
        <v>44698</v>
      </c>
      <c r="O97" s="88">
        <v>96.281999999999996</v>
      </c>
      <c r="R97" s="87">
        <f t="shared" si="3"/>
        <v>44697</v>
      </c>
      <c r="S97" s="86">
        <f t="shared" si="5"/>
        <v>96.281999999999996</v>
      </c>
      <c r="T97" s="86"/>
    </row>
    <row r="98" spans="1:20" x14ac:dyDescent="0.25">
      <c r="A98" s="89">
        <v>44699</v>
      </c>
      <c r="B98" s="91">
        <v>8.3651916010069508E-2</v>
      </c>
      <c r="E98" s="87">
        <f t="shared" si="2"/>
        <v>44698</v>
      </c>
      <c r="F98" s="90">
        <f t="shared" si="4"/>
        <v>8.3344441058328403E-2</v>
      </c>
      <c r="G98" s="90"/>
      <c r="N98" s="89">
        <v>44699</v>
      </c>
      <c r="O98" s="88">
        <v>96.168000000000006</v>
      </c>
      <c r="R98" s="87">
        <f t="shared" si="3"/>
        <v>44698</v>
      </c>
      <c r="S98" s="86">
        <f t="shared" si="5"/>
        <v>96.281999999999996</v>
      </c>
      <c r="T98" s="86"/>
    </row>
    <row r="99" spans="1:20" x14ac:dyDescent="0.25">
      <c r="A99" s="89">
        <v>44700</v>
      </c>
      <c r="B99" s="91">
        <v>8.3890921803391902E-2</v>
      </c>
      <c r="E99" s="87">
        <f t="shared" si="2"/>
        <v>44699</v>
      </c>
      <c r="F99" s="90">
        <f t="shared" si="4"/>
        <v>8.3651916010069508E-2</v>
      </c>
      <c r="G99" s="90"/>
      <c r="N99" s="89">
        <v>44700</v>
      </c>
      <c r="O99" s="88">
        <v>96.08</v>
      </c>
      <c r="R99" s="87">
        <f t="shared" si="3"/>
        <v>44699</v>
      </c>
      <c r="S99" s="86">
        <f t="shared" si="5"/>
        <v>96.168000000000006</v>
      </c>
      <c r="T99" s="86"/>
    </row>
    <row r="100" spans="1:20" x14ac:dyDescent="0.25">
      <c r="A100" s="89">
        <v>44701</v>
      </c>
      <c r="B100" s="91">
        <v>8.3895939517606391E-2</v>
      </c>
      <c r="E100" s="87">
        <f t="shared" si="2"/>
        <v>44700</v>
      </c>
      <c r="F100" s="90">
        <f t="shared" si="4"/>
        <v>8.3890921803391902E-2</v>
      </c>
      <c r="G100" s="90"/>
      <c r="N100" s="89">
        <v>44701</v>
      </c>
      <c r="O100" s="88">
        <v>96.08</v>
      </c>
      <c r="R100" s="87">
        <f t="shared" si="3"/>
        <v>44700</v>
      </c>
      <c r="S100" s="86">
        <f t="shared" si="5"/>
        <v>96.08</v>
      </c>
      <c r="T100" s="86"/>
    </row>
    <row r="101" spans="1:20" x14ac:dyDescent="0.25">
      <c r="A101" s="89">
        <v>44704</v>
      </c>
      <c r="B101" s="91">
        <v>8.4199358307320796E-2</v>
      </c>
      <c r="E101" s="87">
        <f t="shared" si="2"/>
        <v>44701</v>
      </c>
      <c r="F101" s="90">
        <f t="shared" si="4"/>
        <v>8.3895939517606391E-2</v>
      </c>
      <c r="G101" s="90"/>
      <c r="N101" s="89">
        <v>44704</v>
      </c>
      <c r="O101" s="88">
        <v>95.971999999999994</v>
      </c>
      <c r="R101" s="87">
        <f t="shared" si="3"/>
        <v>44701</v>
      </c>
      <c r="S101" s="86">
        <f t="shared" si="5"/>
        <v>96.08</v>
      </c>
      <c r="T101" s="86"/>
    </row>
    <row r="102" spans="1:20" x14ac:dyDescent="0.25">
      <c r="A102" s="89">
        <v>44705</v>
      </c>
      <c r="B102" s="91">
        <v>8.3958895533813097E-2</v>
      </c>
      <c r="E102" s="87">
        <f t="shared" si="2"/>
        <v>44704</v>
      </c>
      <c r="F102" s="90">
        <f t="shared" si="4"/>
        <v>8.4199358307320796E-2</v>
      </c>
      <c r="G102" s="90"/>
      <c r="N102" s="89">
        <v>44705</v>
      </c>
      <c r="O102" s="88">
        <v>96.063999999999993</v>
      </c>
      <c r="R102" s="87">
        <f t="shared" si="3"/>
        <v>44704</v>
      </c>
      <c r="S102" s="86">
        <f t="shared" si="5"/>
        <v>95.971999999999994</v>
      </c>
      <c r="T102" s="86"/>
    </row>
    <row r="103" spans="1:20" x14ac:dyDescent="0.25">
      <c r="A103" s="89">
        <v>44706</v>
      </c>
      <c r="B103" s="91">
        <v>8.4135000278406688E-2</v>
      </c>
      <c r="E103" s="87">
        <f t="shared" si="2"/>
        <v>44705</v>
      </c>
      <c r="F103" s="90">
        <f t="shared" si="4"/>
        <v>8.3958895533813097E-2</v>
      </c>
      <c r="G103" s="90"/>
      <c r="N103" s="89">
        <v>44706</v>
      </c>
      <c r="O103" s="88">
        <v>96</v>
      </c>
      <c r="R103" s="87">
        <f t="shared" si="3"/>
        <v>44705</v>
      </c>
      <c r="S103" s="86">
        <f t="shared" si="5"/>
        <v>96.063999999999993</v>
      </c>
      <c r="T103" s="86"/>
    </row>
    <row r="104" spans="1:20" x14ac:dyDescent="0.25">
      <c r="A104" s="89">
        <v>44707</v>
      </c>
      <c r="B104" s="91">
        <v>8.4140234754507492E-2</v>
      </c>
      <c r="E104" s="87">
        <f t="shared" si="2"/>
        <v>44706</v>
      </c>
      <c r="F104" s="90">
        <f t="shared" si="4"/>
        <v>8.4135000278406688E-2</v>
      </c>
      <c r="G104" s="90"/>
      <c r="N104" s="89">
        <v>44707</v>
      </c>
      <c r="O104" s="88">
        <v>96</v>
      </c>
      <c r="R104" s="87">
        <f t="shared" si="3"/>
        <v>44706</v>
      </c>
      <c r="S104" s="86">
        <f t="shared" si="5"/>
        <v>96</v>
      </c>
      <c r="T104" s="86"/>
    </row>
    <row r="105" spans="1:20" x14ac:dyDescent="0.25">
      <c r="A105" s="89">
        <v>44708</v>
      </c>
      <c r="B105" s="91">
        <v>8.4145488030670207E-2</v>
      </c>
      <c r="E105" s="87">
        <f t="shared" si="2"/>
        <v>44707</v>
      </c>
      <c r="F105" s="90">
        <f t="shared" si="4"/>
        <v>8.4140234754507492E-2</v>
      </c>
      <c r="G105" s="90"/>
      <c r="N105" s="89">
        <v>44708</v>
      </c>
      <c r="O105" s="88">
        <v>96</v>
      </c>
      <c r="R105" s="87">
        <f t="shared" si="3"/>
        <v>44707</v>
      </c>
      <c r="S105" s="86">
        <f t="shared" si="5"/>
        <v>96</v>
      </c>
      <c r="T105" s="86"/>
    </row>
    <row r="106" spans="1:20" x14ac:dyDescent="0.25">
      <c r="A106" s="89">
        <v>44712</v>
      </c>
      <c r="B106" s="91">
        <v>8.384950466463939E-2</v>
      </c>
      <c r="E106" s="87">
        <f t="shared" si="2"/>
        <v>44708</v>
      </c>
      <c r="F106" s="90">
        <f t="shared" si="4"/>
        <v>8.4145488030670207E-2</v>
      </c>
      <c r="G106" s="90"/>
      <c r="N106" s="89">
        <v>44712</v>
      </c>
      <c r="O106" s="88">
        <v>96.096000000000004</v>
      </c>
      <c r="R106" s="87">
        <f t="shared" si="3"/>
        <v>44708</v>
      </c>
      <c r="S106" s="86">
        <f t="shared" si="5"/>
        <v>96</v>
      </c>
      <c r="T106" s="86"/>
    </row>
    <row r="107" spans="1:20" x14ac:dyDescent="0.25">
      <c r="A107" s="89">
        <v>44713</v>
      </c>
      <c r="B107" s="91">
        <v>8.3652658309642497E-2</v>
      </c>
      <c r="E107" s="87">
        <f t="shared" si="2"/>
        <v>44712</v>
      </c>
      <c r="F107" s="90">
        <f t="shared" si="4"/>
        <v>8.384950466463939E-2</v>
      </c>
      <c r="G107" s="90"/>
      <c r="N107" s="89">
        <v>44713</v>
      </c>
      <c r="O107" s="88">
        <v>96.191999999999993</v>
      </c>
      <c r="R107" s="87">
        <f t="shared" si="3"/>
        <v>44712</v>
      </c>
      <c r="S107" s="86">
        <f t="shared" si="5"/>
        <v>96.096000000000004</v>
      </c>
      <c r="T107" s="86"/>
    </row>
    <row r="108" spans="1:20" x14ac:dyDescent="0.25">
      <c r="A108" s="89">
        <v>44714</v>
      </c>
      <c r="B108" s="91">
        <v>8.41720376386101E-2</v>
      </c>
      <c r="E108" s="87">
        <f t="shared" si="2"/>
        <v>44713</v>
      </c>
      <c r="F108" s="90">
        <f t="shared" si="4"/>
        <v>8.3652658309642497E-2</v>
      </c>
      <c r="G108" s="90"/>
      <c r="N108" s="89">
        <v>44714</v>
      </c>
      <c r="O108" s="88">
        <v>96</v>
      </c>
      <c r="R108" s="87">
        <f t="shared" si="3"/>
        <v>44713</v>
      </c>
      <c r="S108" s="86">
        <f t="shared" si="5"/>
        <v>96.191999999999993</v>
      </c>
      <c r="T108" s="86"/>
    </row>
    <row r="109" spans="1:20" x14ac:dyDescent="0.25">
      <c r="A109" s="89">
        <v>44715</v>
      </c>
      <c r="B109" s="91">
        <v>8.4177404452301902E-2</v>
      </c>
      <c r="E109" s="87">
        <f t="shared" si="2"/>
        <v>44714</v>
      </c>
      <c r="F109" s="90">
        <f t="shared" si="4"/>
        <v>8.41720376386101E-2</v>
      </c>
      <c r="G109" s="90"/>
      <c r="N109" s="89">
        <v>44715</v>
      </c>
      <c r="O109" s="88">
        <v>96</v>
      </c>
      <c r="R109" s="87">
        <f t="shared" si="3"/>
        <v>44714</v>
      </c>
      <c r="S109" s="86">
        <f t="shared" si="5"/>
        <v>96</v>
      </c>
      <c r="T109" s="86"/>
    </row>
    <row r="110" spans="1:20" x14ac:dyDescent="0.25">
      <c r="A110" s="89">
        <v>44718</v>
      </c>
      <c r="B110" s="91">
        <v>8.3734605303394508E-2</v>
      </c>
      <c r="E110" s="87">
        <f t="shared" si="2"/>
        <v>44715</v>
      </c>
      <c r="F110" s="90">
        <f t="shared" ref="F110:F132" si="6">B109</f>
        <v>8.4177404452301902E-2</v>
      </c>
      <c r="G110" s="90"/>
      <c r="N110" s="89">
        <v>44718</v>
      </c>
      <c r="O110" s="88">
        <v>96.171000000000006</v>
      </c>
      <c r="R110" s="87">
        <f t="shared" si="3"/>
        <v>44715</v>
      </c>
      <c r="S110" s="86">
        <f t="shared" ref="S110:S132" si="7">O109</f>
        <v>96</v>
      </c>
      <c r="T110" s="86"/>
    </row>
    <row r="111" spans="1:20" x14ac:dyDescent="0.25">
      <c r="A111" s="89">
        <v>44719</v>
      </c>
      <c r="B111" s="91">
        <v>8.386326003503021E-2</v>
      </c>
      <c r="E111" s="87">
        <f t="shared" si="2"/>
        <v>44718</v>
      </c>
      <c r="F111" s="90">
        <f t="shared" si="6"/>
        <v>8.3734605303394508E-2</v>
      </c>
      <c r="G111" s="90"/>
      <c r="N111" s="89">
        <v>44719</v>
      </c>
      <c r="O111" s="88">
        <v>96.125</v>
      </c>
      <c r="R111" s="87">
        <f t="shared" si="3"/>
        <v>44718</v>
      </c>
      <c r="S111" s="86">
        <f t="shared" si="7"/>
        <v>96.171000000000006</v>
      </c>
      <c r="T111" s="86"/>
    </row>
    <row r="112" spans="1:20" x14ac:dyDescent="0.25">
      <c r="A112" s="89">
        <v>44720</v>
      </c>
      <c r="B112" s="91">
        <v>8.3688692831648995E-2</v>
      </c>
      <c r="E112" s="87">
        <f t="shared" si="2"/>
        <v>44719</v>
      </c>
      <c r="F112" s="90">
        <f t="shared" si="6"/>
        <v>8.386326003503021E-2</v>
      </c>
      <c r="G112" s="90"/>
      <c r="N112" s="89">
        <v>44720</v>
      </c>
      <c r="O112" s="88">
        <v>96.191999999999993</v>
      </c>
      <c r="R112" s="87">
        <f t="shared" si="3"/>
        <v>44719</v>
      </c>
      <c r="S112" s="86">
        <f t="shared" si="7"/>
        <v>96.125</v>
      </c>
      <c r="T112" s="86"/>
    </row>
    <row r="113" spans="1:20" x14ac:dyDescent="0.25">
      <c r="A113" s="89">
        <v>44721</v>
      </c>
      <c r="B113" s="91">
        <v>8.4484691883719695E-2</v>
      </c>
      <c r="E113" s="87">
        <f t="shared" si="2"/>
        <v>44720</v>
      </c>
      <c r="F113" s="90">
        <f t="shared" si="6"/>
        <v>8.3688692831648995E-2</v>
      </c>
      <c r="G113" s="90"/>
      <c r="N113" s="89">
        <v>44721</v>
      </c>
      <c r="O113" s="88">
        <v>95.897999999999996</v>
      </c>
      <c r="R113" s="87">
        <f t="shared" si="3"/>
        <v>44720</v>
      </c>
      <c r="S113" s="86">
        <f t="shared" si="7"/>
        <v>96.191999999999993</v>
      </c>
      <c r="T113" s="86"/>
    </row>
    <row r="114" spans="1:20" x14ac:dyDescent="0.25">
      <c r="A114" s="89">
        <v>44722</v>
      </c>
      <c r="B114" s="91">
        <v>8.7813532993958499E-2</v>
      </c>
      <c r="E114" s="87">
        <f t="shared" si="2"/>
        <v>44721</v>
      </c>
      <c r="F114" s="90">
        <f t="shared" si="6"/>
        <v>8.4484691883719695E-2</v>
      </c>
      <c r="G114" s="90"/>
      <c r="N114" s="89">
        <v>44722</v>
      </c>
      <c r="O114" s="88">
        <v>94.674999999999997</v>
      </c>
      <c r="R114" s="87">
        <f t="shared" si="3"/>
        <v>44721</v>
      </c>
      <c r="S114" s="86">
        <f t="shared" si="7"/>
        <v>95.897999999999996</v>
      </c>
      <c r="T114" s="86"/>
    </row>
    <row r="115" spans="1:20" x14ac:dyDescent="0.25">
      <c r="A115" s="89">
        <v>44725</v>
      </c>
      <c r="B115" s="91">
        <v>8.3714995285685212E-2</v>
      </c>
      <c r="E115" s="87">
        <f t="shared" si="2"/>
        <v>44722</v>
      </c>
      <c r="F115" s="90">
        <f t="shared" si="6"/>
        <v>8.7813532993958499E-2</v>
      </c>
      <c r="G115" s="90"/>
      <c r="N115" s="89">
        <v>44725</v>
      </c>
      <c r="O115" s="88">
        <v>96.191999999999993</v>
      </c>
      <c r="R115" s="87">
        <f t="shared" si="3"/>
        <v>44722</v>
      </c>
      <c r="S115" s="86">
        <f t="shared" si="7"/>
        <v>94.674999999999997</v>
      </c>
      <c r="T115" s="86"/>
    </row>
    <row r="116" spans="1:20" x14ac:dyDescent="0.25">
      <c r="A116" s="89">
        <v>44726</v>
      </c>
      <c r="B116" s="91">
        <v>8.3300857633299502E-2</v>
      </c>
      <c r="E116" s="87">
        <f t="shared" si="2"/>
        <v>44725</v>
      </c>
      <c r="F116" s="90">
        <f t="shared" si="6"/>
        <v>8.3714995285685212E-2</v>
      </c>
      <c r="G116" s="90"/>
      <c r="N116" s="89">
        <v>44726</v>
      </c>
      <c r="O116" s="88">
        <v>96.347999999999999</v>
      </c>
      <c r="R116" s="87">
        <f t="shared" si="3"/>
        <v>44725</v>
      </c>
      <c r="S116" s="86">
        <f t="shared" si="7"/>
        <v>96.191999999999993</v>
      </c>
      <c r="T116" s="86"/>
    </row>
    <row r="117" spans="1:20" x14ac:dyDescent="0.25">
      <c r="A117" s="89">
        <v>44727</v>
      </c>
      <c r="B117" s="91">
        <v>8.3655646850568199E-2</v>
      </c>
      <c r="E117" s="87">
        <f t="shared" si="2"/>
        <v>44726</v>
      </c>
      <c r="F117" s="90">
        <f t="shared" si="6"/>
        <v>8.3300857633299502E-2</v>
      </c>
      <c r="G117" s="90"/>
      <c r="N117" s="89">
        <v>44727</v>
      </c>
      <c r="O117" s="88">
        <v>96.218000000000004</v>
      </c>
      <c r="R117" s="87">
        <f t="shared" si="3"/>
        <v>44726</v>
      </c>
      <c r="S117" s="86">
        <f t="shared" si="7"/>
        <v>96.347999999999999</v>
      </c>
      <c r="T117" s="86"/>
    </row>
    <row r="118" spans="1:20" x14ac:dyDescent="0.25">
      <c r="A118" s="89">
        <v>44728</v>
      </c>
      <c r="B118" s="91">
        <v>8.3790284781842986E-2</v>
      </c>
      <c r="E118" s="87">
        <f t="shared" si="2"/>
        <v>44727</v>
      </c>
      <c r="F118" s="90">
        <f t="shared" si="6"/>
        <v>8.3655646850568199E-2</v>
      </c>
      <c r="G118" s="90"/>
      <c r="N118" s="89">
        <v>44728</v>
      </c>
      <c r="O118" s="88">
        <v>96.17</v>
      </c>
      <c r="R118" s="87">
        <f t="shared" si="3"/>
        <v>44727</v>
      </c>
      <c r="S118" s="86">
        <f t="shared" si="7"/>
        <v>96.218000000000004</v>
      </c>
      <c r="T118" s="86"/>
    </row>
    <row r="119" spans="1:20" x14ac:dyDescent="0.25">
      <c r="A119" s="89">
        <v>44729</v>
      </c>
      <c r="B119" s="91">
        <v>8.3434690408607307E-2</v>
      </c>
      <c r="E119" s="87">
        <f t="shared" si="2"/>
        <v>44728</v>
      </c>
      <c r="F119" s="90">
        <f t="shared" si="6"/>
        <v>8.3790284781842986E-2</v>
      </c>
      <c r="G119" s="90"/>
      <c r="N119" s="89">
        <v>44729</v>
      </c>
      <c r="O119" s="88">
        <v>96.304000000000002</v>
      </c>
      <c r="R119" s="87">
        <f t="shared" si="3"/>
        <v>44728</v>
      </c>
      <c r="S119" s="86">
        <f t="shared" si="7"/>
        <v>96.17</v>
      </c>
      <c r="T119" s="86"/>
    </row>
    <row r="120" spans="1:20" x14ac:dyDescent="0.25">
      <c r="A120" s="89">
        <v>44733</v>
      </c>
      <c r="B120" s="91">
        <v>8.4277299051368604E-2</v>
      </c>
      <c r="E120" s="87">
        <f t="shared" si="2"/>
        <v>44729</v>
      </c>
      <c r="F120" s="90">
        <f t="shared" si="6"/>
        <v>8.3434690408607307E-2</v>
      </c>
      <c r="G120" s="90"/>
      <c r="N120" s="89">
        <v>44733</v>
      </c>
      <c r="O120" s="88">
        <v>96</v>
      </c>
      <c r="R120" s="87">
        <f t="shared" si="3"/>
        <v>44729</v>
      </c>
      <c r="S120" s="86">
        <f t="shared" si="7"/>
        <v>96.304000000000002</v>
      </c>
      <c r="T120" s="86"/>
    </row>
    <row r="121" spans="1:20" x14ac:dyDescent="0.25">
      <c r="A121" s="89">
        <v>44734</v>
      </c>
      <c r="B121" s="91">
        <v>8.4283033953038003E-2</v>
      </c>
      <c r="E121" s="87">
        <f t="shared" si="2"/>
        <v>44733</v>
      </c>
      <c r="F121" s="90">
        <f t="shared" si="6"/>
        <v>8.4277299051368604E-2</v>
      </c>
      <c r="G121" s="90"/>
      <c r="N121" s="89">
        <v>44734</v>
      </c>
      <c r="O121" s="88">
        <v>96</v>
      </c>
      <c r="R121" s="87">
        <f t="shared" si="3"/>
        <v>44733</v>
      </c>
      <c r="S121" s="86">
        <f t="shared" si="7"/>
        <v>96</v>
      </c>
      <c r="T121" s="86"/>
    </row>
    <row r="122" spans="1:20" x14ac:dyDescent="0.25">
      <c r="A122" s="89">
        <v>44735</v>
      </c>
      <c r="B122" s="91">
        <v>8.4028750346705094E-2</v>
      </c>
      <c r="E122" s="87">
        <f t="shared" si="2"/>
        <v>44734</v>
      </c>
      <c r="F122" s="90">
        <f t="shared" si="6"/>
        <v>8.4283033953038003E-2</v>
      </c>
      <c r="G122" s="90"/>
      <c r="N122" s="89">
        <v>44735</v>
      </c>
      <c r="O122" s="88">
        <v>96.096000000000004</v>
      </c>
      <c r="R122" s="87">
        <f t="shared" si="3"/>
        <v>44734</v>
      </c>
      <c r="S122" s="86">
        <f t="shared" si="7"/>
        <v>96</v>
      </c>
      <c r="T122" s="86"/>
    </row>
    <row r="123" spans="1:20" x14ac:dyDescent="0.25">
      <c r="A123" s="89">
        <v>44736</v>
      </c>
      <c r="B123" s="91">
        <v>8.416443791103051E-2</v>
      </c>
      <c r="E123" s="87">
        <f t="shared" si="2"/>
        <v>44735</v>
      </c>
      <c r="F123" s="90">
        <f t="shared" si="6"/>
        <v>8.4028750346705094E-2</v>
      </c>
      <c r="G123" s="90"/>
      <c r="N123" s="89">
        <v>44736</v>
      </c>
      <c r="O123" s="88">
        <v>96.048000000000002</v>
      </c>
      <c r="R123" s="87">
        <f t="shared" si="3"/>
        <v>44735</v>
      </c>
      <c r="S123" s="86">
        <f t="shared" si="7"/>
        <v>96.096000000000004</v>
      </c>
      <c r="T123" s="86"/>
    </row>
    <row r="124" spans="1:20" x14ac:dyDescent="0.25">
      <c r="A124" s="89">
        <v>44739</v>
      </c>
      <c r="B124" s="91">
        <v>8.4583770901880101E-2</v>
      </c>
      <c r="E124" s="87">
        <f t="shared" si="2"/>
        <v>44736</v>
      </c>
      <c r="F124" s="90">
        <f t="shared" si="6"/>
        <v>8.416443791103051E-2</v>
      </c>
      <c r="G124" s="90"/>
      <c r="N124" s="89">
        <v>44739</v>
      </c>
      <c r="O124" s="88">
        <v>95.9</v>
      </c>
      <c r="R124" s="87">
        <f t="shared" si="3"/>
        <v>44736</v>
      </c>
      <c r="S124" s="86">
        <f t="shared" si="7"/>
        <v>96.048000000000002</v>
      </c>
      <c r="T124" s="86"/>
    </row>
    <row r="125" spans="1:20" x14ac:dyDescent="0.25">
      <c r="A125" s="89">
        <v>44740</v>
      </c>
      <c r="B125" s="91">
        <v>8.4867463475007801E-2</v>
      </c>
      <c r="E125" s="87">
        <f t="shared" si="2"/>
        <v>44739</v>
      </c>
      <c r="F125" s="90">
        <f t="shared" si="6"/>
        <v>8.4583770901880101E-2</v>
      </c>
      <c r="G125" s="90"/>
      <c r="N125" s="89">
        <v>44740</v>
      </c>
      <c r="O125" s="88">
        <v>95.798000000000002</v>
      </c>
      <c r="R125" s="87">
        <f t="shared" si="3"/>
        <v>44739</v>
      </c>
      <c r="S125" s="86">
        <f t="shared" si="7"/>
        <v>95.9</v>
      </c>
      <c r="T125" s="86"/>
    </row>
    <row r="126" spans="1:20" x14ac:dyDescent="0.25">
      <c r="A126" s="89">
        <v>44741</v>
      </c>
      <c r="B126" s="91">
        <v>8.5966686456946703E-2</v>
      </c>
      <c r="E126" s="87">
        <f t="shared" si="2"/>
        <v>44740</v>
      </c>
      <c r="F126" s="90">
        <f t="shared" si="6"/>
        <v>8.4867463475007801E-2</v>
      </c>
      <c r="G126" s="90"/>
      <c r="N126" s="89">
        <v>44741</v>
      </c>
      <c r="O126" s="88">
        <v>95.397999999999996</v>
      </c>
      <c r="R126" s="87">
        <f t="shared" si="3"/>
        <v>44740</v>
      </c>
      <c r="S126" s="86">
        <f t="shared" si="7"/>
        <v>95.798000000000002</v>
      </c>
      <c r="T126" s="86"/>
    </row>
    <row r="127" spans="1:20" x14ac:dyDescent="0.25">
      <c r="A127" s="89">
        <v>44742</v>
      </c>
      <c r="B127" s="91">
        <v>8.4879795974474898E-2</v>
      </c>
      <c r="E127" s="87">
        <f t="shared" si="2"/>
        <v>44741</v>
      </c>
      <c r="F127" s="90">
        <f t="shared" si="6"/>
        <v>8.5966686456946703E-2</v>
      </c>
      <c r="G127" s="90"/>
      <c r="N127" s="89">
        <v>44742</v>
      </c>
      <c r="O127" s="88">
        <v>95.798000000000002</v>
      </c>
      <c r="R127" s="87">
        <f t="shared" si="3"/>
        <v>44741</v>
      </c>
      <c r="S127" s="86">
        <f t="shared" si="7"/>
        <v>95.397999999999996</v>
      </c>
      <c r="T127" s="86"/>
    </row>
    <row r="128" spans="1:20" x14ac:dyDescent="0.25">
      <c r="A128" s="89">
        <v>44743</v>
      </c>
      <c r="B128" s="91">
        <v>8.4885992971308499E-2</v>
      </c>
      <c r="E128" s="87">
        <f t="shared" si="2"/>
        <v>44742</v>
      </c>
      <c r="F128" s="90">
        <f t="shared" si="6"/>
        <v>8.4879795974474898E-2</v>
      </c>
      <c r="G128" s="90"/>
      <c r="N128" s="89">
        <v>44743</v>
      </c>
      <c r="O128" s="88">
        <v>95.798000000000002</v>
      </c>
      <c r="R128" s="87">
        <f t="shared" si="3"/>
        <v>44742</v>
      </c>
      <c r="S128" s="86">
        <f t="shared" si="7"/>
        <v>95.798000000000002</v>
      </c>
      <c r="T128" s="86"/>
    </row>
    <row r="129" spans="1:20" x14ac:dyDescent="0.25">
      <c r="A129" s="89">
        <v>44747</v>
      </c>
      <c r="B129" s="91">
        <v>8.4359398076956305E-2</v>
      </c>
      <c r="E129" s="87">
        <f t="shared" si="2"/>
        <v>44743</v>
      </c>
      <c r="F129" s="90">
        <f t="shared" si="6"/>
        <v>8.4885992971308499E-2</v>
      </c>
      <c r="G129" s="90"/>
      <c r="N129" s="89">
        <v>44747</v>
      </c>
      <c r="O129" s="88">
        <v>96</v>
      </c>
      <c r="R129" s="87">
        <f t="shared" si="3"/>
        <v>44743</v>
      </c>
      <c r="S129" s="86">
        <f t="shared" si="7"/>
        <v>95.798000000000002</v>
      </c>
      <c r="T129" s="86"/>
    </row>
    <row r="130" spans="1:20" x14ac:dyDescent="0.25">
      <c r="A130" s="89">
        <v>44748</v>
      </c>
      <c r="B130" s="91">
        <v>8.6829717642544602E-2</v>
      </c>
      <c r="E130" s="87">
        <f t="shared" si="2"/>
        <v>44747</v>
      </c>
      <c r="F130" s="90">
        <f t="shared" si="6"/>
        <v>8.4359398076956305E-2</v>
      </c>
      <c r="G130" s="90"/>
      <c r="N130" s="89">
        <v>44748</v>
      </c>
      <c r="O130" s="88">
        <v>95.102000000000004</v>
      </c>
      <c r="R130" s="87">
        <f t="shared" si="3"/>
        <v>44747</v>
      </c>
      <c r="S130" s="86">
        <f t="shared" si="7"/>
        <v>96</v>
      </c>
      <c r="T130" s="86"/>
    </row>
    <row r="131" spans="1:20" x14ac:dyDescent="0.25">
      <c r="A131" s="89">
        <v>44749</v>
      </c>
      <c r="B131" s="91">
        <v>8.8249982357741993E-2</v>
      </c>
      <c r="E131" s="87">
        <f t="shared" si="2"/>
        <v>44748</v>
      </c>
      <c r="F131" s="90">
        <f t="shared" si="6"/>
        <v>8.6829717642544602E-2</v>
      </c>
      <c r="G131" s="90"/>
      <c r="N131" s="89">
        <v>44749</v>
      </c>
      <c r="O131" s="88">
        <v>94.591999999999999</v>
      </c>
      <c r="R131" s="87">
        <f t="shared" si="3"/>
        <v>44748</v>
      </c>
      <c r="S131" s="86">
        <f t="shared" si="7"/>
        <v>95.102000000000004</v>
      </c>
      <c r="T131" s="86"/>
    </row>
    <row r="132" spans="1:20" x14ac:dyDescent="0.25">
      <c r="A132" s="89">
        <v>44750</v>
      </c>
      <c r="B132" s="91">
        <v>8.6039115783103901E-2</v>
      </c>
      <c r="E132" s="87">
        <f t="shared" ref="E132:E195" si="8">A131</f>
        <v>44749</v>
      </c>
      <c r="F132" s="90">
        <f t="shared" si="6"/>
        <v>8.8249982357741993E-2</v>
      </c>
      <c r="G132" s="90"/>
      <c r="N132" s="89">
        <v>44750</v>
      </c>
      <c r="O132" s="88">
        <v>95.394000000000005</v>
      </c>
      <c r="R132" s="87">
        <f t="shared" ref="R132:R195" si="9">N131</f>
        <v>44749</v>
      </c>
      <c r="S132" s="86">
        <f t="shared" si="7"/>
        <v>94.591999999999999</v>
      </c>
      <c r="T132" s="86"/>
    </row>
    <row r="133" spans="1:20" x14ac:dyDescent="0.25">
      <c r="A133" s="89">
        <v>44753</v>
      </c>
      <c r="B133" s="91">
        <v>8.5454342854290988E-2</v>
      </c>
      <c r="E133" s="87">
        <f t="shared" si="8"/>
        <v>44750</v>
      </c>
      <c r="F133" s="90">
        <f t="shared" ref="F133:F196" si="10">B132</f>
        <v>8.6039115783103901E-2</v>
      </c>
      <c r="G133" s="90"/>
      <c r="N133" s="89">
        <v>44753</v>
      </c>
      <c r="O133" s="88">
        <v>95.614000000000004</v>
      </c>
      <c r="R133" s="87">
        <f t="shared" si="9"/>
        <v>44750</v>
      </c>
      <c r="S133" s="86">
        <f t="shared" ref="S133:S196" si="11">O132</f>
        <v>95.394000000000005</v>
      </c>
      <c r="T133" s="86"/>
    </row>
    <row r="134" spans="1:20" x14ac:dyDescent="0.25">
      <c r="A134" s="89">
        <v>44754</v>
      </c>
      <c r="B134" s="91">
        <v>9.0289574199201098E-2</v>
      </c>
      <c r="E134" s="87">
        <f t="shared" si="8"/>
        <v>44753</v>
      </c>
      <c r="F134" s="90">
        <f t="shared" si="10"/>
        <v>8.5454342854290988E-2</v>
      </c>
      <c r="G134" s="90"/>
      <c r="N134" s="89">
        <v>44754</v>
      </c>
      <c r="O134" s="88">
        <v>93.878</v>
      </c>
      <c r="R134" s="87">
        <f t="shared" si="9"/>
        <v>44753</v>
      </c>
      <c r="S134" s="86">
        <f t="shared" si="11"/>
        <v>95.614000000000004</v>
      </c>
      <c r="T134" s="86"/>
    </row>
    <row r="135" spans="1:20" x14ac:dyDescent="0.25">
      <c r="A135" s="89">
        <v>44755</v>
      </c>
      <c r="B135" s="91">
        <v>8.8996939846004999E-2</v>
      </c>
      <c r="E135" s="87">
        <f t="shared" si="8"/>
        <v>44754</v>
      </c>
      <c r="F135" s="90">
        <f t="shared" si="10"/>
        <v>9.0289574199201098E-2</v>
      </c>
      <c r="G135" s="90"/>
      <c r="N135" s="89">
        <v>44755</v>
      </c>
      <c r="O135" s="88">
        <v>94.341999999999999</v>
      </c>
      <c r="R135" s="87">
        <f t="shared" si="9"/>
        <v>44754</v>
      </c>
      <c r="S135" s="86">
        <f t="shared" si="11"/>
        <v>93.878</v>
      </c>
      <c r="T135" s="86"/>
    </row>
    <row r="136" spans="1:20" x14ac:dyDescent="0.25">
      <c r="A136" s="89">
        <v>44756</v>
      </c>
      <c r="B136" s="91">
        <v>9.2018274136395295E-2</v>
      </c>
      <c r="E136" s="87">
        <f t="shared" si="8"/>
        <v>44755</v>
      </c>
      <c r="F136" s="90">
        <f t="shared" si="10"/>
        <v>8.8996939846004999E-2</v>
      </c>
      <c r="G136" s="90"/>
      <c r="N136" s="89">
        <v>44756</v>
      </c>
      <c r="O136" s="88">
        <v>93.272999999999996</v>
      </c>
      <c r="R136" s="87">
        <f t="shared" si="9"/>
        <v>44755</v>
      </c>
      <c r="S136" s="86">
        <f t="shared" si="11"/>
        <v>94.341999999999999</v>
      </c>
      <c r="T136" s="86"/>
    </row>
    <row r="137" spans="1:20" x14ac:dyDescent="0.25">
      <c r="A137" s="89">
        <v>44757</v>
      </c>
      <c r="B137" s="91">
        <v>9.2919031785852799E-2</v>
      </c>
      <c r="E137" s="87">
        <f t="shared" si="8"/>
        <v>44756</v>
      </c>
      <c r="F137" s="90">
        <f t="shared" si="10"/>
        <v>9.2018274136395295E-2</v>
      </c>
      <c r="G137" s="90"/>
      <c r="N137" s="89">
        <v>44757</v>
      </c>
      <c r="O137" s="88">
        <v>92.96</v>
      </c>
      <c r="R137" s="87">
        <f t="shared" si="9"/>
        <v>44756</v>
      </c>
      <c r="S137" s="86">
        <f t="shared" si="11"/>
        <v>93.272999999999996</v>
      </c>
      <c r="T137" s="86"/>
    </row>
    <row r="138" spans="1:20" x14ac:dyDescent="0.25">
      <c r="A138" s="89">
        <v>44760</v>
      </c>
      <c r="B138" s="91">
        <v>9.3580276268228707E-2</v>
      </c>
      <c r="E138" s="87">
        <f t="shared" si="8"/>
        <v>44757</v>
      </c>
      <c r="F138" s="90">
        <f t="shared" si="10"/>
        <v>9.2919031785852799E-2</v>
      </c>
      <c r="G138" s="90"/>
      <c r="N138" s="89">
        <v>44760</v>
      </c>
      <c r="O138" s="88">
        <v>92.74</v>
      </c>
      <c r="R138" s="87">
        <f t="shared" si="9"/>
        <v>44757</v>
      </c>
      <c r="S138" s="86">
        <f t="shared" si="11"/>
        <v>92.96</v>
      </c>
      <c r="T138" s="86"/>
    </row>
    <row r="139" spans="1:20" x14ac:dyDescent="0.25">
      <c r="A139" s="89">
        <v>44761</v>
      </c>
      <c r="B139" s="91">
        <v>9.1140951245646404E-2</v>
      </c>
      <c r="E139" s="87">
        <f t="shared" si="8"/>
        <v>44760</v>
      </c>
      <c r="F139" s="90">
        <f t="shared" si="10"/>
        <v>9.3580276268228707E-2</v>
      </c>
      <c r="G139" s="90"/>
      <c r="N139" s="89">
        <v>44761</v>
      </c>
      <c r="O139" s="88">
        <v>93.6</v>
      </c>
      <c r="R139" s="87">
        <f t="shared" si="9"/>
        <v>44760</v>
      </c>
      <c r="S139" s="86">
        <f t="shared" si="11"/>
        <v>92.74</v>
      </c>
      <c r="T139" s="86"/>
    </row>
    <row r="140" spans="1:20" x14ac:dyDescent="0.25">
      <c r="A140" s="89">
        <v>44762</v>
      </c>
      <c r="B140" s="91">
        <v>8.9552179448529598E-2</v>
      </c>
      <c r="E140" s="87">
        <f t="shared" si="8"/>
        <v>44761</v>
      </c>
      <c r="F140" s="90">
        <f t="shared" si="10"/>
        <v>9.1140951245646404E-2</v>
      </c>
      <c r="G140" s="90"/>
      <c r="N140" s="89">
        <v>44762</v>
      </c>
      <c r="O140" s="88">
        <v>94.165999999999997</v>
      </c>
      <c r="R140" s="87">
        <f t="shared" si="9"/>
        <v>44761</v>
      </c>
      <c r="S140" s="86">
        <f t="shared" si="11"/>
        <v>93.6</v>
      </c>
      <c r="T140" s="86"/>
    </row>
    <row r="141" spans="1:20" x14ac:dyDescent="0.25">
      <c r="A141" s="89">
        <v>44763</v>
      </c>
      <c r="B141" s="91">
        <v>0.104337077394465</v>
      </c>
      <c r="E141" s="87">
        <f t="shared" si="8"/>
        <v>44762</v>
      </c>
      <c r="F141" s="90">
        <f t="shared" si="10"/>
        <v>8.9552179448529598E-2</v>
      </c>
      <c r="G141" s="90"/>
      <c r="N141" s="89">
        <v>44763</v>
      </c>
      <c r="O141" s="88">
        <v>89.091999999999999</v>
      </c>
      <c r="R141" s="87">
        <f t="shared" si="9"/>
        <v>44762</v>
      </c>
      <c r="S141" s="86">
        <f t="shared" si="11"/>
        <v>94.165999999999997</v>
      </c>
      <c r="T141" s="86"/>
    </row>
    <row r="142" spans="1:20" x14ac:dyDescent="0.25">
      <c r="A142" s="89">
        <v>44764</v>
      </c>
      <c r="B142" s="91">
        <v>0.10394433098313399</v>
      </c>
      <c r="E142" s="87">
        <f t="shared" si="8"/>
        <v>44763</v>
      </c>
      <c r="F142" s="90">
        <f t="shared" si="10"/>
        <v>0.104337077394465</v>
      </c>
      <c r="G142" s="90"/>
      <c r="N142" s="89">
        <v>44764</v>
      </c>
      <c r="O142" s="88">
        <v>89.227999999999994</v>
      </c>
      <c r="R142" s="87">
        <f t="shared" si="9"/>
        <v>44763</v>
      </c>
      <c r="S142" s="86">
        <f t="shared" si="11"/>
        <v>89.091999999999999</v>
      </c>
      <c r="T142" s="86"/>
    </row>
    <row r="143" spans="1:20" x14ac:dyDescent="0.25">
      <c r="A143" s="89">
        <v>44767</v>
      </c>
      <c r="B143" s="91">
        <v>9.2912375490820001E-2</v>
      </c>
      <c r="E143" s="87">
        <f t="shared" si="8"/>
        <v>44764</v>
      </c>
      <c r="F143" s="90">
        <f t="shared" si="10"/>
        <v>0.10394433098313399</v>
      </c>
      <c r="G143" s="90"/>
      <c r="N143" s="89">
        <v>44767</v>
      </c>
      <c r="O143" s="88">
        <v>93</v>
      </c>
      <c r="R143" s="87">
        <f t="shared" si="9"/>
        <v>44764</v>
      </c>
      <c r="S143" s="86">
        <f t="shared" si="11"/>
        <v>89.227999999999994</v>
      </c>
      <c r="T143" s="86"/>
    </row>
    <row r="144" spans="1:20" x14ac:dyDescent="0.25">
      <c r="A144" s="89">
        <v>44768</v>
      </c>
      <c r="B144" s="91">
        <v>9.2923267461496109E-2</v>
      </c>
      <c r="E144" s="87">
        <f t="shared" si="8"/>
        <v>44767</v>
      </c>
      <c r="F144" s="90">
        <f t="shared" si="10"/>
        <v>9.2912375490820001E-2</v>
      </c>
      <c r="G144" s="90"/>
      <c r="N144" s="89">
        <v>44768</v>
      </c>
      <c r="O144" s="88">
        <v>93</v>
      </c>
      <c r="R144" s="87">
        <f t="shared" si="9"/>
        <v>44767</v>
      </c>
      <c r="S144" s="86">
        <f t="shared" si="11"/>
        <v>93</v>
      </c>
      <c r="T144" s="86"/>
    </row>
    <row r="145" spans="1:20" x14ac:dyDescent="0.25">
      <c r="A145" s="89">
        <v>44769</v>
      </c>
      <c r="B145" s="91">
        <v>9.3594768224207703E-2</v>
      </c>
      <c r="E145" s="87">
        <f t="shared" si="8"/>
        <v>44768</v>
      </c>
      <c r="F145" s="90">
        <f t="shared" si="10"/>
        <v>9.2923267461496109E-2</v>
      </c>
      <c r="G145" s="90"/>
      <c r="N145" s="89">
        <v>44769</v>
      </c>
      <c r="O145" s="88">
        <v>92.77</v>
      </c>
      <c r="R145" s="87">
        <f t="shared" si="9"/>
        <v>44768</v>
      </c>
      <c r="S145" s="86">
        <f t="shared" si="11"/>
        <v>93</v>
      </c>
      <c r="T145" s="86"/>
    </row>
    <row r="146" spans="1:20" x14ac:dyDescent="0.25">
      <c r="A146" s="89">
        <v>44770</v>
      </c>
      <c r="B146" s="91">
        <v>0.10390906107423299</v>
      </c>
      <c r="E146" s="87">
        <f t="shared" si="8"/>
        <v>44769</v>
      </c>
      <c r="F146" s="90">
        <f t="shared" si="10"/>
        <v>9.3594768224207703E-2</v>
      </c>
      <c r="G146" s="90"/>
      <c r="N146" s="89">
        <v>44770</v>
      </c>
      <c r="O146" s="88">
        <v>89.272999999999996</v>
      </c>
      <c r="R146" s="87">
        <f t="shared" si="9"/>
        <v>44769</v>
      </c>
      <c r="S146" s="86">
        <f t="shared" si="11"/>
        <v>92.77</v>
      </c>
      <c r="T146" s="86"/>
    </row>
    <row r="147" spans="1:20" x14ac:dyDescent="0.25">
      <c r="A147" s="89">
        <v>44771</v>
      </c>
      <c r="B147" s="91">
        <v>9.6206942671207288E-2</v>
      </c>
      <c r="E147" s="87">
        <f t="shared" si="8"/>
        <v>44770</v>
      </c>
      <c r="F147" s="90">
        <f t="shared" si="10"/>
        <v>0.10390906107423299</v>
      </c>
      <c r="G147" s="90"/>
      <c r="N147" s="89">
        <v>44771</v>
      </c>
      <c r="O147" s="88">
        <v>91.876000000000005</v>
      </c>
      <c r="R147" s="87">
        <f t="shared" si="9"/>
        <v>44770</v>
      </c>
      <c r="S147" s="86">
        <f t="shared" si="11"/>
        <v>89.272999999999996</v>
      </c>
      <c r="T147" s="86"/>
    </row>
    <row r="148" spans="1:20" x14ac:dyDescent="0.25">
      <c r="A148" s="89">
        <v>44774</v>
      </c>
      <c r="B148" s="91">
        <v>9.0310324782657894E-2</v>
      </c>
      <c r="E148" s="87">
        <f t="shared" si="8"/>
        <v>44771</v>
      </c>
      <c r="F148" s="90">
        <f t="shared" si="10"/>
        <v>9.6206942671207288E-2</v>
      </c>
      <c r="G148" s="90"/>
      <c r="N148" s="89">
        <v>44774</v>
      </c>
      <c r="O148" s="88">
        <v>93.933999999999997</v>
      </c>
      <c r="R148" s="87">
        <f t="shared" si="9"/>
        <v>44771</v>
      </c>
      <c r="S148" s="86">
        <f t="shared" si="11"/>
        <v>91.876000000000005</v>
      </c>
      <c r="T148" s="86"/>
    </row>
    <row r="149" spans="1:20" x14ac:dyDescent="0.25">
      <c r="A149" s="89">
        <v>44775</v>
      </c>
      <c r="B149" s="91">
        <v>9.0234767352054407E-2</v>
      </c>
      <c r="E149" s="87">
        <f t="shared" si="8"/>
        <v>44774</v>
      </c>
      <c r="F149" s="90">
        <f t="shared" si="10"/>
        <v>9.0310324782657894E-2</v>
      </c>
      <c r="G149" s="90"/>
      <c r="N149" s="89">
        <v>44775</v>
      </c>
      <c r="O149" s="88">
        <v>93.963999999999999</v>
      </c>
      <c r="R149" s="87">
        <f t="shared" si="9"/>
        <v>44774</v>
      </c>
      <c r="S149" s="86">
        <f t="shared" si="11"/>
        <v>93.933999999999997</v>
      </c>
      <c r="T149" s="86"/>
    </row>
    <row r="150" spans="1:20" x14ac:dyDescent="0.25">
      <c r="A150" s="89">
        <v>44776</v>
      </c>
      <c r="B150" s="91">
        <v>0.101733682770179</v>
      </c>
      <c r="E150" s="87">
        <f t="shared" si="8"/>
        <v>44775</v>
      </c>
      <c r="F150" s="90">
        <f t="shared" si="10"/>
        <v>9.0234767352054407E-2</v>
      </c>
      <c r="G150" s="90"/>
      <c r="N150" s="89">
        <v>44776</v>
      </c>
      <c r="O150" s="88">
        <v>90.024000000000001</v>
      </c>
      <c r="R150" s="87">
        <f t="shared" si="9"/>
        <v>44775</v>
      </c>
      <c r="S150" s="86">
        <f t="shared" si="11"/>
        <v>93.963999999999999</v>
      </c>
      <c r="T150" s="86"/>
    </row>
    <row r="151" spans="1:20" x14ac:dyDescent="0.25">
      <c r="A151" s="89">
        <v>44777</v>
      </c>
      <c r="B151" s="91">
        <v>0.10944235909067</v>
      </c>
      <c r="E151" s="87">
        <f t="shared" si="8"/>
        <v>44776</v>
      </c>
      <c r="F151" s="90">
        <f t="shared" si="10"/>
        <v>0.101733682770179</v>
      </c>
      <c r="G151" s="90"/>
      <c r="N151" s="89">
        <v>44777</v>
      </c>
      <c r="O151" s="88">
        <v>87.5</v>
      </c>
      <c r="R151" s="87">
        <f t="shared" si="9"/>
        <v>44776</v>
      </c>
      <c r="S151" s="86">
        <f t="shared" si="11"/>
        <v>90.024000000000001</v>
      </c>
      <c r="T151" s="86"/>
    </row>
    <row r="152" spans="1:20" x14ac:dyDescent="0.25">
      <c r="A152" s="89">
        <v>44778</v>
      </c>
      <c r="B152" s="91">
        <v>0.109462327197451</v>
      </c>
      <c r="E152" s="87">
        <f t="shared" si="8"/>
        <v>44777</v>
      </c>
      <c r="F152" s="90">
        <f t="shared" si="10"/>
        <v>0.10944235909067</v>
      </c>
      <c r="G152" s="90"/>
      <c r="N152" s="89">
        <v>44778</v>
      </c>
      <c r="O152" s="88">
        <v>87.5</v>
      </c>
      <c r="R152" s="87">
        <f t="shared" si="9"/>
        <v>44777</v>
      </c>
      <c r="S152" s="86">
        <f t="shared" si="11"/>
        <v>87.5</v>
      </c>
      <c r="T152" s="86"/>
    </row>
    <row r="153" spans="1:20" x14ac:dyDescent="0.25">
      <c r="A153" s="89">
        <v>44781</v>
      </c>
      <c r="B153" s="91">
        <v>0.109522498484589</v>
      </c>
      <c r="E153" s="87">
        <f t="shared" si="8"/>
        <v>44778</v>
      </c>
      <c r="F153" s="90">
        <f t="shared" si="10"/>
        <v>0.109462327197451</v>
      </c>
      <c r="G153" s="90"/>
      <c r="N153" s="89">
        <v>44781</v>
      </c>
      <c r="O153" s="88">
        <v>87.5</v>
      </c>
      <c r="R153" s="87">
        <f t="shared" si="9"/>
        <v>44778</v>
      </c>
      <c r="S153" s="86">
        <f t="shared" si="11"/>
        <v>87.5</v>
      </c>
      <c r="T153" s="86"/>
    </row>
    <row r="154" spans="1:20" x14ac:dyDescent="0.25">
      <c r="A154" s="89">
        <v>44782</v>
      </c>
      <c r="B154" s="91">
        <v>8.6317718275023103E-2</v>
      </c>
      <c r="E154" s="87">
        <f t="shared" si="8"/>
        <v>44781</v>
      </c>
      <c r="F154" s="90">
        <f t="shared" si="10"/>
        <v>0.109522498484589</v>
      </c>
      <c r="G154" s="90"/>
      <c r="N154" s="89">
        <v>44782</v>
      </c>
      <c r="O154" s="88">
        <v>95.375</v>
      </c>
      <c r="R154" s="87">
        <f t="shared" si="9"/>
        <v>44781</v>
      </c>
      <c r="S154" s="86">
        <f t="shared" si="11"/>
        <v>87.5</v>
      </c>
      <c r="T154" s="86"/>
    </row>
    <row r="155" spans="1:20" x14ac:dyDescent="0.25">
      <c r="A155" s="89">
        <v>44783</v>
      </c>
      <c r="B155" s="91">
        <v>9.8931482887473193E-2</v>
      </c>
      <c r="E155" s="87">
        <f t="shared" si="8"/>
        <v>44782</v>
      </c>
      <c r="F155" s="90">
        <f t="shared" si="10"/>
        <v>8.6317718275023103E-2</v>
      </c>
      <c r="G155" s="90"/>
      <c r="N155" s="89">
        <v>44783</v>
      </c>
      <c r="O155" s="88">
        <v>91</v>
      </c>
      <c r="R155" s="87">
        <f t="shared" si="9"/>
        <v>44782</v>
      </c>
      <c r="S155" s="86">
        <f t="shared" si="11"/>
        <v>95.375</v>
      </c>
      <c r="T155" s="86"/>
    </row>
    <row r="156" spans="1:20" x14ac:dyDescent="0.25">
      <c r="A156" s="89">
        <v>44784</v>
      </c>
      <c r="B156" s="91">
        <v>0.100315117078243</v>
      </c>
      <c r="E156" s="87">
        <f t="shared" si="8"/>
        <v>44783</v>
      </c>
      <c r="F156" s="90">
        <f t="shared" si="10"/>
        <v>9.8931482887473193E-2</v>
      </c>
      <c r="G156" s="90"/>
      <c r="N156" s="89">
        <v>44784</v>
      </c>
      <c r="O156" s="88">
        <v>90.54</v>
      </c>
      <c r="R156" s="87">
        <f t="shared" si="9"/>
        <v>44783</v>
      </c>
      <c r="S156" s="86">
        <f t="shared" si="11"/>
        <v>91</v>
      </c>
      <c r="T156" s="86"/>
    </row>
    <row r="157" spans="1:20" x14ac:dyDescent="0.25">
      <c r="A157" s="89">
        <v>44785</v>
      </c>
      <c r="B157" s="91">
        <v>9.931703344912951E-2</v>
      </c>
      <c r="E157" s="87">
        <f t="shared" si="8"/>
        <v>44784</v>
      </c>
      <c r="F157" s="90">
        <f t="shared" si="10"/>
        <v>0.100315117078243</v>
      </c>
      <c r="G157" s="90"/>
      <c r="N157" s="89">
        <v>44785</v>
      </c>
      <c r="O157" s="88">
        <v>90.88</v>
      </c>
      <c r="R157" s="87">
        <f t="shared" si="9"/>
        <v>44784</v>
      </c>
      <c r="S157" s="86">
        <f t="shared" si="11"/>
        <v>90.54</v>
      </c>
      <c r="T157" s="86"/>
    </row>
    <row r="158" spans="1:20" x14ac:dyDescent="0.25">
      <c r="A158" s="89">
        <v>44788</v>
      </c>
      <c r="B158" s="91">
        <v>9.7079812400616902E-2</v>
      </c>
      <c r="E158" s="87">
        <f t="shared" si="8"/>
        <v>44785</v>
      </c>
      <c r="F158" s="90">
        <f t="shared" si="10"/>
        <v>9.931703344912951E-2</v>
      </c>
      <c r="G158" s="90"/>
      <c r="N158" s="89">
        <v>44788</v>
      </c>
      <c r="O158" s="88">
        <v>91.65</v>
      </c>
      <c r="R158" s="87">
        <f t="shared" si="9"/>
        <v>44785</v>
      </c>
      <c r="S158" s="86">
        <f t="shared" si="11"/>
        <v>90.88</v>
      </c>
      <c r="T158" s="86"/>
    </row>
    <row r="159" spans="1:20" x14ac:dyDescent="0.25">
      <c r="A159" s="89">
        <v>44789</v>
      </c>
      <c r="B159" s="91">
        <v>9.6504328496432007E-2</v>
      </c>
      <c r="E159" s="87">
        <f t="shared" si="8"/>
        <v>44788</v>
      </c>
      <c r="F159" s="90">
        <f t="shared" si="10"/>
        <v>9.7079812400616902E-2</v>
      </c>
      <c r="G159" s="90"/>
      <c r="N159" s="89">
        <v>44789</v>
      </c>
      <c r="O159" s="88">
        <v>91.85</v>
      </c>
      <c r="R159" s="87">
        <f t="shared" si="9"/>
        <v>44788</v>
      </c>
      <c r="S159" s="86">
        <f t="shared" si="11"/>
        <v>91.65</v>
      </c>
      <c r="T159" s="86"/>
    </row>
    <row r="160" spans="1:20" x14ac:dyDescent="0.25">
      <c r="A160" s="89">
        <v>44790</v>
      </c>
      <c r="B160" s="91">
        <v>9.6514815673851298E-2</v>
      </c>
      <c r="E160" s="87">
        <f t="shared" si="8"/>
        <v>44789</v>
      </c>
      <c r="F160" s="90">
        <f t="shared" si="10"/>
        <v>9.6504328496432007E-2</v>
      </c>
      <c r="G160" s="90"/>
      <c r="N160" s="89">
        <v>44790</v>
      </c>
      <c r="O160" s="88">
        <v>91.85</v>
      </c>
      <c r="R160" s="87">
        <f t="shared" si="9"/>
        <v>44789</v>
      </c>
      <c r="S160" s="86">
        <f t="shared" si="11"/>
        <v>91.85</v>
      </c>
      <c r="T160" s="86"/>
    </row>
    <row r="161" spans="1:20" x14ac:dyDescent="0.25">
      <c r="A161" s="89">
        <v>44791</v>
      </c>
      <c r="B161" s="91">
        <v>9.6525331435156791E-2</v>
      </c>
      <c r="E161" s="87">
        <f t="shared" si="8"/>
        <v>44790</v>
      </c>
      <c r="F161" s="90">
        <f t="shared" si="10"/>
        <v>9.6514815673851298E-2</v>
      </c>
      <c r="G161" s="90"/>
      <c r="N161" s="89">
        <v>44791</v>
      </c>
      <c r="O161" s="88">
        <v>91.85</v>
      </c>
      <c r="R161" s="87">
        <f t="shared" si="9"/>
        <v>44790</v>
      </c>
      <c r="S161" s="86">
        <f t="shared" si="11"/>
        <v>91.85</v>
      </c>
      <c r="T161" s="86"/>
    </row>
    <row r="162" spans="1:20" x14ac:dyDescent="0.25">
      <c r="A162" s="89">
        <v>44792</v>
      </c>
      <c r="B162" s="91">
        <v>9.7332732653147694E-2</v>
      </c>
      <c r="E162" s="87">
        <f t="shared" si="8"/>
        <v>44791</v>
      </c>
      <c r="F162" s="90">
        <f t="shared" si="10"/>
        <v>9.6525331435156791E-2</v>
      </c>
      <c r="G162" s="90"/>
      <c r="N162" s="89">
        <v>44792</v>
      </c>
      <c r="O162" s="88">
        <v>91.58</v>
      </c>
      <c r="R162" s="87">
        <f t="shared" si="9"/>
        <v>44791</v>
      </c>
      <c r="S162" s="86">
        <f t="shared" si="11"/>
        <v>91.85</v>
      </c>
      <c r="T162" s="86"/>
    </row>
    <row r="163" spans="1:20" x14ac:dyDescent="0.25">
      <c r="A163" s="89">
        <v>44795</v>
      </c>
      <c r="B163" s="91">
        <v>9.7365744516809197E-2</v>
      </c>
      <c r="E163" s="87">
        <f t="shared" si="8"/>
        <v>44792</v>
      </c>
      <c r="F163" s="90">
        <f t="shared" si="10"/>
        <v>9.7332732653147694E-2</v>
      </c>
      <c r="G163" s="90"/>
      <c r="N163" s="89">
        <v>44795</v>
      </c>
      <c r="O163" s="88">
        <v>91.58</v>
      </c>
      <c r="R163" s="87">
        <f t="shared" si="9"/>
        <v>44792</v>
      </c>
      <c r="S163" s="86">
        <f t="shared" si="11"/>
        <v>91.58</v>
      </c>
      <c r="T163" s="86"/>
    </row>
    <row r="164" spans="1:20" x14ac:dyDescent="0.25">
      <c r="A164" s="89">
        <v>44796</v>
      </c>
      <c r="B164" s="91">
        <v>9.7376807486146008E-2</v>
      </c>
      <c r="E164" s="87">
        <f t="shared" si="8"/>
        <v>44795</v>
      </c>
      <c r="F164" s="90">
        <f t="shared" si="10"/>
        <v>9.7365744516809197E-2</v>
      </c>
      <c r="G164" s="90"/>
      <c r="N164" s="89">
        <v>44796</v>
      </c>
      <c r="O164" s="88">
        <v>91.58</v>
      </c>
      <c r="R164" s="87">
        <f t="shared" si="9"/>
        <v>44795</v>
      </c>
      <c r="S164" s="86">
        <f t="shared" si="11"/>
        <v>91.58</v>
      </c>
      <c r="T164" s="86"/>
    </row>
    <row r="165" spans="1:20" x14ac:dyDescent="0.25">
      <c r="A165" s="89">
        <v>44797</v>
      </c>
      <c r="B165" s="91">
        <v>9.7387900060186508E-2</v>
      </c>
      <c r="E165" s="87">
        <f t="shared" si="8"/>
        <v>44796</v>
      </c>
      <c r="F165" s="90">
        <f t="shared" si="10"/>
        <v>9.7376807486146008E-2</v>
      </c>
      <c r="G165" s="90"/>
      <c r="N165" s="89">
        <v>44797</v>
      </c>
      <c r="O165" s="88">
        <v>91.58</v>
      </c>
      <c r="R165" s="87">
        <f t="shared" si="9"/>
        <v>44796</v>
      </c>
      <c r="S165" s="86">
        <f t="shared" si="11"/>
        <v>91.58</v>
      </c>
      <c r="T165" s="86"/>
    </row>
    <row r="166" spans="1:20" x14ac:dyDescent="0.25">
      <c r="A166" s="89">
        <v>44798</v>
      </c>
      <c r="B166" s="91">
        <v>9.7399022297580989E-2</v>
      </c>
      <c r="E166" s="87">
        <f t="shared" si="8"/>
        <v>44797</v>
      </c>
      <c r="F166" s="90">
        <f t="shared" si="10"/>
        <v>9.7387900060186508E-2</v>
      </c>
      <c r="G166" s="90"/>
      <c r="N166" s="89">
        <v>44798</v>
      </c>
      <c r="O166" s="88">
        <v>91.58</v>
      </c>
      <c r="R166" s="87">
        <f t="shared" si="9"/>
        <v>44797</v>
      </c>
      <c r="S166" s="86">
        <f t="shared" si="11"/>
        <v>91.58</v>
      </c>
      <c r="T166" s="86"/>
    </row>
    <row r="167" spans="1:20" x14ac:dyDescent="0.25">
      <c r="A167" s="89">
        <v>44799</v>
      </c>
      <c r="B167" s="91">
        <v>9.7410174257157089E-2</v>
      </c>
      <c r="E167" s="87">
        <f t="shared" si="8"/>
        <v>44798</v>
      </c>
      <c r="F167" s="90">
        <f t="shared" si="10"/>
        <v>9.7399022297580989E-2</v>
      </c>
      <c r="G167" s="90"/>
      <c r="N167" s="89">
        <v>44799</v>
      </c>
      <c r="O167" s="88">
        <v>91.58</v>
      </c>
      <c r="R167" s="87">
        <f t="shared" si="9"/>
        <v>44798</v>
      </c>
      <c r="S167" s="86">
        <f t="shared" si="11"/>
        <v>91.58</v>
      </c>
      <c r="T167" s="86"/>
    </row>
    <row r="168" spans="1:20" x14ac:dyDescent="0.25">
      <c r="A168" s="89">
        <v>44802</v>
      </c>
      <c r="B168" s="91">
        <v>9.7443809059898912E-2</v>
      </c>
      <c r="E168" s="87">
        <f t="shared" si="8"/>
        <v>44799</v>
      </c>
      <c r="F168" s="90">
        <f t="shared" si="10"/>
        <v>9.7410174257157089E-2</v>
      </c>
      <c r="G168" s="90"/>
      <c r="N168" s="89">
        <v>44802</v>
      </c>
      <c r="O168" s="88">
        <v>91.58</v>
      </c>
      <c r="R168" s="87">
        <f t="shared" si="9"/>
        <v>44799</v>
      </c>
      <c r="S168" s="86">
        <f t="shared" si="11"/>
        <v>91.58</v>
      </c>
      <c r="T168" s="86"/>
    </row>
    <row r="169" spans="1:20" x14ac:dyDescent="0.25">
      <c r="A169" s="89">
        <v>44803</v>
      </c>
      <c r="B169" s="91">
        <v>9.7455080500016805E-2</v>
      </c>
      <c r="E169" s="87">
        <f t="shared" si="8"/>
        <v>44802</v>
      </c>
      <c r="F169" s="90">
        <f t="shared" si="10"/>
        <v>9.7443809059898912E-2</v>
      </c>
      <c r="G169" s="90"/>
      <c r="N169" s="89">
        <v>44803</v>
      </c>
      <c r="O169" s="88">
        <v>91.58</v>
      </c>
      <c r="R169" s="87">
        <f t="shared" si="9"/>
        <v>44802</v>
      </c>
      <c r="S169" s="86">
        <f t="shared" si="11"/>
        <v>91.58</v>
      </c>
      <c r="T169" s="86"/>
    </row>
    <row r="170" spans="1:20" x14ac:dyDescent="0.25">
      <c r="A170" s="89">
        <v>44804</v>
      </c>
      <c r="B170" s="91">
        <v>9.7394180265225797E-2</v>
      </c>
      <c r="E170" s="87">
        <f t="shared" si="8"/>
        <v>44803</v>
      </c>
      <c r="F170" s="90">
        <f t="shared" si="10"/>
        <v>9.7455080500016805E-2</v>
      </c>
      <c r="G170" s="90"/>
      <c r="N170" s="89">
        <v>44804</v>
      </c>
      <c r="O170" s="88">
        <v>91.58</v>
      </c>
      <c r="R170" s="87">
        <f t="shared" si="9"/>
        <v>44803</v>
      </c>
      <c r="S170" s="86">
        <f t="shared" si="11"/>
        <v>91.58</v>
      </c>
      <c r="T170" s="86"/>
    </row>
    <row r="171" spans="1:20" x14ac:dyDescent="0.25">
      <c r="A171" s="89">
        <v>44805</v>
      </c>
      <c r="B171" s="91">
        <v>9.7466381959117804E-2</v>
      </c>
      <c r="E171" s="87">
        <f t="shared" si="8"/>
        <v>44804</v>
      </c>
      <c r="F171" s="90">
        <f t="shared" si="10"/>
        <v>9.7394180265225797E-2</v>
      </c>
      <c r="G171" s="90"/>
      <c r="N171" s="89">
        <v>44805</v>
      </c>
      <c r="O171" s="88">
        <v>91.58</v>
      </c>
      <c r="R171" s="87">
        <f t="shared" si="9"/>
        <v>44804</v>
      </c>
      <c r="S171" s="86">
        <f t="shared" si="11"/>
        <v>91.58</v>
      </c>
      <c r="T171" s="86"/>
    </row>
    <row r="172" spans="1:20" x14ac:dyDescent="0.25">
      <c r="A172" s="89">
        <v>44806</v>
      </c>
      <c r="B172" s="91">
        <v>9.7477713497099008E-2</v>
      </c>
      <c r="E172" s="87">
        <f t="shared" si="8"/>
        <v>44805</v>
      </c>
      <c r="F172" s="90">
        <f t="shared" si="10"/>
        <v>9.7466381959117804E-2</v>
      </c>
      <c r="G172" s="90"/>
      <c r="N172" s="89">
        <v>44806</v>
      </c>
      <c r="O172" s="88">
        <v>91.58</v>
      </c>
      <c r="R172" s="87">
        <f t="shared" si="9"/>
        <v>44805</v>
      </c>
      <c r="S172" s="86">
        <f t="shared" si="11"/>
        <v>91.58</v>
      </c>
      <c r="T172" s="86"/>
    </row>
    <row r="173" spans="1:20" x14ac:dyDescent="0.25">
      <c r="A173" s="89">
        <v>44810</v>
      </c>
      <c r="B173" s="91">
        <v>9.7523341642145212E-2</v>
      </c>
      <c r="E173" s="87">
        <f t="shared" si="8"/>
        <v>44806</v>
      </c>
      <c r="F173" s="90">
        <f t="shared" si="10"/>
        <v>9.7477713497099008E-2</v>
      </c>
      <c r="G173" s="90"/>
      <c r="N173" s="89">
        <v>44810</v>
      </c>
      <c r="O173" s="88">
        <v>91.58</v>
      </c>
      <c r="R173" s="87">
        <f t="shared" si="9"/>
        <v>44806</v>
      </c>
      <c r="S173" s="86">
        <f t="shared" si="11"/>
        <v>91.58</v>
      </c>
      <c r="T173" s="86"/>
    </row>
    <row r="174" spans="1:20" x14ac:dyDescent="0.25">
      <c r="A174" s="89">
        <v>44811</v>
      </c>
      <c r="B174" s="91">
        <v>9.7504988088862293E-2</v>
      </c>
      <c r="E174" s="87">
        <f t="shared" si="8"/>
        <v>44810</v>
      </c>
      <c r="F174" s="90">
        <f t="shared" si="10"/>
        <v>9.7523341642145212E-2</v>
      </c>
      <c r="G174" s="90"/>
      <c r="N174" s="89">
        <v>44811</v>
      </c>
      <c r="O174" s="88">
        <v>91.59</v>
      </c>
      <c r="R174" s="87">
        <f t="shared" si="9"/>
        <v>44810</v>
      </c>
      <c r="S174" s="86">
        <f t="shared" si="11"/>
        <v>91.58</v>
      </c>
      <c r="T174" s="86"/>
    </row>
    <row r="175" spans="1:20" x14ac:dyDescent="0.25">
      <c r="A175" s="89">
        <v>44812</v>
      </c>
      <c r="B175" s="91">
        <v>9.7516486016269305E-2</v>
      </c>
      <c r="E175" s="87">
        <f t="shared" si="8"/>
        <v>44811</v>
      </c>
      <c r="F175" s="90">
        <f t="shared" si="10"/>
        <v>9.7504988088862293E-2</v>
      </c>
      <c r="G175" s="90"/>
      <c r="N175" s="89">
        <v>44812</v>
      </c>
      <c r="O175" s="88">
        <v>91.59</v>
      </c>
      <c r="R175" s="87">
        <f t="shared" si="9"/>
        <v>44811</v>
      </c>
      <c r="S175" s="86">
        <f t="shared" si="11"/>
        <v>91.59</v>
      </c>
      <c r="T175" s="86"/>
    </row>
    <row r="176" spans="1:20" x14ac:dyDescent="0.25">
      <c r="A176" s="89">
        <v>44813</v>
      </c>
      <c r="B176" s="91">
        <v>9.7528014420812686E-2</v>
      </c>
      <c r="E176" s="87">
        <f t="shared" si="8"/>
        <v>44812</v>
      </c>
      <c r="F176" s="90">
        <f t="shared" si="10"/>
        <v>9.7516486016269305E-2</v>
      </c>
      <c r="G176" s="90"/>
      <c r="N176" s="89">
        <v>44813</v>
      </c>
      <c r="O176" s="88">
        <v>91.59</v>
      </c>
      <c r="R176" s="87">
        <f t="shared" si="9"/>
        <v>44812</v>
      </c>
      <c r="S176" s="86">
        <f t="shared" si="11"/>
        <v>91.59</v>
      </c>
      <c r="T176" s="86"/>
    </row>
    <row r="177" spans="1:20" x14ac:dyDescent="0.25">
      <c r="A177" s="89">
        <v>44816</v>
      </c>
      <c r="B177" s="91">
        <v>9.7562783111261805E-2</v>
      </c>
      <c r="E177" s="87">
        <f t="shared" si="8"/>
        <v>44813</v>
      </c>
      <c r="F177" s="90">
        <f t="shared" si="10"/>
        <v>9.7528014420812686E-2</v>
      </c>
      <c r="G177" s="90"/>
      <c r="N177" s="89">
        <v>44816</v>
      </c>
      <c r="O177" s="88">
        <v>91.59</v>
      </c>
      <c r="R177" s="87">
        <f t="shared" si="9"/>
        <v>44813</v>
      </c>
      <c r="S177" s="86">
        <f t="shared" si="11"/>
        <v>91.59</v>
      </c>
      <c r="T177" s="86"/>
    </row>
    <row r="178" spans="1:20" x14ac:dyDescent="0.25">
      <c r="A178" s="89">
        <v>44817</v>
      </c>
      <c r="B178" s="91">
        <v>9.7784020279482908E-2</v>
      </c>
      <c r="E178" s="87">
        <f t="shared" si="8"/>
        <v>44816</v>
      </c>
      <c r="F178" s="90">
        <f t="shared" si="10"/>
        <v>9.7562783111261805E-2</v>
      </c>
      <c r="G178" s="90"/>
      <c r="N178" s="89">
        <v>44817</v>
      </c>
      <c r="O178" s="88">
        <v>91.52</v>
      </c>
      <c r="R178" s="87">
        <f t="shared" si="9"/>
        <v>44816</v>
      </c>
      <c r="S178" s="86">
        <f t="shared" si="11"/>
        <v>91.59</v>
      </c>
      <c r="T178" s="86"/>
    </row>
    <row r="179" spans="1:20" x14ac:dyDescent="0.25">
      <c r="A179" s="89">
        <v>44818</v>
      </c>
      <c r="B179" s="91">
        <v>9.7795810601573996E-2</v>
      </c>
      <c r="E179" s="87">
        <f t="shared" si="8"/>
        <v>44817</v>
      </c>
      <c r="F179" s="90">
        <f t="shared" si="10"/>
        <v>9.7784020279482908E-2</v>
      </c>
      <c r="G179" s="90"/>
      <c r="N179" s="89">
        <v>44818</v>
      </c>
      <c r="O179" s="88">
        <v>91.52</v>
      </c>
      <c r="R179" s="87">
        <f t="shared" si="9"/>
        <v>44817</v>
      </c>
      <c r="S179" s="86">
        <f t="shared" si="11"/>
        <v>91.52</v>
      </c>
      <c r="T179" s="86"/>
    </row>
    <row r="180" spans="1:20" x14ac:dyDescent="0.25">
      <c r="A180" s="89">
        <v>44819</v>
      </c>
      <c r="B180" s="91">
        <v>9.7807631956922894E-2</v>
      </c>
      <c r="E180" s="87">
        <f t="shared" si="8"/>
        <v>44818</v>
      </c>
      <c r="F180" s="90">
        <f t="shared" si="10"/>
        <v>9.7795810601573996E-2</v>
      </c>
      <c r="G180" s="90"/>
      <c r="N180" s="89">
        <v>44819</v>
      </c>
      <c r="O180" s="88">
        <v>91.52</v>
      </c>
      <c r="R180" s="87">
        <f t="shared" si="9"/>
        <v>44818</v>
      </c>
      <c r="S180" s="86">
        <f t="shared" si="11"/>
        <v>91.52</v>
      </c>
      <c r="T180" s="86"/>
    </row>
    <row r="181" spans="1:20" x14ac:dyDescent="0.25">
      <c r="A181" s="89">
        <v>44820</v>
      </c>
      <c r="B181" s="91">
        <v>0.10005064342518001</v>
      </c>
      <c r="E181" s="87">
        <f t="shared" si="8"/>
        <v>44819</v>
      </c>
      <c r="F181" s="90">
        <f t="shared" si="10"/>
        <v>9.7807631956922894E-2</v>
      </c>
      <c r="G181" s="90"/>
      <c r="N181" s="89">
        <v>44820</v>
      </c>
      <c r="O181" s="88">
        <v>90.78</v>
      </c>
      <c r="R181" s="87">
        <f t="shared" si="9"/>
        <v>44819</v>
      </c>
      <c r="S181" s="86">
        <f t="shared" si="11"/>
        <v>91.52</v>
      </c>
      <c r="T181" s="86"/>
    </row>
    <row r="182" spans="1:20" x14ac:dyDescent="0.25">
      <c r="A182" s="89">
        <v>44823</v>
      </c>
      <c r="B182" s="91">
        <v>0.100089874110253</v>
      </c>
      <c r="E182" s="87">
        <f t="shared" si="8"/>
        <v>44820</v>
      </c>
      <c r="F182" s="90">
        <f t="shared" si="10"/>
        <v>0.10005064342518001</v>
      </c>
      <c r="G182" s="90"/>
      <c r="N182" s="89">
        <v>44823</v>
      </c>
      <c r="O182" s="88">
        <v>90.78</v>
      </c>
      <c r="R182" s="87">
        <f t="shared" si="9"/>
        <v>44820</v>
      </c>
      <c r="S182" s="86">
        <f t="shared" si="11"/>
        <v>90.78</v>
      </c>
      <c r="T182" s="86"/>
    </row>
    <row r="183" spans="1:20" x14ac:dyDescent="0.25">
      <c r="A183" s="89">
        <v>44824</v>
      </c>
      <c r="B183" s="91">
        <v>9.9557124921294995E-2</v>
      </c>
      <c r="E183" s="87">
        <f t="shared" si="8"/>
        <v>44823</v>
      </c>
      <c r="F183" s="90">
        <f t="shared" si="10"/>
        <v>0.100089874110253</v>
      </c>
      <c r="G183" s="90"/>
      <c r="N183" s="89">
        <v>44824</v>
      </c>
      <c r="O183" s="88">
        <v>90.96</v>
      </c>
      <c r="R183" s="87">
        <f t="shared" si="9"/>
        <v>44823</v>
      </c>
      <c r="S183" s="86">
        <f t="shared" si="11"/>
        <v>90.78</v>
      </c>
      <c r="T183" s="86"/>
    </row>
    <row r="184" spans="1:20" x14ac:dyDescent="0.25">
      <c r="A184" s="89">
        <v>44825</v>
      </c>
      <c r="B184" s="91">
        <v>9.9570016694079791E-2</v>
      </c>
      <c r="E184" s="87">
        <f t="shared" si="8"/>
        <v>44824</v>
      </c>
      <c r="F184" s="90">
        <f t="shared" si="10"/>
        <v>9.9557124921294995E-2</v>
      </c>
      <c r="G184" s="90"/>
      <c r="N184" s="89">
        <v>44825</v>
      </c>
      <c r="O184" s="88">
        <v>90.96</v>
      </c>
      <c r="R184" s="87">
        <f t="shared" si="9"/>
        <v>44824</v>
      </c>
      <c r="S184" s="86">
        <f t="shared" si="11"/>
        <v>90.96</v>
      </c>
      <c r="T184" s="86"/>
    </row>
    <row r="185" spans="1:20" x14ac:dyDescent="0.25">
      <c r="A185" s="89">
        <v>44826</v>
      </c>
      <c r="B185" s="91">
        <v>9.9916733970248708E-2</v>
      </c>
      <c r="E185" s="87">
        <f t="shared" si="8"/>
        <v>44825</v>
      </c>
      <c r="F185" s="90">
        <f t="shared" si="10"/>
        <v>9.9570016694079791E-2</v>
      </c>
      <c r="G185" s="90"/>
      <c r="N185" s="89">
        <v>44826</v>
      </c>
      <c r="O185" s="88">
        <v>90.85</v>
      </c>
      <c r="R185" s="87">
        <f t="shared" si="9"/>
        <v>44825</v>
      </c>
      <c r="S185" s="86">
        <f t="shared" si="11"/>
        <v>90.96</v>
      </c>
      <c r="T185" s="86"/>
    </row>
    <row r="186" spans="1:20" x14ac:dyDescent="0.25">
      <c r="A186" s="89">
        <v>44827</v>
      </c>
      <c r="B186" s="91">
        <v>9.9929866571745407E-2</v>
      </c>
      <c r="E186" s="87">
        <f t="shared" si="8"/>
        <v>44826</v>
      </c>
      <c r="F186" s="90">
        <f t="shared" si="10"/>
        <v>9.9916733970248708E-2</v>
      </c>
      <c r="G186" s="90"/>
      <c r="N186" s="89">
        <v>44827</v>
      </c>
      <c r="O186" s="88">
        <v>90.85</v>
      </c>
      <c r="R186" s="87">
        <f t="shared" si="9"/>
        <v>44826</v>
      </c>
      <c r="S186" s="86">
        <f t="shared" si="11"/>
        <v>90.85</v>
      </c>
      <c r="T186" s="86"/>
    </row>
    <row r="187" spans="1:20" x14ac:dyDescent="0.25">
      <c r="A187" s="89">
        <v>44830</v>
      </c>
      <c r="B187" s="91">
        <v>9.9969465228808604E-2</v>
      </c>
      <c r="E187" s="87">
        <f t="shared" si="8"/>
        <v>44827</v>
      </c>
      <c r="F187" s="90">
        <f t="shared" si="10"/>
        <v>9.9929866571745407E-2</v>
      </c>
      <c r="G187" s="90"/>
      <c r="N187" s="89">
        <v>44830</v>
      </c>
      <c r="O187" s="88">
        <v>90.85</v>
      </c>
      <c r="R187" s="87">
        <f t="shared" si="9"/>
        <v>44827</v>
      </c>
      <c r="S187" s="86">
        <f t="shared" si="11"/>
        <v>90.85</v>
      </c>
      <c r="T187" s="86"/>
    </row>
    <row r="188" spans="1:20" x14ac:dyDescent="0.25">
      <c r="A188" s="89">
        <v>44831</v>
      </c>
      <c r="B188" s="91">
        <v>0.101663547330741</v>
      </c>
      <c r="E188" s="87">
        <f t="shared" si="8"/>
        <v>44830</v>
      </c>
      <c r="F188" s="90">
        <f t="shared" si="10"/>
        <v>9.9969465228808604E-2</v>
      </c>
      <c r="G188" s="90"/>
      <c r="N188" s="89">
        <v>44831</v>
      </c>
      <c r="O188" s="88">
        <v>90.3</v>
      </c>
      <c r="R188" s="87">
        <f t="shared" si="9"/>
        <v>44830</v>
      </c>
      <c r="S188" s="86">
        <f t="shared" si="11"/>
        <v>90.85</v>
      </c>
      <c r="T188" s="86"/>
    </row>
    <row r="189" spans="1:20" x14ac:dyDescent="0.25">
      <c r="A189" s="89">
        <v>44832</v>
      </c>
      <c r="B189" s="91">
        <v>0.101677732995757</v>
      </c>
      <c r="E189" s="87">
        <f t="shared" si="8"/>
        <v>44831</v>
      </c>
      <c r="F189" s="90">
        <f t="shared" si="10"/>
        <v>0.101663547330741</v>
      </c>
      <c r="G189" s="90"/>
      <c r="N189" s="89">
        <v>44832</v>
      </c>
      <c r="O189" s="88">
        <v>90.3</v>
      </c>
      <c r="R189" s="87">
        <f t="shared" si="9"/>
        <v>44831</v>
      </c>
      <c r="S189" s="86">
        <f t="shared" si="11"/>
        <v>90.3</v>
      </c>
      <c r="T189" s="86"/>
    </row>
    <row r="190" spans="1:20" x14ac:dyDescent="0.25">
      <c r="A190" s="89">
        <v>44833</v>
      </c>
      <c r="B190" s="91">
        <v>9.95526408963643E-2</v>
      </c>
      <c r="E190" s="87">
        <f t="shared" si="8"/>
        <v>44832</v>
      </c>
      <c r="F190" s="90">
        <f t="shared" si="10"/>
        <v>0.101677732995757</v>
      </c>
      <c r="G190" s="90"/>
      <c r="N190" s="89">
        <v>44833</v>
      </c>
      <c r="O190" s="88">
        <v>91</v>
      </c>
      <c r="R190" s="87">
        <f t="shared" si="9"/>
        <v>44832</v>
      </c>
      <c r="S190" s="86">
        <f t="shared" si="11"/>
        <v>90.3</v>
      </c>
      <c r="T190" s="86"/>
    </row>
    <row r="191" spans="1:20" x14ac:dyDescent="0.25">
      <c r="A191" s="89">
        <v>44834</v>
      </c>
      <c r="B191" s="91">
        <v>0.100327892272273</v>
      </c>
      <c r="E191" s="87">
        <f t="shared" si="8"/>
        <v>44833</v>
      </c>
      <c r="F191" s="90">
        <f t="shared" si="10"/>
        <v>9.95526408963643E-2</v>
      </c>
      <c r="G191" s="90"/>
      <c r="N191" s="89">
        <v>44834</v>
      </c>
      <c r="O191" s="88">
        <v>90.75</v>
      </c>
      <c r="R191" s="87">
        <f t="shared" si="9"/>
        <v>44833</v>
      </c>
      <c r="S191" s="86">
        <f t="shared" si="11"/>
        <v>91</v>
      </c>
      <c r="T191" s="86"/>
    </row>
    <row r="192" spans="1:20" x14ac:dyDescent="0.25">
      <c r="A192" s="89">
        <v>44837</v>
      </c>
      <c r="B192" s="91">
        <v>0.100368684992323</v>
      </c>
      <c r="E192" s="87">
        <f t="shared" si="8"/>
        <v>44834</v>
      </c>
      <c r="F192" s="90">
        <f t="shared" si="10"/>
        <v>0.100327892272273</v>
      </c>
      <c r="G192" s="90"/>
      <c r="N192" s="89">
        <v>44837</v>
      </c>
      <c r="O192" s="88">
        <v>90.75</v>
      </c>
      <c r="R192" s="87">
        <f t="shared" si="9"/>
        <v>44834</v>
      </c>
      <c r="S192" s="86">
        <f t="shared" si="11"/>
        <v>90.75</v>
      </c>
      <c r="T192" s="86"/>
    </row>
    <row r="193" spans="1:20" x14ac:dyDescent="0.25">
      <c r="A193" s="89">
        <v>44838</v>
      </c>
      <c r="B193" s="91">
        <v>9.9618611060850515E-2</v>
      </c>
      <c r="E193" s="87">
        <f t="shared" si="8"/>
        <v>44837</v>
      </c>
      <c r="F193" s="90">
        <f t="shared" si="10"/>
        <v>0.100368684992323</v>
      </c>
      <c r="G193" s="90"/>
      <c r="N193" s="89">
        <v>44838</v>
      </c>
      <c r="O193" s="88">
        <v>91</v>
      </c>
      <c r="R193" s="87">
        <f t="shared" si="9"/>
        <v>44837</v>
      </c>
      <c r="S193" s="86">
        <f t="shared" si="11"/>
        <v>90.75</v>
      </c>
      <c r="T193" s="86"/>
    </row>
    <row r="194" spans="1:20" x14ac:dyDescent="0.25">
      <c r="A194" s="89">
        <v>44839</v>
      </c>
      <c r="B194" s="91">
        <v>0.101162777209823</v>
      </c>
      <c r="E194" s="87">
        <f t="shared" si="8"/>
        <v>44838</v>
      </c>
      <c r="F194" s="90">
        <f t="shared" si="10"/>
        <v>9.9618611060850515E-2</v>
      </c>
      <c r="G194" s="90"/>
      <c r="N194" s="89">
        <v>44839</v>
      </c>
      <c r="O194" s="88">
        <v>90.5</v>
      </c>
      <c r="R194" s="87">
        <f t="shared" si="9"/>
        <v>44838</v>
      </c>
      <c r="S194" s="86">
        <f t="shared" si="11"/>
        <v>91</v>
      </c>
      <c r="T194" s="86"/>
    </row>
    <row r="195" spans="1:20" x14ac:dyDescent="0.25">
      <c r="A195" s="89">
        <v>44840</v>
      </c>
      <c r="B195" s="91">
        <v>0.10117692024918699</v>
      </c>
      <c r="E195" s="87">
        <f t="shared" si="8"/>
        <v>44839</v>
      </c>
      <c r="F195" s="90">
        <f t="shared" si="10"/>
        <v>0.101162777209823</v>
      </c>
      <c r="G195" s="90"/>
      <c r="N195" s="89">
        <v>44840</v>
      </c>
      <c r="O195" s="88">
        <v>90.5</v>
      </c>
      <c r="R195" s="87">
        <f t="shared" si="9"/>
        <v>44839</v>
      </c>
      <c r="S195" s="86">
        <f t="shared" si="11"/>
        <v>90.5</v>
      </c>
      <c r="T195" s="86"/>
    </row>
    <row r="196" spans="1:20" x14ac:dyDescent="0.25">
      <c r="A196" s="89">
        <v>44841</v>
      </c>
      <c r="B196" s="91">
        <v>9.9658597915134012E-2</v>
      </c>
      <c r="E196" s="87">
        <f t="shared" ref="E196:E259" si="12">A195</f>
        <v>44840</v>
      </c>
      <c r="F196" s="90">
        <f t="shared" si="10"/>
        <v>0.10117692024918699</v>
      </c>
      <c r="G196" s="90"/>
      <c r="N196" s="89">
        <v>44841</v>
      </c>
      <c r="O196" s="88">
        <v>91</v>
      </c>
      <c r="R196" s="87">
        <f t="shared" ref="R196:R259" si="13">N195</f>
        <v>44840</v>
      </c>
      <c r="S196" s="86">
        <f t="shared" si="11"/>
        <v>90.5</v>
      </c>
      <c r="T196" s="86"/>
    </row>
    <row r="197" spans="1:20" x14ac:dyDescent="0.25">
      <c r="A197" s="89">
        <v>44844</v>
      </c>
      <c r="B197" s="91">
        <v>0.102779211577628</v>
      </c>
      <c r="E197" s="87">
        <f t="shared" si="12"/>
        <v>44841</v>
      </c>
      <c r="F197" s="90">
        <f t="shared" ref="F197:F260" si="14">B196</f>
        <v>9.9658597915134012E-2</v>
      </c>
      <c r="G197" s="90"/>
      <c r="N197" s="89">
        <v>44844</v>
      </c>
      <c r="O197" s="88">
        <v>90</v>
      </c>
      <c r="R197" s="87">
        <f t="shared" si="13"/>
        <v>44841</v>
      </c>
      <c r="S197" s="86">
        <f t="shared" ref="S197:S260" si="15">O196</f>
        <v>91</v>
      </c>
      <c r="T197" s="86"/>
    </row>
    <row r="198" spans="1:20" x14ac:dyDescent="0.25">
      <c r="A198" s="89">
        <v>44845</v>
      </c>
      <c r="B198" s="91">
        <v>0.10591851999815299</v>
      </c>
      <c r="E198" s="87">
        <f t="shared" si="12"/>
        <v>44844</v>
      </c>
      <c r="F198" s="90">
        <f t="shared" si="14"/>
        <v>0.102779211577628</v>
      </c>
      <c r="G198" s="90"/>
      <c r="N198" s="89">
        <v>44845</v>
      </c>
      <c r="O198" s="88">
        <v>89</v>
      </c>
      <c r="R198" s="87">
        <f t="shared" si="13"/>
        <v>44844</v>
      </c>
      <c r="S198" s="86">
        <f t="shared" si="15"/>
        <v>90</v>
      </c>
      <c r="T198" s="86"/>
    </row>
    <row r="199" spans="1:20" x14ac:dyDescent="0.25">
      <c r="A199" s="89">
        <v>44846</v>
      </c>
      <c r="B199" s="91">
        <v>0.10593537695337901</v>
      </c>
      <c r="E199" s="87">
        <f t="shared" si="12"/>
        <v>44845</v>
      </c>
      <c r="F199" s="90">
        <f t="shared" si="14"/>
        <v>0.10591851999815299</v>
      </c>
      <c r="G199" s="90"/>
      <c r="N199" s="89">
        <v>44846</v>
      </c>
      <c r="O199" s="88">
        <v>89</v>
      </c>
      <c r="R199" s="87">
        <f t="shared" si="13"/>
        <v>44845</v>
      </c>
      <c r="S199" s="86">
        <f t="shared" si="15"/>
        <v>89</v>
      </c>
      <c r="T199" s="86"/>
    </row>
    <row r="200" spans="1:20" x14ac:dyDescent="0.25">
      <c r="A200" s="89">
        <v>44847</v>
      </c>
      <c r="B200" s="91">
        <v>0.104774439778996</v>
      </c>
      <c r="E200" s="87">
        <f t="shared" si="12"/>
        <v>44846</v>
      </c>
      <c r="F200" s="90">
        <f t="shared" si="14"/>
        <v>0.10593537695337901</v>
      </c>
      <c r="G200" s="90"/>
      <c r="N200" s="89">
        <v>44847</v>
      </c>
      <c r="O200" s="88">
        <v>89.375</v>
      </c>
      <c r="R200" s="87">
        <f t="shared" si="13"/>
        <v>44846</v>
      </c>
      <c r="S200" s="86">
        <f t="shared" si="15"/>
        <v>89</v>
      </c>
      <c r="T200" s="86"/>
    </row>
    <row r="201" spans="1:20" x14ac:dyDescent="0.25">
      <c r="A201" s="89">
        <v>44848</v>
      </c>
      <c r="B201" s="91">
        <v>0.10754999288072301</v>
      </c>
      <c r="E201" s="87">
        <f t="shared" si="12"/>
        <v>44847</v>
      </c>
      <c r="F201" s="90">
        <f t="shared" si="14"/>
        <v>0.104774439778996</v>
      </c>
      <c r="G201" s="90"/>
      <c r="N201" s="89">
        <v>44848</v>
      </c>
      <c r="O201" s="88">
        <v>88.5</v>
      </c>
      <c r="R201" s="87">
        <f t="shared" si="13"/>
        <v>44847</v>
      </c>
      <c r="S201" s="86">
        <f t="shared" si="15"/>
        <v>89.375</v>
      </c>
      <c r="T201" s="86"/>
    </row>
    <row r="202" spans="1:20" x14ac:dyDescent="0.25">
      <c r="A202" s="89">
        <v>44851</v>
      </c>
      <c r="B202" s="91">
        <v>0.10444778657765999</v>
      </c>
      <c r="E202" s="87">
        <f t="shared" si="12"/>
        <v>44848</v>
      </c>
      <c r="F202" s="90">
        <f t="shared" si="14"/>
        <v>0.10754999288072301</v>
      </c>
      <c r="G202" s="90"/>
      <c r="N202" s="89">
        <v>44851</v>
      </c>
      <c r="O202" s="88">
        <v>89.5</v>
      </c>
      <c r="R202" s="87">
        <f t="shared" si="13"/>
        <v>44848</v>
      </c>
      <c r="S202" s="86">
        <f t="shared" si="15"/>
        <v>88.5</v>
      </c>
      <c r="T202" s="86"/>
    </row>
    <row r="203" spans="1:20" x14ac:dyDescent="0.25">
      <c r="A203" s="89">
        <v>44852</v>
      </c>
      <c r="B203" s="91">
        <v>0.10368140337072999</v>
      </c>
      <c r="E203" s="87">
        <f t="shared" si="12"/>
        <v>44851</v>
      </c>
      <c r="F203" s="90">
        <f t="shared" si="14"/>
        <v>0.10444778657765999</v>
      </c>
      <c r="G203" s="90"/>
      <c r="N203" s="89">
        <v>44852</v>
      </c>
      <c r="O203" s="88">
        <v>89.75</v>
      </c>
      <c r="R203" s="87">
        <f t="shared" si="13"/>
        <v>44851</v>
      </c>
      <c r="S203" s="86">
        <f t="shared" si="15"/>
        <v>89.5</v>
      </c>
      <c r="T203" s="86"/>
    </row>
    <row r="204" spans="1:20" x14ac:dyDescent="0.25">
      <c r="A204" s="89">
        <v>44853</v>
      </c>
      <c r="B204" s="91">
        <v>0.10923559762938301</v>
      </c>
      <c r="E204" s="87">
        <f t="shared" si="12"/>
        <v>44852</v>
      </c>
      <c r="F204" s="90">
        <f t="shared" si="14"/>
        <v>0.10368140337072999</v>
      </c>
      <c r="G204" s="90"/>
      <c r="N204" s="89">
        <v>44853</v>
      </c>
      <c r="O204" s="88">
        <v>88</v>
      </c>
      <c r="R204" s="87">
        <f t="shared" si="13"/>
        <v>44852</v>
      </c>
      <c r="S204" s="86">
        <f t="shared" si="15"/>
        <v>89.75</v>
      </c>
      <c r="T204" s="86"/>
    </row>
    <row r="205" spans="1:20" x14ac:dyDescent="0.25">
      <c r="A205" s="89">
        <v>44854</v>
      </c>
      <c r="B205" s="91">
        <v>0.107657585159357</v>
      </c>
      <c r="E205" s="87">
        <f t="shared" si="12"/>
        <v>44853</v>
      </c>
      <c r="F205" s="90">
        <f t="shared" si="14"/>
        <v>0.10923559762938301</v>
      </c>
      <c r="G205" s="90"/>
      <c r="N205" s="89">
        <v>44854</v>
      </c>
      <c r="O205" s="88">
        <v>88.5</v>
      </c>
      <c r="R205" s="87">
        <f t="shared" si="13"/>
        <v>44853</v>
      </c>
      <c r="S205" s="86">
        <f t="shared" si="15"/>
        <v>88</v>
      </c>
      <c r="T205" s="86"/>
    </row>
    <row r="206" spans="1:20" x14ac:dyDescent="0.25">
      <c r="A206" s="89">
        <v>44855</v>
      </c>
      <c r="B206" s="91">
        <v>0.110882380828938</v>
      </c>
      <c r="E206" s="87">
        <f t="shared" si="12"/>
        <v>44854</v>
      </c>
      <c r="F206" s="90">
        <f t="shared" si="14"/>
        <v>0.107657585159357</v>
      </c>
      <c r="G206" s="90"/>
      <c r="N206" s="89">
        <v>44855</v>
      </c>
      <c r="O206" s="88">
        <v>87.5</v>
      </c>
      <c r="R206" s="87">
        <f t="shared" si="13"/>
        <v>44854</v>
      </c>
      <c r="S206" s="86">
        <f t="shared" si="15"/>
        <v>88.5</v>
      </c>
      <c r="T206" s="86"/>
    </row>
    <row r="207" spans="1:20" x14ac:dyDescent="0.25">
      <c r="A207" s="89">
        <v>44858</v>
      </c>
      <c r="B207" s="91">
        <v>0.111346750415918</v>
      </c>
      <c r="E207" s="87">
        <f t="shared" si="12"/>
        <v>44855</v>
      </c>
      <c r="F207" s="90">
        <f t="shared" si="14"/>
        <v>0.110882380828938</v>
      </c>
      <c r="G207" s="90"/>
      <c r="N207" s="89">
        <v>44858</v>
      </c>
      <c r="O207" s="88">
        <v>87.375</v>
      </c>
      <c r="R207" s="87">
        <f t="shared" si="13"/>
        <v>44855</v>
      </c>
      <c r="S207" s="86">
        <f t="shared" si="15"/>
        <v>87.5</v>
      </c>
      <c r="T207" s="86"/>
    </row>
    <row r="208" spans="1:20" x14ac:dyDescent="0.25">
      <c r="A208" s="89">
        <v>44859</v>
      </c>
      <c r="B208" s="91">
        <v>0.111366967265878</v>
      </c>
      <c r="E208" s="87">
        <f t="shared" si="12"/>
        <v>44858</v>
      </c>
      <c r="F208" s="90">
        <f t="shared" si="14"/>
        <v>0.111346750415918</v>
      </c>
      <c r="G208" s="90"/>
      <c r="N208" s="89">
        <v>44859</v>
      </c>
      <c r="O208" s="88">
        <v>87.375</v>
      </c>
      <c r="R208" s="87">
        <f t="shared" si="13"/>
        <v>44858</v>
      </c>
      <c r="S208" s="86">
        <f t="shared" si="15"/>
        <v>87.375</v>
      </c>
      <c r="T208" s="86"/>
    </row>
    <row r="209" spans="1:20" x14ac:dyDescent="0.25">
      <c r="A209" s="89">
        <v>44860</v>
      </c>
      <c r="B209" s="91">
        <v>0.11017407162399601</v>
      </c>
      <c r="E209" s="87">
        <f t="shared" si="12"/>
        <v>44859</v>
      </c>
      <c r="F209" s="90">
        <f t="shared" si="14"/>
        <v>0.111366967265878</v>
      </c>
      <c r="G209" s="90"/>
      <c r="N209" s="89">
        <v>44860</v>
      </c>
      <c r="O209" s="88">
        <v>87.75</v>
      </c>
      <c r="R209" s="87">
        <f t="shared" si="13"/>
        <v>44859</v>
      </c>
      <c r="S209" s="86">
        <f t="shared" si="15"/>
        <v>87.375</v>
      </c>
      <c r="T209" s="86"/>
    </row>
    <row r="210" spans="1:20" x14ac:dyDescent="0.25">
      <c r="A210" s="89">
        <v>44861</v>
      </c>
      <c r="B210" s="91">
        <v>0.110597619124121</v>
      </c>
      <c r="E210" s="87">
        <f t="shared" si="12"/>
        <v>44860</v>
      </c>
      <c r="F210" s="90">
        <f t="shared" si="14"/>
        <v>0.11017407162399601</v>
      </c>
      <c r="G210" s="90"/>
      <c r="N210" s="89">
        <v>44861</v>
      </c>
      <c r="O210" s="88">
        <v>87.625</v>
      </c>
      <c r="R210" s="87">
        <f t="shared" si="13"/>
        <v>44860</v>
      </c>
      <c r="S210" s="86">
        <f t="shared" si="15"/>
        <v>87.75</v>
      </c>
      <c r="T210" s="86"/>
    </row>
    <row r="211" spans="1:20" x14ac:dyDescent="0.25">
      <c r="A211" s="89">
        <v>44862</v>
      </c>
      <c r="B211" s="91">
        <v>0.117597680362757</v>
      </c>
      <c r="E211" s="87">
        <f t="shared" si="12"/>
        <v>44861</v>
      </c>
      <c r="F211" s="90">
        <f t="shared" si="14"/>
        <v>0.110597619124121</v>
      </c>
      <c r="G211" s="90"/>
      <c r="N211" s="89">
        <v>44862</v>
      </c>
      <c r="O211" s="88">
        <v>85.5</v>
      </c>
      <c r="R211" s="87">
        <f t="shared" si="13"/>
        <v>44861</v>
      </c>
      <c r="S211" s="86">
        <f t="shared" si="15"/>
        <v>87.625</v>
      </c>
      <c r="T211" s="86"/>
    </row>
    <row r="212" spans="1:20" x14ac:dyDescent="0.25">
      <c r="A212" s="89">
        <v>44865</v>
      </c>
      <c r="B212" s="91">
        <v>0.11757690076391601</v>
      </c>
      <c r="E212" s="87">
        <f t="shared" si="12"/>
        <v>44862</v>
      </c>
      <c r="F212" s="90">
        <f t="shared" si="14"/>
        <v>0.117597680362757</v>
      </c>
      <c r="G212" s="90"/>
      <c r="N212" s="89">
        <v>44865</v>
      </c>
      <c r="O212" s="88">
        <v>85.5</v>
      </c>
      <c r="R212" s="87">
        <f t="shared" si="13"/>
        <v>44862</v>
      </c>
      <c r="S212" s="86">
        <f t="shared" si="15"/>
        <v>85.5</v>
      </c>
      <c r="T212" s="86"/>
    </row>
    <row r="213" spans="1:20" x14ac:dyDescent="0.25">
      <c r="A213" s="89">
        <v>44866</v>
      </c>
      <c r="B213" s="91">
        <v>0.11514438615785201</v>
      </c>
      <c r="E213" s="87">
        <f t="shared" si="12"/>
        <v>44865</v>
      </c>
      <c r="F213" s="90">
        <f t="shared" si="14"/>
        <v>0.11757690076391601</v>
      </c>
      <c r="G213" s="90"/>
      <c r="N213" s="89">
        <v>44866</v>
      </c>
      <c r="O213" s="88">
        <v>86.26</v>
      </c>
      <c r="R213" s="87">
        <f t="shared" si="13"/>
        <v>44865</v>
      </c>
      <c r="S213" s="86">
        <f t="shared" si="15"/>
        <v>85.5</v>
      </c>
      <c r="T213" s="86"/>
    </row>
    <row r="214" spans="1:20" x14ac:dyDescent="0.25">
      <c r="A214" s="89">
        <v>44867</v>
      </c>
      <c r="B214" s="91">
        <v>0.113552659871483</v>
      </c>
      <c r="E214" s="87">
        <f t="shared" si="12"/>
        <v>44866</v>
      </c>
      <c r="F214" s="90">
        <f t="shared" si="14"/>
        <v>0.11514438615785201</v>
      </c>
      <c r="G214" s="90"/>
      <c r="N214" s="89">
        <v>44867</v>
      </c>
      <c r="O214" s="88">
        <v>86.75</v>
      </c>
      <c r="R214" s="87">
        <f t="shared" si="13"/>
        <v>44866</v>
      </c>
      <c r="S214" s="86">
        <f t="shared" si="15"/>
        <v>86.26</v>
      </c>
      <c r="T214" s="86"/>
    </row>
    <row r="215" spans="1:20" x14ac:dyDescent="0.25">
      <c r="A215" s="89">
        <v>44868</v>
      </c>
      <c r="B215" s="91">
        <v>0.113574372056365</v>
      </c>
      <c r="E215" s="87">
        <f t="shared" si="12"/>
        <v>44867</v>
      </c>
      <c r="F215" s="90">
        <f t="shared" si="14"/>
        <v>0.113552659871483</v>
      </c>
      <c r="G215" s="90"/>
      <c r="N215" s="89">
        <v>44868</v>
      </c>
      <c r="O215" s="88">
        <v>86.75</v>
      </c>
      <c r="R215" s="87">
        <f t="shared" si="13"/>
        <v>44867</v>
      </c>
      <c r="S215" s="86">
        <f t="shared" si="15"/>
        <v>86.75</v>
      </c>
      <c r="T215" s="86"/>
    </row>
    <row r="216" spans="1:20" x14ac:dyDescent="0.25">
      <c r="A216" s="89">
        <v>44869</v>
      </c>
      <c r="B216" s="91">
        <v>0.11277592533000601</v>
      </c>
      <c r="E216" s="87">
        <f t="shared" si="12"/>
        <v>44868</v>
      </c>
      <c r="F216" s="90">
        <f t="shared" si="14"/>
        <v>0.113574372056365</v>
      </c>
      <c r="G216" s="90"/>
      <c r="N216" s="89">
        <v>44869</v>
      </c>
      <c r="O216" s="88">
        <v>87</v>
      </c>
      <c r="R216" s="87">
        <f t="shared" si="13"/>
        <v>44868</v>
      </c>
      <c r="S216" s="86">
        <f t="shared" si="15"/>
        <v>86.75</v>
      </c>
      <c r="T216" s="86"/>
    </row>
    <row r="217" spans="1:20" x14ac:dyDescent="0.25">
      <c r="A217" s="89">
        <v>44872</v>
      </c>
      <c r="B217" s="91">
        <v>0.111613212236399</v>
      </c>
      <c r="E217" s="87">
        <f t="shared" si="12"/>
        <v>44869</v>
      </c>
      <c r="F217" s="90">
        <f t="shared" si="14"/>
        <v>0.11277592533000601</v>
      </c>
      <c r="G217" s="90"/>
      <c r="N217" s="89">
        <v>44872</v>
      </c>
      <c r="O217" s="88">
        <v>87.375</v>
      </c>
      <c r="R217" s="87">
        <f t="shared" si="13"/>
        <v>44869</v>
      </c>
      <c r="S217" s="86">
        <f t="shared" si="15"/>
        <v>87</v>
      </c>
      <c r="T217" s="86"/>
    </row>
    <row r="218" spans="1:20" x14ac:dyDescent="0.25">
      <c r="A218" s="89">
        <v>44873</v>
      </c>
      <c r="B218" s="91">
        <v>0.113272300509179</v>
      </c>
      <c r="E218" s="87">
        <f t="shared" si="12"/>
        <v>44872</v>
      </c>
      <c r="F218" s="90">
        <f t="shared" si="14"/>
        <v>0.111613212236399</v>
      </c>
      <c r="G218" s="90"/>
      <c r="N218" s="89">
        <v>44873</v>
      </c>
      <c r="O218" s="88">
        <v>86.875</v>
      </c>
      <c r="R218" s="87">
        <f t="shared" si="13"/>
        <v>44872</v>
      </c>
      <c r="S218" s="86">
        <f t="shared" si="15"/>
        <v>87.375</v>
      </c>
      <c r="T218" s="86"/>
    </row>
    <row r="219" spans="1:20" x14ac:dyDescent="0.25">
      <c r="A219" s="89">
        <v>44874</v>
      </c>
      <c r="B219" s="91">
        <v>0.112883207473641</v>
      </c>
      <c r="E219" s="87">
        <f t="shared" si="12"/>
        <v>44873</v>
      </c>
      <c r="F219" s="90">
        <f t="shared" si="14"/>
        <v>0.113272300509179</v>
      </c>
      <c r="G219" s="90"/>
      <c r="N219" s="89">
        <v>44874</v>
      </c>
      <c r="O219" s="88">
        <v>87</v>
      </c>
      <c r="R219" s="87">
        <f t="shared" si="13"/>
        <v>44873</v>
      </c>
      <c r="S219" s="86">
        <f t="shared" si="15"/>
        <v>86.875</v>
      </c>
      <c r="T219" s="86"/>
    </row>
    <row r="220" spans="1:20" x14ac:dyDescent="0.25">
      <c r="A220" s="89">
        <v>44875</v>
      </c>
      <c r="B220" s="91">
        <v>0.113727740074545</v>
      </c>
      <c r="E220" s="87">
        <f t="shared" si="12"/>
        <v>44874</v>
      </c>
      <c r="F220" s="90">
        <f t="shared" si="14"/>
        <v>0.112883207473641</v>
      </c>
      <c r="G220" s="90"/>
      <c r="N220" s="89">
        <v>44875</v>
      </c>
      <c r="O220" s="88">
        <v>86.75</v>
      </c>
      <c r="R220" s="87">
        <f t="shared" si="13"/>
        <v>44874</v>
      </c>
      <c r="S220" s="86">
        <f t="shared" si="15"/>
        <v>87</v>
      </c>
      <c r="T220" s="86"/>
    </row>
    <row r="221" spans="1:20" x14ac:dyDescent="0.25">
      <c r="A221" s="89">
        <v>44876</v>
      </c>
      <c r="B221" s="91">
        <v>0.112926462536984</v>
      </c>
      <c r="E221" s="87">
        <f t="shared" si="12"/>
        <v>44875</v>
      </c>
      <c r="F221" s="90">
        <f t="shared" si="14"/>
        <v>0.113727740074545</v>
      </c>
      <c r="G221" s="90"/>
      <c r="N221" s="89">
        <v>44876</v>
      </c>
      <c r="O221" s="88">
        <v>87</v>
      </c>
      <c r="R221" s="87">
        <f t="shared" si="13"/>
        <v>44875</v>
      </c>
      <c r="S221" s="86">
        <f t="shared" si="15"/>
        <v>86.75</v>
      </c>
      <c r="T221" s="86"/>
    </row>
    <row r="222" spans="1:20" x14ac:dyDescent="0.25">
      <c r="A222" s="89">
        <v>44879</v>
      </c>
      <c r="B222" s="91">
        <v>0.112991714475856</v>
      </c>
      <c r="E222" s="87">
        <f t="shared" si="12"/>
        <v>44876</v>
      </c>
      <c r="F222" s="90">
        <f t="shared" si="14"/>
        <v>0.112926462536984</v>
      </c>
      <c r="G222" s="90"/>
      <c r="N222" s="89">
        <v>44879</v>
      </c>
      <c r="O222" s="88">
        <v>87</v>
      </c>
      <c r="R222" s="87">
        <f t="shared" si="13"/>
        <v>44876</v>
      </c>
      <c r="S222" s="86">
        <f t="shared" si="15"/>
        <v>87</v>
      </c>
      <c r="T222" s="86"/>
    </row>
    <row r="223" spans="1:20" x14ac:dyDescent="0.25">
      <c r="A223" s="89">
        <v>44880</v>
      </c>
      <c r="B223" s="91">
        <v>0.11383878432428199</v>
      </c>
      <c r="E223" s="87">
        <f t="shared" si="12"/>
        <v>44879</v>
      </c>
      <c r="F223" s="90">
        <f t="shared" si="14"/>
        <v>0.112991714475856</v>
      </c>
      <c r="G223" s="90"/>
      <c r="N223" s="89">
        <v>44880</v>
      </c>
      <c r="O223" s="88">
        <v>86.75</v>
      </c>
      <c r="R223" s="87">
        <f t="shared" si="13"/>
        <v>44879</v>
      </c>
      <c r="S223" s="86">
        <f t="shared" si="15"/>
        <v>87</v>
      </c>
      <c r="T223" s="86"/>
    </row>
    <row r="224" spans="1:20" x14ac:dyDescent="0.25">
      <c r="A224" s="89">
        <v>44881</v>
      </c>
      <c r="B224" s="91">
        <v>0.11303546326733099</v>
      </c>
      <c r="E224" s="87">
        <f t="shared" si="12"/>
        <v>44880</v>
      </c>
      <c r="F224" s="90">
        <f t="shared" si="14"/>
        <v>0.11383878432428199</v>
      </c>
      <c r="G224" s="90"/>
      <c r="N224" s="89">
        <v>44881</v>
      </c>
      <c r="O224" s="88">
        <v>87</v>
      </c>
      <c r="R224" s="87">
        <f t="shared" si="13"/>
        <v>44880</v>
      </c>
      <c r="S224" s="86">
        <f t="shared" si="15"/>
        <v>86.75</v>
      </c>
      <c r="T224" s="86"/>
    </row>
    <row r="225" spans="1:20" x14ac:dyDescent="0.25">
      <c r="A225" s="89">
        <v>44882</v>
      </c>
      <c r="B225" s="91">
        <v>0.113883554617785</v>
      </c>
      <c r="E225" s="87">
        <f t="shared" si="12"/>
        <v>44881</v>
      </c>
      <c r="F225" s="90">
        <f t="shared" si="14"/>
        <v>0.11303546326733099</v>
      </c>
      <c r="G225" s="90"/>
      <c r="N225" s="89">
        <v>44882</v>
      </c>
      <c r="O225" s="88">
        <v>86.75</v>
      </c>
      <c r="R225" s="87">
        <f t="shared" si="13"/>
        <v>44881</v>
      </c>
      <c r="S225" s="86">
        <f t="shared" si="15"/>
        <v>87</v>
      </c>
      <c r="T225" s="86"/>
    </row>
    <row r="226" spans="1:20" x14ac:dyDescent="0.25">
      <c r="A226" s="89">
        <v>44883</v>
      </c>
      <c r="B226" s="91">
        <v>0.11515141551621801</v>
      </c>
      <c r="E226" s="87">
        <f t="shared" si="12"/>
        <v>44882</v>
      </c>
      <c r="F226" s="90">
        <f t="shared" si="14"/>
        <v>0.113883554617785</v>
      </c>
      <c r="G226" s="90"/>
      <c r="N226" s="89">
        <v>44883</v>
      </c>
      <c r="O226" s="88">
        <v>86.375</v>
      </c>
      <c r="R226" s="87">
        <f t="shared" si="13"/>
        <v>44882</v>
      </c>
      <c r="S226" s="86">
        <f t="shared" si="15"/>
        <v>86.75</v>
      </c>
      <c r="T226" s="86"/>
    </row>
    <row r="227" spans="1:20" x14ac:dyDescent="0.25">
      <c r="A227" s="89">
        <v>44886</v>
      </c>
      <c r="B227" s="91">
        <v>0.11984120731981801</v>
      </c>
      <c r="E227" s="87">
        <f t="shared" si="12"/>
        <v>44883</v>
      </c>
      <c r="F227" s="90">
        <f t="shared" si="14"/>
        <v>0.11515141551621801</v>
      </c>
      <c r="G227" s="90"/>
      <c r="N227" s="89">
        <v>44886</v>
      </c>
      <c r="O227" s="88">
        <v>85</v>
      </c>
      <c r="R227" s="87">
        <f t="shared" si="13"/>
        <v>44883</v>
      </c>
      <c r="S227" s="86">
        <f t="shared" si="15"/>
        <v>86.375</v>
      </c>
      <c r="T227" s="86"/>
    </row>
    <row r="228" spans="1:20" x14ac:dyDescent="0.25">
      <c r="A228" s="89">
        <v>44887</v>
      </c>
      <c r="B228" s="91">
        <v>0.119867167296687</v>
      </c>
      <c r="E228" s="87">
        <f t="shared" si="12"/>
        <v>44886</v>
      </c>
      <c r="F228" s="90">
        <f t="shared" si="14"/>
        <v>0.11984120731981801</v>
      </c>
      <c r="G228" s="90"/>
      <c r="N228" s="89">
        <v>44887</v>
      </c>
      <c r="O228" s="88">
        <v>85</v>
      </c>
      <c r="R228" s="87">
        <f t="shared" si="13"/>
        <v>44886</v>
      </c>
      <c r="S228" s="86">
        <f t="shared" si="15"/>
        <v>85</v>
      </c>
      <c r="T228" s="86"/>
    </row>
    <row r="229" spans="1:20" x14ac:dyDescent="0.25">
      <c r="A229" s="89">
        <v>44888</v>
      </c>
      <c r="B229" s="91">
        <v>0.116512266507919</v>
      </c>
      <c r="E229" s="87">
        <f t="shared" si="12"/>
        <v>44887</v>
      </c>
      <c r="F229" s="90">
        <f t="shared" si="14"/>
        <v>0.119867167296687</v>
      </c>
      <c r="G229" s="90"/>
      <c r="N229" s="89">
        <v>44888</v>
      </c>
      <c r="O229" s="88">
        <v>86</v>
      </c>
      <c r="R229" s="87">
        <f t="shared" si="13"/>
        <v>44887</v>
      </c>
      <c r="S229" s="86">
        <f t="shared" si="15"/>
        <v>85</v>
      </c>
      <c r="T229" s="86"/>
    </row>
    <row r="230" spans="1:20" x14ac:dyDescent="0.25">
      <c r="A230" s="89">
        <v>44890</v>
      </c>
      <c r="B230" s="91">
        <v>0.11405363953678099</v>
      </c>
      <c r="E230" s="87">
        <f t="shared" si="12"/>
        <v>44888</v>
      </c>
      <c r="F230" s="90">
        <f t="shared" si="14"/>
        <v>0.116512266507919</v>
      </c>
      <c r="G230" s="90"/>
      <c r="N230" s="89">
        <v>44890</v>
      </c>
      <c r="O230" s="88">
        <v>86.75</v>
      </c>
      <c r="R230" s="87">
        <f t="shared" si="13"/>
        <v>44888</v>
      </c>
      <c r="S230" s="86">
        <f t="shared" si="15"/>
        <v>86</v>
      </c>
      <c r="T230" s="86"/>
    </row>
    <row r="231" spans="1:20" x14ac:dyDescent="0.25">
      <c r="A231" s="89">
        <v>44893</v>
      </c>
      <c r="B231" s="91">
        <v>0.114122374060504</v>
      </c>
      <c r="E231" s="87">
        <f t="shared" si="12"/>
        <v>44890</v>
      </c>
      <c r="F231" s="90">
        <f t="shared" si="14"/>
        <v>0.11405363953678099</v>
      </c>
      <c r="G231" s="90"/>
      <c r="N231" s="89">
        <v>44893</v>
      </c>
      <c r="O231" s="88">
        <v>86.75</v>
      </c>
      <c r="R231" s="87">
        <f t="shared" si="13"/>
        <v>44890</v>
      </c>
      <c r="S231" s="86">
        <f t="shared" si="15"/>
        <v>86.75</v>
      </c>
      <c r="T231" s="86"/>
    </row>
    <row r="232" spans="1:20" x14ac:dyDescent="0.25">
      <c r="A232" s="89">
        <v>44894</v>
      </c>
      <c r="B232" s="91">
        <v>0.11414538929564599</v>
      </c>
      <c r="E232" s="87">
        <f t="shared" si="12"/>
        <v>44893</v>
      </c>
      <c r="F232" s="90">
        <f t="shared" si="14"/>
        <v>0.114122374060504</v>
      </c>
      <c r="G232" s="90"/>
      <c r="N232" s="89">
        <v>44894</v>
      </c>
      <c r="O232" s="88">
        <v>86.75</v>
      </c>
      <c r="R232" s="87">
        <f t="shared" si="13"/>
        <v>44893</v>
      </c>
      <c r="S232" s="86">
        <f t="shared" si="15"/>
        <v>86.75</v>
      </c>
      <c r="T232" s="86"/>
    </row>
    <row r="233" spans="1:20" x14ac:dyDescent="0.25">
      <c r="A233" s="89">
        <v>44895</v>
      </c>
      <c r="B233" s="91">
        <v>0.113336331077981</v>
      </c>
      <c r="E233" s="87">
        <f t="shared" si="12"/>
        <v>44894</v>
      </c>
      <c r="F233" s="90">
        <f t="shared" si="14"/>
        <v>0.11414538929564599</v>
      </c>
      <c r="G233" s="90"/>
      <c r="N233" s="89">
        <v>44895</v>
      </c>
      <c r="O233" s="88">
        <v>87</v>
      </c>
      <c r="R233" s="87">
        <f t="shared" si="13"/>
        <v>44894</v>
      </c>
      <c r="S233" s="86">
        <f t="shared" si="15"/>
        <v>86.75</v>
      </c>
      <c r="T233" s="86"/>
    </row>
    <row r="234" spans="1:20" x14ac:dyDescent="0.25">
      <c r="A234" s="89">
        <v>44896</v>
      </c>
      <c r="B234" s="91">
        <v>0.11335897726356099</v>
      </c>
      <c r="E234" s="87">
        <f t="shared" si="12"/>
        <v>44895</v>
      </c>
      <c r="F234" s="90">
        <f t="shared" si="14"/>
        <v>0.113336331077981</v>
      </c>
      <c r="G234" s="90"/>
      <c r="N234" s="89">
        <v>44896</v>
      </c>
      <c r="O234" s="88">
        <v>87</v>
      </c>
      <c r="R234" s="87">
        <f t="shared" si="13"/>
        <v>44895</v>
      </c>
      <c r="S234" s="86">
        <f t="shared" si="15"/>
        <v>87</v>
      </c>
      <c r="T234" s="86"/>
    </row>
    <row r="235" spans="1:20" x14ac:dyDescent="0.25">
      <c r="A235" s="89">
        <v>44897</v>
      </c>
      <c r="B235" s="91">
        <v>0.11379784391648301</v>
      </c>
      <c r="E235" s="87">
        <f t="shared" si="12"/>
        <v>44896</v>
      </c>
      <c r="F235" s="90">
        <f t="shared" si="14"/>
        <v>0.11335897726356099</v>
      </c>
      <c r="G235" s="90"/>
      <c r="N235" s="89">
        <v>44897</v>
      </c>
      <c r="O235" s="88">
        <v>86.875</v>
      </c>
      <c r="R235" s="87">
        <f t="shared" si="13"/>
        <v>44896</v>
      </c>
      <c r="S235" s="86">
        <f t="shared" si="15"/>
        <v>87</v>
      </c>
      <c r="T235" s="86"/>
    </row>
    <row r="236" spans="1:20" x14ac:dyDescent="0.25">
      <c r="A236" s="89">
        <v>44900</v>
      </c>
      <c r="B236" s="91">
        <v>0.11261851165648799</v>
      </c>
      <c r="E236" s="87">
        <f t="shared" si="12"/>
        <v>44897</v>
      </c>
      <c r="F236" s="90">
        <f t="shared" si="14"/>
        <v>0.11379784391648301</v>
      </c>
      <c r="G236" s="90"/>
      <c r="N236" s="89">
        <v>44900</v>
      </c>
      <c r="O236" s="88">
        <v>87.25</v>
      </c>
      <c r="R236" s="87">
        <f t="shared" si="13"/>
        <v>44897</v>
      </c>
      <c r="S236" s="86">
        <f t="shared" si="15"/>
        <v>86.875</v>
      </c>
      <c r="T236" s="86"/>
    </row>
    <row r="237" spans="1:20" x14ac:dyDescent="0.25">
      <c r="A237" s="89">
        <v>44901</v>
      </c>
      <c r="B237" s="91">
        <v>0.11264094018467001</v>
      </c>
      <c r="E237" s="87">
        <f t="shared" si="12"/>
        <v>44900</v>
      </c>
      <c r="F237" s="90">
        <f t="shared" si="14"/>
        <v>0.11261851165648799</v>
      </c>
      <c r="G237" s="90"/>
      <c r="N237" s="89">
        <v>44901</v>
      </c>
      <c r="O237" s="88">
        <v>87.25</v>
      </c>
      <c r="R237" s="87">
        <f t="shared" si="13"/>
        <v>44900</v>
      </c>
      <c r="S237" s="86">
        <f t="shared" si="15"/>
        <v>87.25</v>
      </c>
      <c r="T237" s="86"/>
    </row>
    <row r="238" spans="1:20" x14ac:dyDescent="0.25">
      <c r="A238" s="89">
        <v>44902</v>
      </c>
      <c r="B238" s="91">
        <v>0.114364874788855</v>
      </c>
      <c r="E238" s="87">
        <f t="shared" si="12"/>
        <v>44901</v>
      </c>
      <c r="F238" s="90">
        <f t="shared" si="14"/>
        <v>0.11264094018467001</v>
      </c>
      <c r="G238" s="90"/>
      <c r="N238" s="89">
        <v>44902</v>
      </c>
      <c r="O238" s="88">
        <v>86.74</v>
      </c>
      <c r="R238" s="87">
        <f t="shared" si="13"/>
        <v>44901</v>
      </c>
      <c r="S238" s="86">
        <f t="shared" si="15"/>
        <v>87.25</v>
      </c>
      <c r="T238" s="86"/>
    </row>
    <row r="239" spans="1:20" x14ac:dyDescent="0.25">
      <c r="A239" s="89">
        <v>44903</v>
      </c>
      <c r="B239" s="91">
        <v>0.114388381998436</v>
      </c>
      <c r="E239" s="87">
        <f t="shared" si="12"/>
        <v>44902</v>
      </c>
      <c r="F239" s="90">
        <f t="shared" si="14"/>
        <v>0.114364874788855</v>
      </c>
      <c r="G239" s="90"/>
      <c r="N239" s="89">
        <v>44903</v>
      </c>
      <c r="O239" s="88">
        <v>86.74</v>
      </c>
      <c r="R239" s="87">
        <f t="shared" si="13"/>
        <v>44902</v>
      </c>
      <c r="S239" s="86">
        <f t="shared" si="15"/>
        <v>86.74</v>
      </c>
      <c r="T239" s="86"/>
    </row>
    <row r="240" spans="1:20" x14ac:dyDescent="0.25">
      <c r="A240" s="89">
        <v>44904</v>
      </c>
      <c r="B240" s="91">
        <v>0.11229289278417501</v>
      </c>
      <c r="E240" s="87">
        <f t="shared" si="12"/>
        <v>44903</v>
      </c>
      <c r="F240" s="90">
        <f t="shared" si="14"/>
        <v>0.114388381998436</v>
      </c>
      <c r="G240" s="90"/>
      <c r="N240" s="89">
        <v>44904</v>
      </c>
      <c r="O240" s="88">
        <v>87.375</v>
      </c>
      <c r="R240" s="87">
        <f t="shared" si="13"/>
        <v>44903</v>
      </c>
      <c r="S240" s="86">
        <f t="shared" si="15"/>
        <v>86.74</v>
      </c>
      <c r="T240" s="86"/>
    </row>
    <row r="241" spans="1:20" x14ac:dyDescent="0.25">
      <c r="A241" s="89">
        <v>44907</v>
      </c>
      <c r="B241" s="91">
        <v>0.11444936756382401</v>
      </c>
      <c r="E241" s="87">
        <f t="shared" si="12"/>
        <v>44904</v>
      </c>
      <c r="F241" s="90">
        <f t="shared" si="14"/>
        <v>0.11229289278417501</v>
      </c>
      <c r="G241" s="90"/>
      <c r="N241" s="89">
        <v>44907</v>
      </c>
      <c r="O241" s="88">
        <v>86.75</v>
      </c>
      <c r="R241" s="87">
        <f t="shared" si="13"/>
        <v>44904</v>
      </c>
      <c r="S241" s="86">
        <f t="shared" si="15"/>
        <v>87.375</v>
      </c>
      <c r="T241" s="86"/>
    </row>
    <row r="242" spans="1:20" x14ac:dyDescent="0.25">
      <c r="A242" s="89">
        <v>44908</v>
      </c>
      <c r="B242" s="91">
        <v>0.114473122391577</v>
      </c>
      <c r="E242" s="87">
        <f t="shared" si="12"/>
        <v>44907</v>
      </c>
      <c r="F242" s="90">
        <f t="shared" si="14"/>
        <v>0.11444936756382401</v>
      </c>
      <c r="G242" s="90"/>
      <c r="N242" s="89">
        <v>44908</v>
      </c>
      <c r="O242" s="88">
        <v>86.75</v>
      </c>
      <c r="R242" s="87">
        <f t="shared" si="13"/>
        <v>44907</v>
      </c>
      <c r="S242" s="86">
        <f t="shared" si="15"/>
        <v>86.75</v>
      </c>
      <c r="T242" s="86"/>
    </row>
    <row r="243" spans="1:20" x14ac:dyDescent="0.25">
      <c r="A243" s="89">
        <v>44909</v>
      </c>
      <c r="B243" s="91">
        <v>0.111989269197589</v>
      </c>
      <c r="E243" s="87">
        <f t="shared" si="12"/>
        <v>44908</v>
      </c>
      <c r="F243" s="90">
        <f t="shared" si="14"/>
        <v>0.114473122391577</v>
      </c>
      <c r="G243" s="90"/>
      <c r="N243" s="89">
        <v>44909</v>
      </c>
      <c r="O243" s="88">
        <v>87.5</v>
      </c>
      <c r="R243" s="87">
        <f t="shared" si="13"/>
        <v>44908</v>
      </c>
      <c r="S243" s="86">
        <f t="shared" si="15"/>
        <v>86.75</v>
      </c>
      <c r="T243" s="86"/>
    </row>
    <row r="244" spans="1:20" x14ac:dyDescent="0.25">
      <c r="A244" s="89">
        <v>44910</v>
      </c>
      <c r="B244" s="91">
        <v>0.11368147647389099</v>
      </c>
      <c r="E244" s="87">
        <f t="shared" si="12"/>
        <v>44909</v>
      </c>
      <c r="F244" s="90">
        <f t="shared" si="14"/>
        <v>0.111989269197589</v>
      </c>
      <c r="G244" s="90"/>
      <c r="N244" s="89">
        <v>44910</v>
      </c>
      <c r="O244" s="88">
        <v>87</v>
      </c>
      <c r="R244" s="87">
        <f t="shared" si="13"/>
        <v>44909</v>
      </c>
      <c r="S244" s="86">
        <f t="shared" si="15"/>
        <v>87.5</v>
      </c>
      <c r="T244" s="86"/>
    </row>
    <row r="245" spans="1:20" x14ac:dyDescent="0.25">
      <c r="A245" s="89">
        <v>44911</v>
      </c>
      <c r="B245" s="91">
        <v>0.114124437581481</v>
      </c>
      <c r="E245" s="87">
        <f t="shared" si="12"/>
        <v>44910</v>
      </c>
      <c r="F245" s="90">
        <f t="shared" si="14"/>
        <v>0.11368147647389099</v>
      </c>
      <c r="G245" s="90"/>
      <c r="N245" s="89">
        <v>44911</v>
      </c>
      <c r="O245" s="88">
        <v>86.875</v>
      </c>
      <c r="R245" s="87">
        <f t="shared" si="13"/>
        <v>44910</v>
      </c>
      <c r="S245" s="86">
        <f t="shared" si="15"/>
        <v>87</v>
      </c>
      <c r="T245" s="86"/>
    </row>
    <row r="246" spans="1:20" x14ac:dyDescent="0.25">
      <c r="A246" s="89">
        <v>44914</v>
      </c>
      <c r="B246" s="91">
        <v>0.11293720638697501</v>
      </c>
      <c r="E246" s="87">
        <f t="shared" si="12"/>
        <v>44911</v>
      </c>
      <c r="F246" s="90">
        <f t="shared" si="14"/>
        <v>0.114124437581481</v>
      </c>
      <c r="G246" s="90"/>
      <c r="N246" s="89">
        <v>44914</v>
      </c>
      <c r="O246" s="88">
        <v>87.25</v>
      </c>
      <c r="R246" s="87">
        <f t="shared" si="13"/>
        <v>44911</v>
      </c>
      <c r="S246" s="86">
        <f t="shared" si="15"/>
        <v>86.875</v>
      </c>
      <c r="T246" s="86"/>
    </row>
    <row r="247" spans="1:20" x14ac:dyDescent="0.25">
      <c r="A247" s="89">
        <v>44915</v>
      </c>
      <c r="B247" s="91">
        <v>0.11379915895343799</v>
      </c>
      <c r="E247" s="87">
        <f t="shared" si="12"/>
        <v>44914</v>
      </c>
      <c r="F247" s="90">
        <f t="shared" si="14"/>
        <v>0.11293720638697501</v>
      </c>
      <c r="G247" s="90"/>
      <c r="N247" s="89">
        <v>44915</v>
      </c>
      <c r="O247" s="88">
        <v>87</v>
      </c>
      <c r="R247" s="87">
        <f t="shared" si="13"/>
        <v>44914</v>
      </c>
      <c r="S247" s="86">
        <f t="shared" si="15"/>
        <v>87.25</v>
      </c>
      <c r="T247" s="86"/>
    </row>
    <row r="248" spans="1:20" x14ac:dyDescent="0.25">
      <c r="A248" s="89">
        <v>44916</v>
      </c>
      <c r="B248" s="91">
        <v>0.113822856020312</v>
      </c>
      <c r="E248" s="87">
        <f t="shared" si="12"/>
        <v>44915</v>
      </c>
      <c r="F248" s="90">
        <f t="shared" si="14"/>
        <v>0.11379915895343799</v>
      </c>
      <c r="G248" s="90"/>
      <c r="N248" s="89">
        <v>44916</v>
      </c>
      <c r="O248" s="88">
        <v>87</v>
      </c>
      <c r="R248" s="87">
        <f t="shared" si="13"/>
        <v>44915</v>
      </c>
      <c r="S248" s="86">
        <f t="shared" si="15"/>
        <v>87</v>
      </c>
      <c r="T248" s="86"/>
    </row>
    <row r="249" spans="1:20" x14ac:dyDescent="0.25">
      <c r="A249" s="89">
        <v>44917</v>
      </c>
      <c r="B249" s="91">
        <v>0.11300682987730699</v>
      </c>
      <c r="E249" s="87">
        <f t="shared" si="12"/>
        <v>44916</v>
      </c>
      <c r="F249" s="90">
        <f t="shared" si="14"/>
        <v>0.113822856020312</v>
      </c>
      <c r="G249" s="90"/>
      <c r="N249" s="89">
        <v>44917</v>
      </c>
      <c r="O249" s="88">
        <v>87.25</v>
      </c>
      <c r="R249" s="87">
        <f t="shared" si="13"/>
        <v>44916</v>
      </c>
      <c r="S249" s="86">
        <f t="shared" si="15"/>
        <v>87</v>
      </c>
      <c r="T249" s="86"/>
    </row>
    <row r="250" spans="1:20" x14ac:dyDescent="0.25">
      <c r="A250" s="89">
        <v>44918</v>
      </c>
      <c r="B250" s="91">
        <v>0.11303014359423001</v>
      </c>
      <c r="E250" s="87">
        <f t="shared" si="12"/>
        <v>44917</v>
      </c>
      <c r="F250" s="90">
        <f t="shared" si="14"/>
        <v>0.11300682987730699</v>
      </c>
      <c r="G250" s="90"/>
      <c r="N250" s="89">
        <v>44918</v>
      </c>
      <c r="O250" s="88">
        <v>87.25</v>
      </c>
      <c r="R250" s="87">
        <f t="shared" si="13"/>
        <v>44917</v>
      </c>
      <c r="S250" s="86">
        <f t="shared" si="15"/>
        <v>87.25</v>
      </c>
      <c r="T250" s="86"/>
    </row>
    <row r="251" spans="1:20" x14ac:dyDescent="0.25">
      <c r="A251" s="89">
        <v>44922</v>
      </c>
      <c r="B251" s="91">
        <v>0.11312393114276199</v>
      </c>
      <c r="E251" s="87">
        <f t="shared" si="12"/>
        <v>44918</v>
      </c>
      <c r="F251" s="90">
        <f t="shared" si="14"/>
        <v>0.11303014359423001</v>
      </c>
      <c r="G251" s="90"/>
      <c r="N251" s="89">
        <v>44922</v>
      </c>
      <c r="O251" s="88">
        <v>87.25</v>
      </c>
      <c r="R251" s="87">
        <f t="shared" si="13"/>
        <v>44918</v>
      </c>
      <c r="S251" s="86">
        <f t="shared" si="15"/>
        <v>87.25</v>
      </c>
      <c r="T251" s="86"/>
    </row>
    <row r="252" spans="1:20" x14ac:dyDescent="0.25">
      <c r="A252" s="89">
        <v>44923</v>
      </c>
      <c r="B252" s="91">
        <v>0.11399024910927601</v>
      </c>
      <c r="E252" s="87">
        <f t="shared" si="12"/>
        <v>44922</v>
      </c>
      <c r="F252" s="90">
        <f t="shared" si="14"/>
        <v>0.11312393114276199</v>
      </c>
      <c r="G252" s="90"/>
      <c r="N252" s="89">
        <v>44923</v>
      </c>
      <c r="O252" s="88">
        <v>87</v>
      </c>
      <c r="R252" s="87">
        <f t="shared" si="13"/>
        <v>44922</v>
      </c>
      <c r="S252" s="86">
        <f t="shared" si="15"/>
        <v>87.25</v>
      </c>
      <c r="T252" s="86"/>
    </row>
    <row r="253" spans="1:20" x14ac:dyDescent="0.25">
      <c r="A253" s="89">
        <v>44924</v>
      </c>
      <c r="B253" s="91">
        <v>0.11401438013588301</v>
      </c>
      <c r="E253" s="87">
        <f t="shared" si="12"/>
        <v>44923</v>
      </c>
      <c r="F253" s="90">
        <f t="shared" si="14"/>
        <v>0.11399024910927601</v>
      </c>
      <c r="G253" s="90"/>
      <c r="N253" s="89">
        <v>44924</v>
      </c>
      <c r="O253" s="88">
        <v>87</v>
      </c>
      <c r="R253" s="87">
        <f t="shared" si="13"/>
        <v>44923</v>
      </c>
      <c r="S253" s="86">
        <f t="shared" si="15"/>
        <v>87</v>
      </c>
      <c r="T253" s="86"/>
    </row>
    <row r="254" spans="1:20" x14ac:dyDescent="0.25">
      <c r="A254" s="89">
        <v>44925</v>
      </c>
      <c r="B254" s="91">
        <v>0.11403856597180599</v>
      </c>
      <c r="E254" s="87">
        <f t="shared" si="12"/>
        <v>44924</v>
      </c>
      <c r="F254" s="90">
        <f t="shared" si="14"/>
        <v>0.11401438013588301</v>
      </c>
      <c r="G254" s="90"/>
      <c r="N254" s="89">
        <v>44925</v>
      </c>
      <c r="O254" s="88">
        <v>87</v>
      </c>
      <c r="R254" s="87">
        <f t="shared" si="13"/>
        <v>44924</v>
      </c>
      <c r="S254" s="86">
        <f t="shared" si="15"/>
        <v>87</v>
      </c>
      <c r="T254" s="86"/>
    </row>
    <row r="255" spans="1:20" x14ac:dyDescent="0.25">
      <c r="A255" s="89">
        <v>44929</v>
      </c>
      <c r="B255" s="91">
        <v>0.114111453605638</v>
      </c>
      <c r="E255" s="87">
        <f t="shared" si="12"/>
        <v>44925</v>
      </c>
      <c r="F255" s="90">
        <f t="shared" si="14"/>
        <v>0.11403856597180599</v>
      </c>
      <c r="G255" s="90"/>
      <c r="N255" s="89">
        <v>44929</v>
      </c>
      <c r="O255" s="88">
        <v>87</v>
      </c>
      <c r="R255" s="87">
        <f t="shared" si="13"/>
        <v>44925</v>
      </c>
      <c r="S255" s="86">
        <f t="shared" si="15"/>
        <v>87</v>
      </c>
      <c r="T255" s="86"/>
    </row>
    <row r="256" spans="1:20" x14ac:dyDescent="0.25">
      <c r="A256" s="89">
        <v>44930</v>
      </c>
      <c r="B256" s="91">
        <v>0.113712622481022</v>
      </c>
      <c r="E256" s="87">
        <f t="shared" si="12"/>
        <v>44929</v>
      </c>
      <c r="F256" s="90">
        <f t="shared" si="14"/>
        <v>0.114111453605638</v>
      </c>
      <c r="G256" s="90"/>
      <c r="N256" s="89">
        <v>44930</v>
      </c>
      <c r="O256" s="88">
        <v>87.125</v>
      </c>
      <c r="R256" s="87">
        <f t="shared" si="13"/>
        <v>44929</v>
      </c>
      <c r="S256" s="86">
        <f t="shared" si="15"/>
        <v>87</v>
      </c>
      <c r="T256" s="86"/>
    </row>
    <row r="257" spans="1:20" x14ac:dyDescent="0.25">
      <c r="A257" s="89">
        <v>44931</v>
      </c>
      <c r="B257" s="91">
        <v>0.11416032174416299</v>
      </c>
      <c r="E257" s="87">
        <f t="shared" si="12"/>
        <v>44930</v>
      </c>
      <c r="F257" s="90">
        <f t="shared" si="14"/>
        <v>0.113712622481022</v>
      </c>
      <c r="G257" s="90"/>
      <c r="N257" s="89">
        <v>44931</v>
      </c>
      <c r="O257" s="88">
        <v>87</v>
      </c>
      <c r="R257" s="87">
        <f t="shared" si="13"/>
        <v>44930</v>
      </c>
      <c r="S257" s="86">
        <f t="shared" si="15"/>
        <v>87.125</v>
      </c>
      <c r="T257" s="86"/>
    </row>
    <row r="258" spans="1:20" x14ac:dyDescent="0.25">
      <c r="A258" s="89">
        <v>44932</v>
      </c>
      <c r="B258" s="91">
        <v>0.112915850141872</v>
      </c>
      <c r="E258" s="87">
        <f t="shared" si="12"/>
        <v>44931</v>
      </c>
      <c r="F258" s="90">
        <f t="shared" si="14"/>
        <v>0.11416032174416299</v>
      </c>
      <c r="G258" s="90"/>
      <c r="N258" s="89">
        <v>44932</v>
      </c>
      <c r="O258" s="88">
        <v>87.375</v>
      </c>
      <c r="R258" s="87">
        <f t="shared" si="13"/>
        <v>44931</v>
      </c>
      <c r="S258" s="86">
        <f t="shared" si="15"/>
        <v>87</v>
      </c>
      <c r="T258" s="86"/>
    </row>
    <row r="259" spans="1:20" x14ac:dyDescent="0.25">
      <c r="A259" s="89">
        <v>44935</v>
      </c>
      <c r="B259" s="91">
        <v>0.110883500688536</v>
      </c>
      <c r="E259" s="87">
        <f t="shared" si="12"/>
        <v>44932</v>
      </c>
      <c r="F259" s="90">
        <f t="shared" si="14"/>
        <v>0.112915850141872</v>
      </c>
      <c r="G259" s="90"/>
      <c r="N259" s="89">
        <v>44935</v>
      </c>
      <c r="O259" s="88">
        <v>88</v>
      </c>
      <c r="R259" s="87">
        <f t="shared" si="13"/>
        <v>44932</v>
      </c>
      <c r="S259" s="86">
        <f t="shared" si="15"/>
        <v>87.375</v>
      </c>
      <c r="T259" s="86"/>
    </row>
    <row r="260" spans="1:20" x14ac:dyDescent="0.25">
      <c r="A260" s="89">
        <v>44936</v>
      </c>
      <c r="B260" s="91">
        <v>0.11090622519339099</v>
      </c>
      <c r="E260" s="87">
        <f t="shared" ref="E260:E323" si="16">A259</f>
        <v>44935</v>
      </c>
      <c r="F260" s="90">
        <f t="shared" si="14"/>
        <v>0.110883500688536</v>
      </c>
      <c r="G260" s="90"/>
      <c r="N260" s="89">
        <v>44936</v>
      </c>
      <c r="O260" s="88">
        <v>88</v>
      </c>
      <c r="R260" s="87">
        <f t="shared" ref="R260:R323" si="17">N259</f>
        <v>44935</v>
      </c>
      <c r="S260" s="86">
        <f t="shared" si="15"/>
        <v>88</v>
      </c>
      <c r="T260" s="86"/>
    </row>
    <row r="261" spans="1:20" x14ac:dyDescent="0.25">
      <c r="A261" s="89">
        <v>44937</v>
      </c>
      <c r="B261" s="91">
        <v>0.110929002153257</v>
      </c>
      <c r="E261" s="87">
        <f t="shared" si="16"/>
        <v>44936</v>
      </c>
      <c r="F261" s="90">
        <f t="shared" ref="F261:F324" si="18">B260</f>
        <v>0.11090622519339099</v>
      </c>
      <c r="G261" s="90"/>
      <c r="N261" s="89">
        <v>44937</v>
      </c>
      <c r="O261" s="88">
        <v>88</v>
      </c>
      <c r="R261" s="87">
        <f t="shared" si="17"/>
        <v>44936</v>
      </c>
      <c r="S261" s="86">
        <f t="shared" ref="S261:S324" si="19">O260</f>
        <v>88</v>
      </c>
      <c r="T261" s="86"/>
    </row>
    <row r="262" spans="1:20" x14ac:dyDescent="0.25">
      <c r="A262" s="89">
        <v>44938</v>
      </c>
      <c r="B262" s="91">
        <v>0.108862363312714</v>
      </c>
      <c r="E262" s="87">
        <f t="shared" si="16"/>
        <v>44937</v>
      </c>
      <c r="F262" s="90">
        <f t="shared" si="18"/>
        <v>0.110929002153257</v>
      </c>
      <c r="G262" s="90"/>
      <c r="N262" s="89">
        <v>44938</v>
      </c>
      <c r="O262" s="88">
        <v>88.625</v>
      </c>
      <c r="R262" s="87">
        <f t="shared" si="17"/>
        <v>44937</v>
      </c>
      <c r="S262" s="86">
        <f t="shared" si="19"/>
        <v>88</v>
      </c>
      <c r="T262" s="86"/>
    </row>
    <row r="263" spans="1:20" x14ac:dyDescent="0.25">
      <c r="A263" s="89">
        <v>44939</v>
      </c>
      <c r="B263" s="91">
        <v>0.108883993174097</v>
      </c>
      <c r="E263" s="87">
        <f t="shared" si="16"/>
        <v>44938</v>
      </c>
      <c r="F263" s="90">
        <f t="shared" si="18"/>
        <v>0.108862363312714</v>
      </c>
      <c r="G263" s="90"/>
      <c r="N263" s="89">
        <v>44939</v>
      </c>
      <c r="O263" s="88">
        <v>88.625</v>
      </c>
      <c r="R263" s="87">
        <f t="shared" si="17"/>
        <v>44938</v>
      </c>
      <c r="S263" s="86">
        <f t="shared" si="19"/>
        <v>88.625</v>
      </c>
      <c r="T263" s="86"/>
    </row>
    <row r="264" spans="1:20" x14ac:dyDescent="0.25">
      <c r="A264" s="89">
        <v>44943</v>
      </c>
      <c r="B264" s="91">
        <v>0.10647989998938</v>
      </c>
      <c r="E264" s="87">
        <f t="shared" si="16"/>
        <v>44939</v>
      </c>
      <c r="F264" s="90">
        <f t="shared" si="18"/>
        <v>0.108883993174097</v>
      </c>
      <c r="G264" s="90"/>
      <c r="N264" s="89">
        <v>44943</v>
      </c>
      <c r="O264" s="88">
        <v>89.375</v>
      </c>
      <c r="R264" s="87">
        <f t="shared" si="17"/>
        <v>44939</v>
      </c>
      <c r="S264" s="86">
        <f t="shared" si="19"/>
        <v>88.625</v>
      </c>
      <c r="T264" s="86"/>
    </row>
    <row r="265" spans="1:20" x14ac:dyDescent="0.25">
      <c r="A265" s="89">
        <v>44944</v>
      </c>
      <c r="B265" s="91">
        <v>0.106371367018028</v>
      </c>
      <c r="E265" s="87">
        <f t="shared" si="16"/>
        <v>44943</v>
      </c>
      <c r="F265" s="90">
        <f t="shared" si="18"/>
        <v>0.10647989998938</v>
      </c>
      <c r="G265" s="90"/>
      <c r="N265" s="89">
        <v>44944</v>
      </c>
      <c r="O265" s="88">
        <v>89.414000000000001</v>
      </c>
      <c r="R265" s="87">
        <f t="shared" si="17"/>
        <v>44943</v>
      </c>
      <c r="S265" s="86">
        <f t="shared" si="19"/>
        <v>89.375</v>
      </c>
      <c r="T265" s="86"/>
    </row>
    <row r="266" spans="1:20" x14ac:dyDescent="0.25">
      <c r="A266" s="89">
        <v>44945</v>
      </c>
      <c r="B266" s="91">
        <v>0.106391719186473</v>
      </c>
      <c r="E266" s="87">
        <f t="shared" si="16"/>
        <v>44944</v>
      </c>
      <c r="F266" s="90">
        <f t="shared" si="18"/>
        <v>0.106371367018028</v>
      </c>
      <c r="G266" s="90"/>
      <c r="N266" s="89">
        <v>44945</v>
      </c>
      <c r="O266" s="88">
        <v>89.414000000000001</v>
      </c>
      <c r="R266" s="87">
        <f t="shared" si="17"/>
        <v>44944</v>
      </c>
      <c r="S266" s="86">
        <f t="shared" si="19"/>
        <v>89.414000000000001</v>
      </c>
      <c r="T266" s="86"/>
    </row>
    <row r="267" spans="1:20" x14ac:dyDescent="0.25">
      <c r="A267" s="89">
        <v>44946</v>
      </c>
      <c r="B267" s="91">
        <v>0.106412119605743</v>
      </c>
      <c r="E267" s="87">
        <f t="shared" si="16"/>
        <v>44945</v>
      </c>
      <c r="F267" s="90">
        <f t="shared" si="18"/>
        <v>0.106391719186473</v>
      </c>
      <c r="G267" s="90"/>
      <c r="N267" s="89">
        <v>44946</v>
      </c>
      <c r="O267" s="88">
        <v>89.414000000000001</v>
      </c>
      <c r="R267" s="87">
        <f t="shared" si="17"/>
        <v>44945</v>
      </c>
      <c r="S267" s="86">
        <f t="shared" si="19"/>
        <v>89.414000000000001</v>
      </c>
      <c r="T267" s="86"/>
    </row>
    <row r="268" spans="1:20" x14ac:dyDescent="0.25">
      <c r="A268" s="89">
        <v>44949</v>
      </c>
      <c r="B268" s="91">
        <v>0.10577523433151001</v>
      </c>
      <c r="E268" s="87">
        <f t="shared" si="16"/>
        <v>44946</v>
      </c>
      <c r="F268" s="90">
        <f t="shared" si="18"/>
        <v>0.106412119605743</v>
      </c>
      <c r="G268" s="90"/>
      <c r="N268" s="89">
        <v>44949</v>
      </c>
      <c r="O268" s="88">
        <v>89.625</v>
      </c>
      <c r="R268" s="87">
        <f t="shared" si="17"/>
        <v>44946</v>
      </c>
      <c r="S268" s="86">
        <f t="shared" si="19"/>
        <v>89.414000000000001</v>
      </c>
      <c r="T268" s="86"/>
    </row>
    <row r="269" spans="1:20" x14ac:dyDescent="0.25">
      <c r="A269" s="89">
        <v>44950</v>
      </c>
      <c r="B269" s="91">
        <v>9.8066092411494804E-2</v>
      </c>
      <c r="E269" s="87">
        <f t="shared" si="16"/>
        <v>44949</v>
      </c>
      <c r="F269" s="90">
        <f t="shared" si="18"/>
        <v>0.10577523433151001</v>
      </c>
      <c r="G269" s="90"/>
      <c r="N269" s="89">
        <v>44950</v>
      </c>
      <c r="O269" s="88">
        <v>92</v>
      </c>
      <c r="R269" s="87">
        <f t="shared" si="17"/>
        <v>44949</v>
      </c>
      <c r="S269" s="86">
        <f t="shared" si="19"/>
        <v>89.625</v>
      </c>
      <c r="T269" s="86"/>
    </row>
    <row r="270" spans="1:20" x14ac:dyDescent="0.25">
      <c r="A270" s="89">
        <v>44951</v>
      </c>
      <c r="B270" s="91">
        <v>9.8081617041202704E-2</v>
      </c>
      <c r="E270" s="87">
        <f t="shared" si="16"/>
        <v>44950</v>
      </c>
      <c r="F270" s="90">
        <f t="shared" si="18"/>
        <v>9.8066092411494804E-2</v>
      </c>
      <c r="G270" s="90"/>
      <c r="N270" s="89">
        <v>44951</v>
      </c>
      <c r="O270" s="88">
        <v>92</v>
      </c>
      <c r="R270" s="87">
        <f t="shared" si="17"/>
        <v>44950</v>
      </c>
      <c r="S270" s="86">
        <f t="shared" si="19"/>
        <v>92</v>
      </c>
      <c r="T270" s="86"/>
    </row>
    <row r="271" spans="1:20" x14ac:dyDescent="0.25">
      <c r="A271" s="89">
        <v>44952</v>
      </c>
      <c r="B271" s="91">
        <v>9.6897640758121795E-2</v>
      </c>
      <c r="E271" s="87">
        <f t="shared" si="16"/>
        <v>44951</v>
      </c>
      <c r="F271" s="90">
        <f t="shared" si="18"/>
        <v>9.8081617041202704E-2</v>
      </c>
      <c r="G271" s="90"/>
      <c r="N271" s="89">
        <v>44952</v>
      </c>
      <c r="O271" s="88">
        <v>92.375</v>
      </c>
      <c r="R271" s="87">
        <f t="shared" si="17"/>
        <v>44951</v>
      </c>
      <c r="S271" s="86">
        <f t="shared" si="19"/>
        <v>92</v>
      </c>
      <c r="T271" s="86"/>
    </row>
    <row r="272" spans="1:20" x14ac:dyDescent="0.25">
      <c r="A272" s="89">
        <v>44953</v>
      </c>
      <c r="B272" s="91">
        <v>9.6912514975181899E-2</v>
      </c>
      <c r="E272" s="87">
        <f t="shared" si="16"/>
        <v>44952</v>
      </c>
      <c r="F272" s="90">
        <f t="shared" si="18"/>
        <v>9.6897640758121795E-2</v>
      </c>
      <c r="G272" s="90"/>
      <c r="N272" s="89">
        <v>44953</v>
      </c>
      <c r="O272" s="88">
        <v>92.375</v>
      </c>
      <c r="R272" s="87">
        <f t="shared" si="17"/>
        <v>44952</v>
      </c>
      <c r="S272" s="86">
        <f t="shared" si="19"/>
        <v>92.375</v>
      </c>
      <c r="T272" s="86"/>
    </row>
    <row r="273" spans="1:20" x14ac:dyDescent="0.25">
      <c r="A273" s="89">
        <v>44956</v>
      </c>
      <c r="B273" s="91">
        <v>9.6557872310677306E-2</v>
      </c>
      <c r="E273" s="87">
        <f t="shared" si="16"/>
        <v>44953</v>
      </c>
      <c r="F273" s="90">
        <f t="shared" si="18"/>
        <v>9.6912514975181899E-2</v>
      </c>
      <c r="G273" s="90"/>
      <c r="N273" s="89">
        <v>44956</v>
      </c>
      <c r="O273" s="88">
        <v>92.5</v>
      </c>
      <c r="R273" s="87">
        <f t="shared" si="17"/>
        <v>44953</v>
      </c>
      <c r="S273" s="86">
        <f t="shared" si="19"/>
        <v>92.375</v>
      </c>
      <c r="T273" s="86"/>
    </row>
    <row r="274" spans="1:20" x14ac:dyDescent="0.25">
      <c r="A274" s="89">
        <v>44957</v>
      </c>
      <c r="B274" s="91">
        <v>9.7692610831710699E-2</v>
      </c>
      <c r="E274" s="87">
        <f t="shared" si="16"/>
        <v>44956</v>
      </c>
      <c r="F274" s="90">
        <f t="shared" si="18"/>
        <v>9.6557872310677306E-2</v>
      </c>
      <c r="G274" s="90"/>
      <c r="N274" s="89">
        <v>44957</v>
      </c>
      <c r="O274" s="88">
        <v>92.125</v>
      </c>
      <c r="R274" s="87">
        <f t="shared" si="17"/>
        <v>44956</v>
      </c>
      <c r="S274" s="86">
        <f t="shared" si="19"/>
        <v>92.5</v>
      </c>
      <c r="T274" s="86"/>
    </row>
    <row r="275" spans="1:20" x14ac:dyDescent="0.25">
      <c r="A275" s="89">
        <v>44958</v>
      </c>
      <c r="B275" s="91">
        <v>9.6572656211138211E-2</v>
      </c>
      <c r="E275" s="87">
        <f t="shared" si="16"/>
        <v>44957</v>
      </c>
      <c r="F275" s="90">
        <f t="shared" si="18"/>
        <v>9.7692610831710699E-2</v>
      </c>
      <c r="G275" s="90"/>
      <c r="N275" s="89">
        <v>44958</v>
      </c>
      <c r="O275" s="88">
        <v>92.5</v>
      </c>
      <c r="R275" s="87">
        <f t="shared" si="17"/>
        <v>44957</v>
      </c>
      <c r="S275" s="86">
        <f t="shared" si="19"/>
        <v>92.125</v>
      </c>
      <c r="T275" s="86"/>
    </row>
    <row r="276" spans="1:20" x14ac:dyDescent="0.25">
      <c r="A276" s="89">
        <v>44959</v>
      </c>
      <c r="B276" s="91">
        <v>9.8191399496028606E-2</v>
      </c>
      <c r="E276" s="87">
        <f t="shared" si="16"/>
        <v>44958</v>
      </c>
      <c r="F276" s="90">
        <f t="shared" si="18"/>
        <v>9.6572656211138211E-2</v>
      </c>
      <c r="G276" s="90"/>
      <c r="N276" s="89">
        <v>44959</v>
      </c>
      <c r="O276" s="88">
        <v>92</v>
      </c>
      <c r="R276" s="87">
        <f t="shared" si="17"/>
        <v>44958</v>
      </c>
      <c r="S276" s="86">
        <f t="shared" si="19"/>
        <v>92.5</v>
      </c>
      <c r="T276" s="86"/>
    </row>
    <row r="277" spans="1:20" x14ac:dyDescent="0.25">
      <c r="A277" s="89">
        <v>44960</v>
      </c>
      <c r="B277" s="91">
        <v>9.8207242386302199E-2</v>
      </c>
      <c r="E277" s="87">
        <f t="shared" si="16"/>
        <v>44959</v>
      </c>
      <c r="F277" s="90">
        <f t="shared" si="18"/>
        <v>9.8191399496028606E-2</v>
      </c>
      <c r="G277" s="90"/>
      <c r="N277" s="89">
        <v>44960</v>
      </c>
      <c r="O277" s="88">
        <v>92</v>
      </c>
      <c r="R277" s="87">
        <f t="shared" si="17"/>
        <v>44959</v>
      </c>
      <c r="S277" s="86">
        <f t="shared" si="19"/>
        <v>92</v>
      </c>
      <c r="T277" s="86"/>
    </row>
    <row r="278" spans="1:20" x14ac:dyDescent="0.25">
      <c r="A278" s="89">
        <v>44963</v>
      </c>
      <c r="B278" s="91">
        <v>9.6647150672255891E-2</v>
      </c>
      <c r="E278" s="87">
        <f t="shared" si="16"/>
        <v>44960</v>
      </c>
      <c r="F278" s="90">
        <f t="shared" si="18"/>
        <v>9.8207242386302199E-2</v>
      </c>
      <c r="G278" s="90"/>
      <c r="N278" s="89">
        <v>44963</v>
      </c>
      <c r="O278" s="88">
        <v>92.5</v>
      </c>
      <c r="R278" s="87">
        <f t="shared" si="17"/>
        <v>44960</v>
      </c>
      <c r="S278" s="86">
        <f t="shared" si="19"/>
        <v>92</v>
      </c>
      <c r="T278" s="86"/>
    </row>
    <row r="279" spans="1:20" x14ac:dyDescent="0.25">
      <c r="A279" s="89">
        <v>44964</v>
      </c>
      <c r="B279" s="91">
        <v>9.7867802411123611E-2</v>
      </c>
      <c r="E279" s="87">
        <f t="shared" si="16"/>
        <v>44963</v>
      </c>
      <c r="F279" s="90">
        <f t="shared" si="18"/>
        <v>9.6647150672255891E-2</v>
      </c>
      <c r="G279" s="90"/>
      <c r="N279" s="89">
        <v>44964</v>
      </c>
      <c r="O279" s="88">
        <v>92.125</v>
      </c>
      <c r="R279" s="87">
        <f t="shared" si="17"/>
        <v>44963</v>
      </c>
      <c r="S279" s="86">
        <f t="shared" si="19"/>
        <v>92.5</v>
      </c>
      <c r="T279" s="86"/>
    </row>
    <row r="280" spans="1:20" x14ac:dyDescent="0.25">
      <c r="A280" s="89">
        <v>44965</v>
      </c>
      <c r="B280" s="91">
        <v>9.8675018000975903E-2</v>
      </c>
      <c r="E280" s="87">
        <f t="shared" si="16"/>
        <v>44964</v>
      </c>
      <c r="F280" s="90">
        <f t="shared" si="18"/>
        <v>9.7867802411123611E-2</v>
      </c>
      <c r="G280" s="90"/>
      <c r="N280" s="89">
        <v>44965</v>
      </c>
      <c r="O280" s="88">
        <v>91.88</v>
      </c>
      <c r="R280" s="87">
        <f t="shared" si="17"/>
        <v>44964</v>
      </c>
      <c r="S280" s="86">
        <f t="shared" si="19"/>
        <v>92.125</v>
      </c>
      <c r="T280" s="86"/>
    </row>
    <row r="281" spans="1:20" x14ac:dyDescent="0.25">
      <c r="A281" s="89">
        <v>44966</v>
      </c>
      <c r="B281" s="91">
        <v>9.7496393085428693E-2</v>
      </c>
      <c r="E281" s="87">
        <f t="shared" si="16"/>
        <v>44965</v>
      </c>
      <c r="F281" s="90">
        <f t="shared" si="18"/>
        <v>9.8675018000975903E-2</v>
      </c>
      <c r="G281" s="90"/>
      <c r="N281" s="89">
        <v>44966</v>
      </c>
      <c r="O281" s="88">
        <v>92.25</v>
      </c>
      <c r="R281" s="87">
        <f t="shared" si="17"/>
        <v>44965</v>
      </c>
      <c r="S281" s="86">
        <f t="shared" si="19"/>
        <v>91.88</v>
      </c>
      <c r="T281" s="86"/>
    </row>
    <row r="282" spans="1:20" x14ac:dyDescent="0.25">
      <c r="A282" s="89">
        <v>44967</v>
      </c>
      <c r="B282" s="91">
        <v>9.7512020840118896E-2</v>
      </c>
      <c r="E282" s="87">
        <f t="shared" si="16"/>
        <v>44966</v>
      </c>
      <c r="F282" s="90">
        <f t="shared" si="18"/>
        <v>9.7496393085428693E-2</v>
      </c>
      <c r="G282" s="90"/>
      <c r="N282" s="89">
        <v>44967</v>
      </c>
      <c r="O282" s="88">
        <v>92.25</v>
      </c>
      <c r="R282" s="87">
        <f t="shared" si="17"/>
        <v>44966</v>
      </c>
      <c r="S282" s="86">
        <f t="shared" si="19"/>
        <v>92.25</v>
      </c>
      <c r="T282" s="86"/>
    </row>
    <row r="283" spans="1:20" x14ac:dyDescent="0.25">
      <c r="A283" s="89">
        <v>44970</v>
      </c>
      <c r="B283" s="91">
        <v>9.8367897781007407E-2</v>
      </c>
      <c r="E283" s="87">
        <f t="shared" si="16"/>
        <v>44967</v>
      </c>
      <c r="F283" s="90">
        <f t="shared" si="18"/>
        <v>9.7512020840118896E-2</v>
      </c>
      <c r="G283" s="90"/>
      <c r="N283" s="89">
        <v>44970</v>
      </c>
      <c r="O283" s="88">
        <v>92</v>
      </c>
      <c r="R283" s="87">
        <f t="shared" si="17"/>
        <v>44967</v>
      </c>
      <c r="S283" s="86">
        <f t="shared" si="19"/>
        <v>92.25</v>
      </c>
      <c r="T283" s="86"/>
    </row>
    <row r="284" spans="1:20" x14ac:dyDescent="0.25">
      <c r="A284" s="89">
        <v>44971</v>
      </c>
      <c r="B284" s="91">
        <v>9.8384188060095495E-2</v>
      </c>
      <c r="E284" s="87">
        <f t="shared" si="16"/>
        <v>44970</v>
      </c>
      <c r="F284" s="90">
        <f t="shared" si="18"/>
        <v>9.8367897781007407E-2</v>
      </c>
      <c r="G284" s="90"/>
      <c r="N284" s="89">
        <v>44971</v>
      </c>
      <c r="O284" s="88">
        <v>92</v>
      </c>
      <c r="R284" s="87">
        <f t="shared" si="17"/>
        <v>44970</v>
      </c>
      <c r="S284" s="86">
        <f t="shared" si="19"/>
        <v>92</v>
      </c>
      <c r="T284" s="86"/>
    </row>
    <row r="285" spans="1:20" x14ac:dyDescent="0.25">
      <c r="A285" s="89">
        <v>44972</v>
      </c>
      <c r="B285" s="91">
        <v>9.8400519585207694E-2</v>
      </c>
      <c r="E285" s="87">
        <f t="shared" si="16"/>
        <v>44971</v>
      </c>
      <c r="F285" s="90">
        <f t="shared" si="18"/>
        <v>9.8384188060095495E-2</v>
      </c>
      <c r="G285" s="90"/>
      <c r="N285" s="89">
        <v>44972</v>
      </c>
      <c r="O285" s="88">
        <v>92</v>
      </c>
      <c r="R285" s="87">
        <f t="shared" si="17"/>
        <v>44971</v>
      </c>
      <c r="S285" s="86">
        <f t="shared" si="19"/>
        <v>92</v>
      </c>
      <c r="T285" s="86"/>
    </row>
    <row r="286" spans="1:20" x14ac:dyDescent="0.25">
      <c r="A286" s="89">
        <v>44973</v>
      </c>
      <c r="B286" s="91">
        <v>9.8416892453475513E-2</v>
      </c>
      <c r="E286" s="87">
        <f t="shared" si="16"/>
        <v>44972</v>
      </c>
      <c r="F286" s="90">
        <f t="shared" si="18"/>
        <v>9.8400519585207694E-2</v>
      </c>
      <c r="G286" s="90"/>
      <c r="N286" s="89">
        <v>44973</v>
      </c>
      <c r="O286" s="88">
        <v>92</v>
      </c>
      <c r="R286" s="87">
        <f t="shared" si="17"/>
        <v>44972</v>
      </c>
      <c r="S286" s="86">
        <f t="shared" si="19"/>
        <v>92</v>
      </c>
      <c r="T286" s="86"/>
    </row>
    <row r="287" spans="1:20" x14ac:dyDescent="0.25">
      <c r="A287" s="89">
        <v>44974</v>
      </c>
      <c r="B287" s="91">
        <v>9.8430109215135106E-2</v>
      </c>
      <c r="E287" s="87">
        <f t="shared" si="16"/>
        <v>44973</v>
      </c>
      <c r="F287" s="90">
        <f t="shared" si="18"/>
        <v>9.8416892453475513E-2</v>
      </c>
      <c r="G287" s="90"/>
      <c r="N287" s="89">
        <v>44974</v>
      </c>
      <c r="O287" s="88">
        <v>92</v>
      </c>
      <c r="R287" s="87">
        <f t="shared" si="17"/>
        <v>44973</v>
      </c>
      <c r="S287" s="86">
        <f t="shared" si="19"/>
        <v>92</v>
      </c>
      <c r="T287" s="86"/>
    </row>
    <row r="288" spans="1:20" x14ac:dyDescent="0.25">
      <c r="A288" s="89">
        <v>44978</v>
      </c>
      <c r="B288" s="91">
        <v>9.8483335993289303E-2</v>
      </c>
      <c r="E288" s="87">
        <f t="shared" si="16"/>
        <v>44974</v>
      </c>
      <c r="F288" s="90">
        <f t="shared" si="18"/>
        <v>9.8430109215135106E-2</v>
      </c>
      <c r="G288" s="90"/>
      <c r="N288" s="89">
        <v>44978</v>
      </c>
      <c r="O288" s="88">
        <v>92</v>
      </c>
      <c r="R288" s="87">
        <f t="shared" si="17"/>
        <v>44974</v>
      </c>
      <c r="S288" s="86">
        <f t="shared" si="19"/>
        <v>92</v>
      </c>
      <c r="T288" s="86"/>
    </row>
    <row r="289" spans="1:20" x14ac:dyDescent="0.25">
      <c r="A289" s="89">
        <v>44979</v>
      </c>
      <c r="B289" s="91">
        <v>0.101149839522923</v>
      </c>
      <c r="E289" s="87">
        <f t="shared" si="16"/>
        <v>44978</v>
      </c>
      <c r="F289" s="90">
        <f t="shared" si="18"/>
        <v>9.8483335993289303E-2</v>
      </c>
      <c r="G289" s="90"/>
      <c r="N289" s="89">
        <v>44979</v>
      </c>
      <c r="O289" s="88">
        <v>91.19</v>
      </c>
      <c r="R289" s="87">
        <f t="shared" si="17"/>
        <v>44978</v>
      </c>
      <c r="S289" s="86">
        <f t="shared" si="19"/>
        <v>92</v>
      </c>
      <c r="T289" s="86"/>
    </row>
    <row r="290" spans="1:20" x14ac:dyDescent="0.25">
      <c r="A290" s="89">
        <v>44980</v>
      </c>
      <c r="B290" s="91">
        <v>0.10116481872886901</v>
      </c>
      <c r="E290" s="87">
        <f t="shared" si="16"/>
        <v>44979</v>
      </c>
      <c r="F290" s="90">
        <f t="shared" si="18"/>
        <v>0.101149839522923</v>
      </c>
      <c r="G290" s="90"/>
      <c r="N290" s="89">
        <v>44980</v>
      </c>
      <c r="O290" s="88">
        <v>91.19</v>
      </c>
      <c r="R290" s="87">
        <f t="shared" si="17"/>
        <v>44979</v>
      </c>
      <c r="S290" s="86">
        <f t="shared" si="19"/>
        <v>91.19</v>
      </c>
      <c r="T290" s="86"/>
    </row>
    <row r="291" spans="1:20" x14ac:dyDescent="0.25">
      <c r="A291" s="89">
        <v>44981</v>
      </c>
      <c r="B291" s="91">
        <v>0.101179837116201</v>
      </c>
      <c r="E291" s="87">
        <f t="shared" si="16"/>
        <v>44980</v>
      </c>
      <c r="F291" s="90">
        <f t="shared" si="18"/>
        <v>0.10116481872886901</v>
      </c>
      <c r="G291" s="90"/>
      <c r="N291" s="89">
        <v>44981</v>
      </c>
      <c r="O291" s="88">
        <v>91.19</v>
      </c>
      <c r="R291" s="87">
        <f t="shared" si="17"/>
        <v>44980</v>
      </c>
      <c r="S291" s="86">
        <f t="shared" si="19"/>
        <v>91.19</v>
      </c>
      <c r="T291" s="86"/>
    </row>
    <row r="292" spans="1:20" x14ac:dyDescent="0.25">
      <c r="A292" s="89">
        <v>44984</v>
      </c>
      <c r="B292" s="91">
        <v>0.10020336639735899</v>
      </c>
      <c r="E292" s="87">
        <f t="shared" si="16"/>
        <v>44981</v>
      </c>
      <c r="F292" s="90">
        <f t="shared" si="18"/>
        <v>0.101179837116201</v>
      </c>
      <c r="G292" s="90"/>
      <c r="N292" s="89">
        <v>44984</v>
      </c>
      <c r="O292" s="88">
        <v>91.5</v>
      </c>
      <c r="R292" s="87">
        <f t="shared" si="17"/>
        <v>44981</v>
      </c>
      <c r="S292" s="86">
        <f t="shared" si="19"/>
        <v>91.19</v>
      </c>
      <c r="T292" s="86"/>
    </row>
    <row r="293" spans="1:20" x14ac:dyDescent="0.25">
      <c r="A293" s="89">
        <v>44985</v>
      </c>
      <c r="B293" s="91">
        <v>9.8970498375095098E-2</v>
      </c>
      <c r="E293" s="87">
        <f t="shared" si="16"/>
        <v>44984</v>
      </c>
      <c r="F293" s="90">
        <f t="shared" si="18"/>
        <v>0.10020336639735899</v>
      </c>
      <c r="G293" s="90"/>
      <c r="N293" s="89">
        <v>44985</v>
      </c>
      <c r="O293" s="88">
        <v>91.88</v>
      </c>
      <c r="R293" s="87">
        <f t="shared" si="17"/>
        <v>44984</v>
      </c>
      <c r="S293" s="86">
        <f t="shared" si="19"/>
        <v>91.5</v>
      </c>
      <c r="T293" s="86"/>
    </row>
    <row r="294" spans="1:20" x14ac:dyDescent="0.25">
      <c r="A294" s="89">
        <v>44986</v>
      </c>
      <c r="B294" s="91">
        <v>0.10026190604599999</v>
      </c>
      <c r="E294" s="87">
        <f t="shared" si="16"/>
        <v>44985</v>
      </c>
      <c r="F294" s="90">
        <f t="shared" si="18"/>
        <v>9.8970498375095098E-2</v>
      </c>
      <c r="G294" s="90"/>
      <c r="N294" s="89">
        <v>44986</v>
      </c>
      <c r="O294" s="88">
        <v>91.5</v>
      </c>
      <c r="R294" s="87">
        <f t="shared" si="17"/>
        <v>44985</v>
      </c>
      <c r="S294" s="86">
        <f t="shared" si="19"/>
        <v>91.88</v>
      </c>
      <c r="T294" s="86"/>
    </row>
    <row r="295" spans="1:20" x14ac:dyDescent="0.25">
      <c r="A295" s="89">
        <v>44987</v>
      </c>
      <c r="B295" s="91">
        <v>9.9026255584423503E-2</v>
      </c>
      <c r="E295" s="87">
        <f t="shared" si="16"/>
        <v>44986</v>
      </c>
      <c r="F295" s="90">
        <f t="shared" si="18"/>
        <v>0.10026190604599999</v>
      </c>
      <c r="G295" s="90"/>
      <c r="N295" s="89">
        <v>44987</v>
      </c>
      <c r="O295" s="88">
        <v>91.88</v>
      </c>
      <c r="R295" s="87">
        <f t="shared" si="17"/>
        <v>44986</v>
      </c>
      <c r="S295" s="86">
        <f t="shared" si="19"/>
        <v>91.5</v>
      </c>
      <c r="T295" s="86"/>
    </row>
    <row r="296" spans="1:20" x14ac:dyDescent="0.25">
      <c r="A296" s="89">
        <v>44988</v>
      </c>
      <c r="B296" s="91">
        <v>0.10029140828106801</v>
      </c>
      <c r="E296" s="87">
        <f t="shared" si="16"/>
        <v>44987</v>
      </c>
      <c r="F296" s="90">
        <f t="shared" si="18"/>
        <v>9.9026255584423503E-2</v>
      </c>
      <c r="G296" s="90"/>
      <c r="N296" s="89">
        <v>44988</v>
      </c>
      <c r="O296" s="88">
        <v>91.5</v>
      </c>
      <c r="R296" s="87">
        <f t="shared" si="17"/>
        <v>44987</v>
      </c>
      <c r="S296" s="86">
        <f t="shared" si="19"/>
        <v>91.88</v>
      </c>
      <c r="T296" s="86"/>
    </row>
    <row r="297" spans="1:20" x14ac:dyDescent="0.25">
      <c r="A297" s="89">
        <v>44991</v>
      </c>
      <c r="B297" s="91">
        <v>0.101363146222241</v>
      </c>
      <c r="E297" s="87">
        <f t="shared" si="16"/>
        <v>44988</v>
      </c>
      <c r="F297" s="90">
        <f t="shared" si="18"/>
        <v>0.10029140828106801</v>
      </c>
      <c r="G297" s="90"/>
      <c r="N297" s="89">
        <v>44991</v>
      </c>
      <c r="O297" s="88">
        <v>91.19</v>
      </c>
      <c r="R297" s="87">
        <f t="shared" si="17"/>
        <v>44988</v>
      </c>
      <c r="S297" s="86">
        <f t="shared" si="19"/>
        <v>91.5</v>
      </c>
      <c r="T297" s="86"/>
    </row>
    <row r="298" spans="1:20" x14ac:dyDescent="0.25">
      <c r="A298" s="89">
        <v>44992</v>
      </c>
      <c r="B298" s="91">
        <v>0.103514196125212</v>
      </c>
      <c r="E298" s="87">
        <f t="shared" si="16"/>
        <v>44991</v>
      </c>
      <c r="F298" s="90">
        <f t="shared" si="18"/>
        <v>0.101363146222241</v>
      </c>
      <c r="G298" s="90"/>
      <c r="N298" s="89">
        <v>44992</v>
      </c>
      <c r="O298" s="88">
        <v>90.55</v>
      </c>
      <c r="R298" s="87">
        <f t="shared" si="17"/>
        <v>44991</v>
      </c>
      <c r="S298" s="86">
        <f t="shared" si="19"/>
        <v>91.19</v>
      </c>
      <c r="T298" s="86"/>
    </row>
    <row r="299" spans="1:20" x14ac:dyDescent="0.25">
      <c r="A299" s="89">
        <v>44993</v>
      </c>
      <c r="B299" s="91">
        <v>0.10319595019151301</v>
      </c>
      <c r="E299" s="87">
        <f t="shared" si="16"/>
        <v>44992</v>
      </c>
      <c r="F299" s="90">
        <f t="shared" si="18"/>
        <v>0.103514196125212</v>
      </c>
      <c r="G299" s="90"/>
      <c r="N299" s="89">
        <v>44993</v>
      </c>
      <c r="O299" s="88">
        <v>90.65</v>
      </c>
      <c r="R299" s="87">
        <f t="shared" si="17"/>
        <v>44992</v>
      </c>
      <c r="S299" s="86">
        <f t="shared" si="19"/>
        <v>90.55</v>
      </c>
      <c r="T299" s="86"/>
    </row>
    <row r="300" spans="1:20" x14ac:dyDescent="0.25">
      <c r="A300" s="89">
        <v>44994</v>
      </c>
      <c r="B300" s="91">
        <v>0.102459892128342</v>
      </c>
      <c r="E300" s="87">
        <f t="shared" si="16"/>
        <v>44993</v>
      </c>
      <c r="F300" s="90">
        <f t="shared" si="18"/>
        <v>0.10319595019151301</v>
      </c>
      <c r="G300" s="90"/>
      <c r="N300" s="89">
        <v>44994</v>
      </c>
      <c r="O300" s="88">
        <v>90.875</v>
      </c>
      <c r="R300" s="87">
        <f t="shared" si="17"/>
        <v>44993</v>
      </c>
      <c r="S300" s="86">
        <f t="shared" si="19"/>
        <v>90.65</v>
      </c>
      <c r="T300" s="86"/>
    </row>
    <row r="301" spans="1:20" x14ac:dyDescent="0.25">
      <c r="A301" s="89">
        <v>44995</v>
      </c>
      <c r="B301" s="91">
        <v>0.104338203588527</v>
      </c>
      <c r="E301" s="87">
        <f t="shared" si="16"/>
        <v>44994</v>
      </c>
      <c r="F301" s="90">
        <f t="shared" si="18"/>
        <v>0.102459892128342</v>
      </c>
      <c r="G301" s="90"/>
      <c r="N301" s="89">
        <v>44995</v>
      </c>
      <c r="O301" s="88">
        <v>90.32</v>
      </c>
      <c r="R301" s="87">
        <f t="shared" si="17"/>
        <v>44994</v>
      </c>
      <c r="S301" s="86">
        <f t="shared" si="19"/>
        <v>90.875</v>
      </c>
      <c r="T301" s="86"/>
    </row>
    <row r="302" spans="1:20" x14ac:dyDescent="0.25">
      <c r="A302" s="89">
        <v>44998</v>
      </c>
      <c r="B302" s="91">
        <v>0.103784117219614</v>
      </c>
      <c r="E302" s="87">
        <f t="shared" si="16"/>
        <v>44995</v>
      </c>
      <c r="F302" s="90">
        <f t="shared" si="18"/>
        <v>0.104338203588527</v>
      </c>
      <c r="G302" s="90"/>
      <c r="N302" s="89">
        <v>44998</v>
      </c>
      <c r="O302" s="88">
        <v>90.5</v>
      </c>
      <c r="R302" s="87">
        <f t="shared" si="17"/>
        <v>44995</v>
      </c>
      <c r="S302" s="86">
        <f t="shared" si="19"/>
        <v>90.32</v>
      </c>
      <c r="T302" s="86"/>
    </row>
    <row r="303" spans="1:20" x14ac:dyDescent="0.25">
      <c r="A303" s="89">
        <v>44999</v>
      </c>
      <c r="B303" s="91">
        <v>0.10380131999296401</v>
      </c>
      <c r="E303" s="87">
        <f t="shared" si="16"/>
        <v>44998</v>
      </c>
      <c r="F303" s="90">
        <f t="shared" si="18"/>
        <v>0.103784117219614</v>
      </c>
      <c r="G303" s="90"/>
      <c r="N303" s="89">
        <v>44999</v>
      </c>
      <c r="O303" s="88">
        <v>90.5</v>
      </c>
      <c r="R303" s="87">
        <f t="shared" si="17"/>
        <v>44998</v>
      </c>
      <c r="S303" s="86">
        <f t="shared" si="19"/>
        <v>90.5</v>
      </c>
      <c r="T303" s="86"/>
    </row>
    <row r="304" spans="1:20" x14ac:dyDescent="0.25">
      <c r="A304" s="89">
        <v>45000</v>
      </c>
      <c r="B304" s="91">
        <v>0.105509023559963</v>
      </c>
      <c r="E304" s="87">
        <f t="shared" si="16"/>
        <v>44999</v>
      </c>
      <c r="F304" s="90">
        <f t="shared" si="18"/>
        <v>0.10380131999296401</v>
      </c>
      <c r="G304" s="90"/>
      <c r="N304" s="89">
        <v>45000</v>
      </c>
      <c r="O304" s="88">
        <v>90</v>
      </c>
      <c r="R304" s="87">
        <f t="shared" si="17"/>
        <v>44999</v>
      </c>
      <c r="S304" s="86">
        <f t="shared" si="19"/>
        <v>90.5</v>
      </c>
      <c r="T304" s="86"/>
    </row>
    <row r="305" spans="1:20" x14ac:dyDescent="0.25">
      <c r="A305" s="89">
        <v>45001</v>
      </c>
      <c r="B305" s="91">
        <v>0.10444346387271</v>
      </c>
      <c r="E305" s="87">
        <f t="shared" si="16"/>
        <v>45000</v>
      </c>
      <c r="F305" s="90">
        <f t="shared" si="18"/>
        <v>0.105509023559963</v>
      </c>
      <c r="G305" s="90"/>
      <c r="N305" s="89">
        <v>45001</v>
      </c>
      <c r="O305" s="88">
        <v>90.32</v>
      </c>
      <c r="R305" s="87">
        <f t="shared" si="17"/>
        <v>45000</v>
      </c>
      <c r="S305" s="86">
        <f t="shared" si="19"/>
        <v>90</v>
      </c>
      <c r="T305" s="86"/>
    </row>
    <row r="306" spans="1:20" x14ac:dyDescent="0.25">
      <c r="A306" s="89">
        <v>45002</v>
      </c>
      <c r="B306" s="91">
        <v>0.105545675705233</v>
      </c>
      <c r="E306" s="87">
        <f t="shared" si="16"/>
        <v>45001</v>
      </c>
      <c r="F306" s="90">
        <f t="shared" si="18"/>
        <v>0.10444346387271</v>
      </c>
      <c r="G306" s="90"/>
      <c r="N306" s="89">
        <v>45002</v>
      </c>
      <c r="O306" s="88">
        <v>90</v>
      </c>
      <c r="R306" s="87">
        <f t="shared" si="17"/>
        <v>45001</v>
      </c>
      <c r="S306" s="86">
        <f t="shared" si="19"/>
        <v>90.32</v>
      </c>
      <c r="T306" s="86"/>
    </row>
    <row r="307" spans="1:20" x14ac:dyDescent="0.25">
      <c r="A307" s="89">
        <v>45005</v>
      </c>
      <c r="B307" s="91">
        <v>0.10222135257380201</v>
      </c>
      <c r="E307" s="87">
        <f t="shared" si="16"/>
        <v>45002</v>
      </c>
      <c r="F307" s="90">
        <f t="shared" si="18"/>
        <v>0.105545675705233</v>
      </c>
      <c r="G307" s="90"/>
      <c r="N307" s="89">
        <v>45005</v>
      </c>
      <c r="O307" s="88">
        <v>91</v>
      </c>
      <c r="R307" s="87">
        <f t="shared" si="17"/>
        <v>45002</v>
      </c>
      <c r="S307" s="86">
        <f t="shared" si="19"/>
        <v>90</v>
      </c>
      <c r="T307" s="86"/>
    </row>
    <row r="308" spans="1:20" x14ac:dyDescent="0.25">
      <c r="A308" s="89">
        <v>45006</v>
      </c>
      <c r="B308" s="91">
        <v>0.10725913351742801</v>
      </c>
      <c r="E308" s="87">
        <f t="shared" si="16"/>
        <v>45005</v>
      </c>
      <c r="F308" s="90">
        <f t="shared" si="18"/>
        <v>0.10222135257380201</v>
      </c>
      <c r="G308" s="90"/>
      <c r="N308" s="89">
        <v>45006</v>
      </c>
      <c r="O308" s="88">
        <v>89.52</v>
      </c>
      <c r="R308" s="87">
        <f t="shared" si="17"/>
        <v>45005</v>
      </c>
      <c r="S308" s="86">
        <f t="shared" si="19"/>
        <v>91</v>
      </c>
      <c r="T308" s="86"/>
    </row>
    <row r="309" spans="1:20" x14ac:dyDescent="0.25">
      <c r="A309" s="89">
        <v>45007</v>
      </c>
      <c r="B309" s="91">
        <v>0.107862333205762</v>
      </c>
      <c r="E309" s="87">
        <f t="shared" si="16"/>
        <v>45006</v>
      </c>
      <c r="F309" s="90">
        <f t="shared" si="18"/>
        <v>0.10725913351742801</v>
      </c>
      <c r="G309" s="90"/>
      <c r="N309" s="89">
        <v>45007</v>
      </c>
      <c r="O309" s="88">
        <v>89.35</v>
      </c>
      <c r="R309" s="87">
        <f t="shared" si="17"/>
        <v>45006</v>
      </c>
      <c r="S309" s="86">
        <f t="shared" si="19"/>
        <v>89.52</v>
      </c>
      <c r="T309" s="86"/>
    </row>
    <row r="310" spans="1:20" x14ac:dyDescent="0.25">
      <c r="A310" s="89">
        <v>45008</v>
      </c>
      <c r="B310" s="91">
        <v>0.107882303268276</v>
      </c>
      <c r="E310" s="87">
        <f t="shared" si="16"/>
        <v>45007</v>
      </c>
      <c r="F310" s="90">
        <f t="shared" si="18"/>
        <v>0.107862333205762</v>
      </c>
      <c r="G310" s="90"/>
      <c r="N310" s="89">
        <v>45008</v>
      </c>
      <c r="O310" s="88">
        <v>89.35</v>
      </c>
      <c r="R310" s="87">
        <f t="shared" si="17"/>
        <v>45007</v>
      </c>
      <c r="S310" s="86">
        <f t="shared" si="19"/>
        <v>89.35</v>
      </c>
      <c r="T310" s="86"/>
    </row>
    <row r="311" spans="1:20" x14ac:dyDescent="0.25">
      <c r="A311" s="89">
        <v>45009</v>
      </c>
      <c r="B311" s="91">
        <v>0.10742100482467899</v>
      </c>
      <c r="E311" s="87">
        <f t="shared" si="16"/>
        <v>45008</v>
      </c>
      <c r="F311" s="90">
        <f t="shared" si="18"/>
        <v>0.107882303268276</v>
      </c>
      <c r="G311" s="90"/>
      <c r="N311" s="89">
        <v>45009</v>
      </c>
      <c r="O311" s="88">
        <v>89.49</v>
      </c>
      <c r="R311" s="87">
        <f t="shared" si="17"/>
        <v>45008</v>
      </c>
      <c r="S311" s="86">
        <f t="shared" si="19"/>
        <v>89.35</v>
      </c>
      <c r="T311" s="86"/>
    </row>
    <row r="312" spans="1:20" x14ac:dyDescent="0.25">
      <c r="A312" s="89">
        <v>45012</v>
      </c>
      <c r="B312" s="91">
        <v>0.10573170328972401</v>
      </c>
      <c r="E312" s="87">
        <f t="shared" si="16"/>
        <v>45009</v>
      </c>
      <c r="F312" s="90">
        <f t="shared" si="18"/>
        <v>0.10742100482467899</v>
      </c>
      <c r="G312" s="90"/>
      <c r="N312" s="89">
        <v>45012</v>
      </c>
      <c r="O312" s="88">
        <v>90</v>
      </c>
      <c r="R312" s="87">
        <f t="shared" si="17"/>
        <v>45009</v>
      </c>
      <c r="S312" s="86">
        <f t="shared" si="19"/>
        <v>89.49</v>
      </c>
      <c r="T312" s="86"/>
    </row>
    <row r="313" spans="1:20" x14ac:dyDescent="0.25">
      <c r="A313" s="89">
        <v>45013</v>
      </c>
      <c r="B313" s="91">
        <v>0.104046787506286</v>
      </c>
      <c r="E313" s="87">
        <f t="shared" si="16"/>
        <v>45012</v>
      </c>
      <c r="F313" s="90">
        <f t="shared" si="18"/>
        <v>0.10573170328972401</v>
      </c>
      <c r="G313" s="90"/>
      <c r="N313" s="89">
        <v>45013</v>
      </c>
      <c r="O313" s="88">
        <v>90.5</v>
      </c>
      <c r="R313" s="87">
        <f t="shared" si="17"/>
        <v>45012</v>
      </c>
      <c r="S313" s="86">
        <f t="shared" si="19"/>
        <v>90</v>
      </c>
      <c r="T313" s="86"/>
    </row>
    <row r="314" spans="1:20" x14ac:dyDescent="0.25">
      <c r="A314" s="89">
        <v>45014</v>
      </c>
      <c r="B314" s="91">
        <v>0.10240509661123999</v>
      </c>
      <c r="E314" s="87">
        <f t="shared" si="16"/>
        <v>45013</v>
      </c>
      <c r="F314" s="90">
        <f t="shared" si="18"/>
        <v>0.104046787506286</v>
      </c>
      <c r="G314" s="90"/>
      <c r="N314" s="89">
        <v>45014</v>
      </c>
      <c r="O314" s="88">
        <v>90.99</v>
      </c>
      <c r="R314" s="87">
        <f t="shared" si="17"/>
        <v>45013</v>
      </c>
      <c r="S314" s="86">
        <f t="shared" si="19"/>
        <v>90.5</v>
      </c>
      <c r="T314" s="86"/>
    </row>
    <row r="315" spans="1:20" x14ac:dyDescent="0.25">
      <c r="A315" s="89">
        <v>45015</v>
      </c>
      <c r="B315" s="91">
        <v>0.103946599736436</v>
      </c>
      <c r="E315" s="87">
        <f t="shared" si="16"/>
        <v>45014</v>
      </c>
      <c r="F315" s="90">
        <f t="shared" si="18"/>
        <v>0.10240509661123999</v>
      </c>
      <c r="G315" s="90"/>
      <c r="N315" s="89">
        <v>45015</v>
      </c>
      <c r="O315" s="88">
        <v>90.54</v>
      </c>
      <c r="R315" s="87">
        <f t="shared" si="17"/>
        <v>45014</v>
      </c>
      <c r="S315" s="86">
        <f t="shared" si="19"/>
        <v>90.99</v>
      </c>
      <c r="T315" s="86"/>
    </row>
    <row r="316" spans="1:20" x14ac:dyDescent="0.25">
      <c r="A316" s="89">
        <v>45016</v>
      </c>
      <c r="B316" s="91">
        <v>0.10397893296522399</v>
      </c>
      <c r="E316" s="87">
        <f t="shared" si="16"/>
        <v>45015</v>
      </c>
      <c r="F316" s="90">
        <f t="shared" si="18"/>
        <v>0.103946599736436</v>
      </c>
      <c r="G316" s="90"/>
      <c r="N316" s="89">
        <v>45016</v>
      </c>
      <c r="O316" s="88">
        <v>90.51</v>
      </c>
      <c r="R316" s="87">
        <f t="shared" si="17"/>
        <v>45015</v>
      </c>
      <c r="S316" s="86">
        <f t="shared" si="19"/>
        <v>90.54</v>
      </c>
      <c r="T316" s="86"/>
    </row>
    <row r="317" spans="1:20" x14ac:dyDescent="0.25">
      <c r="A317" s="89">
        <v>45019</v>
      </c>
      <c r="B317" s="91">
        <v>0.104136581074183</v>
      </c>
      <c r="E317" s="87">
        <f t="shared" si="16"/>
        <v>45016</v>
      </c>
      <c r="F317" s="90">
        <f t="shared" si="18"/>
        <v>0.10397893296522399</v>
      </c>
      <c r="G317" s="90"/>
      <c r="N317" s="89">
        <v>45019</v>
      </c>
      <c r="O317" s="88">
        <v>90.5</v>
      </c>
      <c r="R317" s="87">
        <f t="shared" si="17"/>
        <v>45016</v>
      </c>
      <c r="S317" s="86">
        <f t="shared" si="19"/>
        <v>90.51</v>
      </c>
      <c r="T317" s="86"/>
    </row>
    <row r="318" spans="1:20" x14ac:dyDescent="0.25">
      <c r="A318" s="89">
        <v>45020</v>
      </c>
      <c r="B318" s="91">
        <v>0.102557766437933</v>
      </c>
      <c r="E318" s="87">
        <f t="shared" si="16"/>
        <v>45019</v>
      </c>
      <c r="F318" s="90">
        <f t="shared" si="18"/>
        <v>0.104136581074183</v>
      </c>
      <c r="G318" s="90"/>
      <c r="N318" s="89">
        <v>45020</v>
      </c>
      <c r="O318" s="88">
        <v>90.97</v>
      </c>
      <c r="R318" s="87">
        <f t="shared" si="17"/>
        <v>45019</v>
      </c>
      <c r="S318" s="86">
        <f t="shared" si="19"/>
        <v>90.5</v>
      </c>
      <c r="T318" s="86"/>
    </row>
    <row r="319" spans="1:20" x14ac:dyDescent="0.25">
      <c r="A319" s="89">
        <v>45021</v>
      </c>
      <c r="B319" s="91">
        <v>0.103321613734109</v>
      </c>
      <c r="E319" s="87">
        <f t="shared" si="16"/>
        <v>45020</v>
      </c>
      <c r="F319" s="90">
        <f t="shared" si="18"/>
        <v>0.102557766437933</v>
      </c>
      <c r="G319" s="90"/>
      <c r="N319" s="89">
        <v>45021</v>
      </c>
      <c r="O319" s="88">
        <v>90.75</v>
      </c>
      <c r="R319" s="87">
        <f t="shared" si="17"/>
        <v>45020</v>
      </c>
      <c r="S319" s="86">
        <f t="shared" si="19"/>
        <v>90.97</v>
      </c>
      <c r="T319" s="86"/>
    </row>
    <row r="320" spans="1:20" x14ac:dyDescent="0.25">
      <c r="A320" s="89">
        <v>45022</v>
      </c>
      <c r="B320" s="91">
        <v>0.10310130878724599</v>
      </c>
      <c r="E320" s="87">
        <f t="shared" si="16"/>
        <v>45021</v>
      </c>
      <c r="F320" s="90">
        <f t="shared" si="18"/>
        <v>0.103321613734109</v>
      </c>
      <c r="G320" s="90"/>
      <c r="N320" s="89">
        <v>45022</v>
      </c>
      <c r="O320" s="88">
        <v>90.82</v>
      </c>
      <c r="R320" s="87">
        <f t="shared" si="17"/>
        <v>45021</v>
      </c>
      <c r="S320" s="86">
        <f t="shared" si="19"/>
        <v>90.75</v>
      </c>
      <c r="T320" s="86"/>
    </row>
    <row r="321" spans="1:20" x14ac:dyDescent="0.25">
      <c r="A321" s="89">
        <v>45026</v>
      </c>
      <c r="B321" s="91">
        <v>0.103171826299126</v>
      </c>
      <c r="E321" s="87">
        <f t="shared" si="16"/>
        <v>45022</v>
      </c>
      <c r="F321" s="90">
        <f t="shared" si="18"/>
        <v>0.10310130878724599</v>
      </c>
      <c r="G321" s="90"/>
      <c r="N321" s="89">
        <v>45026</v>
      </c>
      <c r="O321" s="88">
        <v>90.82</v>
      </c>
      <c r="R321" s="87">
        <f t="shared" si="17"/>
        <v>45022</v>
      </c>
      <c r="S321" s="86">
        <f t="shared" si="19"/>
        <v>90.82</v>
      </c>
      <c r="T321" s="86"/>
    </row>
    <row r="322" spans="1:20" x14ac:dyDescent="0.25">
      <c r="A322" s="89">
        <v>45027</v>
      </c>
      <c r="B322" s="91">
        <v>0.103325942513722</v>
      </c>
      <c r="E322" s="87">
        <f t="shared" si="16"/>
        <v>45026</v>
      </c>
      <c r="F322" s="90">
        <f t="shared" si="18"/>
        <v>0.103171826299126</v>
      </c>
      <c r="G322" s="90"/>
      <c r="N322" s="89">
        <v>45027</v>
      </c>
      <c r="O322" s="88">
        <v>90.78</v>
      </c>
      <c r="R322" s="87">
        <f t="shared" si="17"/>
        <v>45026</v>
      </c>
      <c r="S322" s="86">
        <f t="shared" si="19"/>
        <v>90.82</v>
      </c>
      <c r="T322" s="86"/>
    </row>
    <row r="323" spans="1:20" x14ac:dyDescent="0.25">
      <c r="A323" s="89">
        <v>45028</v>
      </c>
      <c r="B323" s="91">
        <v>0.10262822549037301</v>
      </c>
      <c r="E323" s="87">
        <f t="shared" si="16"/>
        <v>45027</v>
      </c>
      <c r="F323" s="90">
        <f t="shared" si="18"/>
        <v>0.103325942513722</v>
      </c>
      <c r="G323" s="90"/>
      <c r="N323" s="89">
        <v>45028</v>
      </c>
      <c r="O323" s="88">
        <v>90.99</v>
      </c>
      <c r="R323" s="87">
        <f t="shared" si="17"/>
        <v>45027</v>
      </c>
      <c r="S323" s="86">
        <f t="shared" si="19"/>
        <v>90.78</v>
      </c>
      <c r="T323" s="86"/>
    </row>
    <row r="324" spans="1:20" x14ac:dyDescent="0.25">
      <c r="A324" s="89">
        <v>45029</v>
      </c>
      <c r="B324" s="91">
        <v>0.103259316600537</v>
      </c>
      <c r="E324" s="87">
        <f t="shared" ref="E324:E387" si="20">A323</f>
        <v>45028</v>
      </c>
      <c r="F324" s="90">
        <f t="shared" si="18"/>
        <v>0.10262822549037301</v>
      </c>
      <c r="G324" s="90"/>
      <c r="N324" s="89">
        <v>45029</v>
      </c>
      <c r="O324" s="88">
        <v>90.81</v>
      </c>
      <c r="R324" s="87">
        <f t="shared" ref="R324:R387" si="21">N323</f>
        <v>45028</v>
      </c>
      <c r="S324" s="86">
        <f t="shared" si="19"/>
        <v>90.99</v>
      </c>
      <c r="T324" s="86"/>
    </row>
    <row r="325" spans="1:20" x14ac:dyDescent="0.25">
      <c r="A325" s="89">
        <v>45030</v>
      </c>
      <c r="B325" s="91">
        <v>0.10266321694441499</v>
      </c>
      <c r="E325" s="87">
        <f t="shared" si="20"/>
        <v>45029</v>
      </c>
      <c r="F325" s="90">
        <f t="shared" ref="F325:F388" si="22">B324</f>
        <v>0.103259316600537</v>
      </c>
      <c r="G325" s="90"/>
      <c r="N325" s="89">
        <v>45030</v>
      </c>
      <c r="O325" s="88">
        <v>90.99</v>
      </c>
      <c r="R325" s="87">
        <f t="shared" si="21"/>
        <v>45029</v>
      </c>
      <c r="S325" s="86">
        <f t="shared" ref="S325:S388" si="23">O324</f>
        <v>90.81</v>
      </c>
      <c r="T325" s="86"/>
    </row>
    <row r="326" spans="1:20" x14ac:dyDescent="0.25">
      <c r="A326" s="89">
        <v>45033</v>
      </c>
      <c r="B326" s="91">
        <v>0.102750176466144</v>
      </c>
      <c r="E326" s="87">
        <f t="shared" si="20"/>
        <v>45030</v>
      </c>
      <c r="F326" s="90">
        <f t="shared" si="22"/>
        <v>0.10266321694441499</v>
      </c>
      <c r="G326" s="90"/>
      <c r="N326" s="89">
        <v>45033</v>
      </c>
      <c r="O326" s="88">
        <v>90.98</v>
      </c>
      <c r="R326" s="87">
        <f t="shared" si="21"/>
        <v>45030</v>
      </c>
      <c r="S326" s="86">
        <f t="shared" si="23"/>
        <v>90.99</v>
      </c>
      <c r="T326" s="86"/>
    </row>
    <row r="327" spans="1:20" x14ac:dyDescent="0.25">
      <c r="A327" s="89">
        <v>45034</v>
      </c>
      <c r="B327" s="91">
        <v>0.102767895930769</v>
      </c>
      <c r="E327" s="87">
        <f t="shared" si="20"/>
        <v>45033</v>
      </c>
      <c r="F327" s="90">
        <f t="shared" si="22"/>
        <v>0.102750176466144</v>
      </c>
      <c r="G327" s="90"/>
      <c r="N327" s="89">
        <v>45034</v>
      </c>
      <c r="O327" s="88">
        <v>90.98</v>
      </c>
      <c r="R327" s="87">
        <f t="shared" si="21"/>
        <v>45033</v>
      </c>
      <c r="S327" s="86">
        <f t="shared" si="23"/>
        <v>90.98</v>
      </c>
      <c r="T327" s="86"/>
    </row>
    <row r="328" spans="1:20" x14ac:dyDescent="0.25">
      <c r="A328" s="89">
        <v>45035</v>
      </c>
      <c r="B328" s="91">
        <v>0.102785660719705</v>
      </c>
      <c r="E328" s="87">
        <f t="shared" si="20"/>
        <v>45034</v>
      </c>
      <c r="F328" s="90">
        <f t="shared" si="22"/>
        <v>0.102767895930769</v>
      </c>
      <c r="G328" s="90"/>
      <c r="N328" s="89">
        <v>45035</v>
      </c>
      <c r="O328" s="88">
        <v>90.98</v>
      </c>
      <c r="R328" s="87">
        <f t="shared" si="21"/>
        <v>45034</v>
      </c>
      <c r="S328" s="86">
        <f t="shared" si="23"/>
        <v>90.98</v>
      </c>
      <c r="T328" s="86"/>
    </row>
    <row r="329" spans="1:20" x14ac:dyDescent="0.25">
      <c r="A329" s="89">
        <v>45036</v>
      </c>
      <c r="B329" s="91">
        <v>0.10355703032916899</v>
      </c>
      <c r="E329" s="87">
        <f t="shared" si="20"/>
        <v>45035</v>
      </c>
      <c r="F329" s="90">
        <f t="shared" si="22"/>
        <v>0.102785660719705</v>
      </c>
      <c r="G329" s="90"/>
      <c r="N329" s="89">
        <v>45036</v>
      </c>
      <c r="O329" s="88">
        <v>90.76</v>
      </c>
      <c r="R329" s="87">
        <f t="shared" si="21"/>
        <v>45035</v>
      </c>
      <c r="S329" s="86">
        <f t="shared" si="23"/>
        <v>90.98</v>
      </c>
      <c r="T329" s="86"/>
    </row>
    <row r="330" spans="1:20" x14ac:dyDescent="0.25">
      <c r="A330" s="89">
        <v>45037</v>
      </c>
      <c r="B330" s="91">
        <v>0.10374704100559401</v>
      </c>
      <c r="E330" s="87">
        <f t="shared" si="20"/>
        <v>45036</v>
      </c>
      <c r="F330" s="90">
        <f t="shared" si="22"/>
        <v>0.10355703032916899</v>
      </c>
      <c r="G330" s="90"/>
      <c r="N330" s="89">
        <v>45037</v>
      </c>
      <c r="O330" s="88">
        <v>90.71</v>
      </c>
      <c r="R330" s="87">
        <f t="shared" si="21"/>
        <v>45036</v>
      </c>
      <c r="S330" s="86">
        <f t="shared" si="23"/>
        <v>90.76</v>
      </c>
      <c r="T330" s="86"/>
    </row>
    <row r="331" spans="1:20" x14ac:dyDescent="0.25">
      <c r="A331" s="89">
        <v>45040</v>
      </c>
      <c r="B331" s="91">
        <v>0.10414698915673799</v>
      </c>
      <c r="E331" s="87">
        <f t="shared" si="20"/>
        <v>45037</v>
      </c>
      <c r="F331" s="90">
        <f t="shared" si="22"/>
        <v>0.10374704100559401</v>
      </c>
      <c r="G331" s="90"/>
      <c r="N331" s="89">
        <v>45040</v>
      </c>
      <c r="O331" s="88">
        <v>90.61</v>
      </c>
      <c r="R331" s="87">
        <f t="shared" si="21"/>
        <v>45037</v>
      </c>
      <c r="S331" s="86">
        <f t="shared" si="23"/>
        <v>90.71</v>
      </c>
      <c r="T331" s="86"/>
    </row>
    <row r="332" spans="1:20" x14ac:dyDescent="0.25">
      <c r="A332" s="89">
        <v>45041</v>
      </c>
      <c r="B332" s="91">
        <v>0.10292751911096901</v>
      </c>
      <c r="E332" s="87">
        <f t="shared" si="20"/>
        <v>45040</v>
      </c>
      <c r="F332" s="90">
        <f t="shared" si="22"/>
        <v>0.10414698915673799</v>
      </c>
      <c r="G332" s="90"/>
      <c r="N332" s="89">
        <v>45041</v>
      </c>
      <c r="O332" s="88">
        <v>90.97</v>
      </c>
      <c r="R332" s="87">
        <f t="shared" si="21"/>
        <v>45040</v>
      </c>
      <c r="S332" s="86">
        <f t="shared" si="23"/>
        <v>90.61</v>
      </c>
      <c r="T332" s="86"/>
    </row>
    <row r="333" spans="1:20" x14ac:dyDescent="0.25">
      <c r="A333" s="89">
        <v>45042</v>
      </c>
      <c r="B333" s="91">
        <v>0.102945625837982</v>
      </c>
      <c r="E333" s="87">
        <f t="shared" si="20"/>
        <v>45041</v>
      </c>
      <c r="F333" s="90">
        <f t="shared" si="22"/>
        <v>0.10292751911096901</v>
      </c>
      <c r="G333" s="90"/>
      <c r="N333" s="89">
        <v>45042</v>
      </c>
      <c r="O333" s="88">
        <v>90.97</v>
      </c>
      <c r="R333" s="87">
        <f t="shared" si="21"/>
        <v>45041</v>
      </c>
      <c r="S333" s="86">
        <f t="shared" si="23"/>
        <v>90.97</v>
      </c>
      <c r="T333" s="86"/>
    </row>
    <row r="334" spans="1:20" x14ac:dyDescent="0.25">
      <c r="A334" s="89">
        <v>45043</v>
      </c>
      <c r="B334" s="91">
        <v>0.104203650763592</v>
      </c>
      <c r="E334" s="87">
        <f t="shared" si="20"/>
        <v>45042</v>
      </c>
      <c r="F334" s="90">
        <f t="shared" si="22"/>
        <v>0.102945625837982</v>
      </c>
      <c r="G334" s="90"/>
      <c r="N334" s="89">
        <v>45043</v>
      </c>
      <c r="O334" s="88">
        <v>90.61</v>
      </c>
      <c r="R334" s="87">
        <f t="shared" si="21"/>
        <v>45042</v>
      </c>
      <c r="S334" s="86">
        <f t="shared" si="23"/>
        <v>90.97</v>
      </c>
      <c r="T334" s="86"/>
    </row>
    <row r="335" spans="1:20" x14ac:dyDescent="0.25">
      <c r="A335" s="89">
        <v>45044</v>
      </c>
      <c r="B335" s="91">
        <v>0.104222633482923</v>
      </c>
      <c r="E335" s="87">
        <f t="shared" si="20"/>
        <v>45043</v>
      </c>
      <c r="F335" s="90">
        <f t="shared" si="22"/>
        <v>0.104203650763592</v>
      </c>
      <c r="G335" s="90"/>
      <c r="N335" s="89">
        <v>45044</v>
      </c>
      <c r="O335" s="88">
        <v>90.61</v>
      </c>
      <c r="R335" s="87">
        <f t="shared" si="21"/>
        <v>45043</v>
      </c>
      <c r="S335" s="86">
        <f t="shared" si="23"/>
        <v>90.61</v>
      </c>
      <c r="T335" s="86"/>
    </row>
    <row r="336" spans="1:20" x14ac:dyDescent="0.25">
      <c r="A336" s="89">
        <v>45047</v>
      </c>
      <c r="B336" s="91">
        <v>0.10427986980607001</v>
      </c>
      <c r="E336" s="87">
        <f t="shared" si="20"/>
        <v>45044</v>
      </c>
      <c r="F336" s="90">
        <f t="shared" si="22"/>
        <v>0.104222633482923</v>
      </c>
      <c r="G336" s="90"/>
      <c r="N336" s="89">
        <v>45047</v>
      </c>
      <c r="O336" s="88">
        <v>90.61</v>
      </c>
      <c r="R336" s="87">
        <f t="shared" si="21"/>
        <v>45044</v>
      </c>
      <c r="S336" s="86">
        <f t="shared" si="23"/>
        <v>90.61</v>
      </c>
      <c r="T336" s="86"/>
    </row>
    <row r="337" spans="1:20" x14ac:dyDescent="0.25">
      <c r="A337" s="89">
        <v>45048</v>
      </c>
      <c r="B337" s="91">
        <v>0.104576268094908</v>
      </c>
      <c r="E337" s="87">
        <f t="shared" si="20"/>
        <v>45047</v>
      </c>
      <c r="F337" s="90">
        <f t="shared" si="22"/>
        <v>0.10427986980607001</v>
      </c>
      <c r="G337" s="90"/>
      <c r="N337" s="89">
        <v>45048</v>
      </c>
      <c r="O337" s="88">
        <v>90.53</v>
      </c>
      <c r="R337" s="87">
        <f t="shared" si="21"/>
        <v>45047</v>
      </c>
      <c r="S337" s="86">
        <f t="shared" si="23"/>
        <v>90.61</v>
      </c>
      <c r="T337" s="86"/>
    </row>
    <row r="338" spans="1:20" x14ac:dyDescent="0.25">
      <c r="A338" s="89">
        <v>45049</v>
      </c>
      <c r="B338" s="91">
        <v>0.104630364046499</v>
      </c>
      <c r="E338" s="87">
        <f t="shared" si="20"/>
        <v>45048</v>
      </c>
      <c r="F338" s="90">
        <f t="shared" si="22"/>
        <v>0.104576268094908</v>
      </c>
      <c r="G338" s="90"/>
      <c r="N338" s="89">
        <v>45049</v>
      </c>
      <c r="O338" s="88">
        <v>90.52</v>
      </c>
      <c r="R338" s="87">
        <f t="shared" si="21"/>
        <v>45048</v>
      </c>
      <c r="S338" s="86">
        <f t="shared" si="23"/>
        <v>90.53</v>
      </c>
      <c r="T338" s="86"/>
    </row>
    <row r="339" spans="1:20" x14ac:dyDescent="0.25">
      <c r="A339" s="89">
        <v>45050</v>
      </c>
      <c r="B339" s="91">
        <v>0.10464983492372699</v>
      </c>
      <c r="E339" s="87">
        <f t="shared" si="20"/>
        <v>45049</v>
      </c>
      <c r="F339" s="90">
        <f t="shared" si="22"/>
        <v>0.104630364046499</v>
      </c>
      <c r="G339" s="90"/>
      <c r="N339" s="89">
        <v>45050</v>
      </c>
      <c r="O339" s="88">
        <v>90.52</v>
      </c>
      <c r="R339" s="87">
        <f t="shared" si="21"/>
        <v>45049</v>
      </c>
      <c r="S339" s="86">
        <f t="shared" si="23"/>
        <v>90.52</v>
      </c>
      <c r="T339" s="86"/>
    </row>
    <row r="340" spans="1:20" x14ac:dyDescent="0.25">
      <c r="A340" s="89">
        <v>45051</v>
      </c>
      <c r="B340" s="91">
        <v>0.10463461457108099</v>
      </c>
      <c r="E340" s="87">
        <f t="shared" si="20"/>
        <v>45050</v>
      </c>
      <c r="F340" s="90">
        <f t="shared" si="22"/>
        <v>0.10464983492372699</v>
      </c>
      <c r="G340" s="90"/>
      <c r="N340" s="89">
        <v>45051</v>
      </c>
      <c r="O340" s="88">
        <v>90.53</v>
      </c>
      <c r="R340" s="87">
        <f t="shared" si="21"/>
        <v>45050</v>
      </c>
      <c r="S340" s="86">
        <f t="shared" si="23"/>
        <v>90.52</v>
      </c>
      <c r="T340" s="86"/>
    </row>
    <row r="341" spans="1:20" x14ac:dyDescent="0.25">
      <c r="A341" s="89">
        <v>45054</v>
      </c>
      <c r="B341" s="91">
        <v>0.103547410276534</v>
      </c>
      <c r="E341" s="87">
        <f t="shared" si="20"/>
        <v>45051</v>
      </c>
      <c r="F341" s="90">
        <f t="shared" si="22"/>
        <v>0.10463461457108099</v>
      </c>
      <c r="G341" s="90"/>
      <c r="N341" s="89">
        <v>45054</v>
      </c>
      <c r="O341" s="88">
        <v>90.86</v>
      </c>
      <c r="R341" s="87">
        <f t="shared" si="21"/>
        <v>45051</v>
      </c>
      <c r="S341" s="86">
        <f t="shared" si="23"/>
        <v>90.53</v>
      </c>
      <c r="T341" s="86"/>
    </row>
    <row r="342" spans="1:20" x14ac:dyDescent="0.25">
      <c r="A342" s="89">
        <v>45055</v>
      </c>
      <c r="B342" s="91">
        <v>0.10318526190808999</v>
      </c>
      <c r="E342" s="87">
        <f t="shared" si="20"/>
        <v>45054</v>
      </c>
      <c r="F342" s="90">
        <f t="shared" si="22"/>
        <v>0.103547410276534</v>
      </c>
      <c r="G342" s="90"/>
      <c r="N342" s="89">
        <v>45055</v>
      </c>
      <c r="O342" s="88">
        <v>90.97</v>
      </c>
      <c r="R342" s="87">
        <f t="shared" si="21"/>
        <v>45054</v>
      </c>
      <c r="S342" s="86">
        <f t="shared" si="23"/>
        <v>90.86</v>
      </c>
      <c r="T342" s="86"/>
    </row>
    <row r="343" spans="1:20" x14ac:dyDescent="0.25">
      <c r="A343" s="89">
        <v>45056</v>
      </c>
      <c r="B343" s="91">
        <v>0.10441939045885601</v>
      </c>
      <c r="E343" s="87">
        <f t="shared" si="20"/>
        <v>45055</v>
      </c>
      <c r="F343" s="90">
        <f t="shared" si="22"/>
        <v>0.10318526190808999</v>
      </c>
      <c r="G343" s="90"/>
      <c r="N343" s="89">
        <v>45056</v>
      </c>
      <c r="O343" s="88">
        <v>90.62</v>
      </c>
      <c r="R343" s="87">
        <f t="shared" si="21"/>
        <v>45055</v>
      </c>
      <c r="S343" s="86">
        <f t="shared" si="23"/>
        <v>90.97</v>
      </c>
      <c r="T343" s="86"/>
    </row>
    <row r="344" spans="1:20" x14ac:dyDescent="0.25">
      <c r="A344" s="89">
        <v>45057</v>
      </c>
      <c r="B344" s="91">
        <v>0.10450865105978799</v>
      </c>
      <c r="E344" s="87">
        <f t="shared" si="20"/>
        <v>45056</v>
      </c>
      <c r="F344" s="90">
        <f t="shared" si="22"/>
        <v>0.10441939045885601</v>
      </c>
      <c r="G344" s="90"/>
      <c r="N344" s="89">
        <v>45057</v>
      </c>
      <c r="O344" s="88">
        <v>90.6</v>
      </c>
      <c r="R344" s="87">
        <f t="shared" si="21"/>
        <v>45056</v>
      </c>
      <c r="S344" s="86">
        <f t="shared" si="23"/>
        <v>90.62</v>
      </c>
      <c r="T344" s="86"/>
    </row>
    <row r="345" spans="1:20" x14ac:dyDescent="0.25">
      <c r="A345" s="89">
        <v>45058</v>
      </c>
      <c r="B345" s="91">
        <v>0.104632942367897</v>
      </c>
      <c r="E345" s="87">
        <f t="shared" si="20"/>
        <v>45057</v>
      </c>
      <c r="F345" s="90">
        <f t="shared" si="22"/>
        <v>0.10450865105978799</v>
      </c>
      <c r="G345" s="90"/>
      <c r="N345" s="89">
        <v>45058</v>
      </c>
      <c r="O345" s="88">
        <v>90.57</v>
      </c>
      <c r="R345" s="87">
        <f t="shared" si="21"/>
        <v>45057</v>
      </c>
      <c r="S345" s="86">
        <f t="shared" si="23"/>
        <v>90.6</v>
      </c>
      <c r="T345" s="86"/>
    </row>
    <row r="346" spans="1:20" x14ac:dyDescent="0.25">
      <c r="A346" s="89">
        <v>45061</v>
      </c>
      <c r="B346" s="91">
        <v>0.104762399339296</v>
      </c>
      <c r="E346" s="87">
        <f t="shared" si="20"/>
        <v>45058</v>
      </c>
      <c r="F346" s="90">
        <f t="shared" si="22"/>
        <v>0.104632942367897</v>
      </c>
      <c r="G346" s="90"/>
      <c r="N346" s="89">
        <v>45061</v>
      </c>
      <c r="O346" s="88">
        <v>90.55</v>
      </c>
      <c r="R346" s="87">
        <f t="shared" si="21"/>
        <v>45058</v>
      </c>
      <c r="S346" s="86">
        <f t="shared" si="23"/>
        <v>90.57</v>
      </c>
      <c r="T346" s="86"/>
    </row>
    <row r="347" spans="1:20" x14ac:dyDescent="0.25">
      <c r="A347" s="89">
        <v>45062</v>
      </c>
      <c r="B347" s="91">
        <v>0.10471245876947499</v>
      </c>
      <c r="E347" s="87">
        <f t="shared" si="20"/>
        <v>45061</v>
      </c>
      <c r="F347" s="90">
        <f t="shared" si="22"/>
        <v>0.104762399339296</v>
      </c>
      <c r="G347" s="90"/>
      <c r="N347" s="89">
        <v>45062</v>
      </c>
      <c r="O347" s="88">
        <v>90.57</v>
      </c>
      <c r="R347" s="87">
        <f t="shared" si="21"/>
        <v>45061</v>
      </c>
      <c r="S347" s="86">
        <f t="shared" si="23"/>
        <v>90.55</v>
      </c>
      <c r="T347" s="86"/>
    </row>
    <row r="348" spans="1:20" x14ac:dyDescent="0.25">
      <c r="A348" s="89">
        <v>45063</v>
      </c>
      <c r="B348" s="91">
        <v>0.104977494445604</v>
      </c>
      <c r="E348" s="87">
        <f t="shared" si="20"/>
        <v>45062</v>
      </c>
      <c r="F348" s="90">
        <f t="shared" si="22"/>
        <v>0.10471245876947499</v>
      </c>
      <c r="G348" s="90"/>
      <c r="N348" s="89">
        <v>45063</v>
      </c>
      <c r="O348" s="88">
        <v>90.5</v>
      </c>
      <c r="R348" s="87">
        <f t="shared" si="21"/>
        <v>45062</v>
      </c>
      <c r="S348" s="86">
        <f t="shared" si="23"/>
        <v>90.57</v>
      </c>
      <c r="T348" s="86"/>
    </row>
    <row r="349" spans="1:20" x14ac:dyDescent="0.25">
      <c r="A349" s="89">
        <v>45064</v>
      </c>
      <c r="B349" s="91">
        <v>0.104997708129429</v>
      </c>
      <c r="E349" s="87">
        <f t="shared" si="20"/>
        <v>45063</v>
      </c>
      <c r="F349" s="90">
        <f t="shared" si="22"/>
        <v>0.104977494445604</v>
      </c>
      <c r="G349" s="90"/>
      <c r="N349" s="89">
        <v>45064</v>
      </c>
      <c r="O349" s="88">
        <v>90.5</v>
      </c>
      <c r="R349" s="87">
        <f t="shared" si="21"/>
        <v>45063</v>
      </c>
      <c r="S349" s="86">
        <f t="shared" si="23"/>
        <v>90.5</v>
      </c>
      <c r="T349" s="86"/>
    </row>
    <row r="350" spans="1:20" x14ac:dyDescent="0.25">
      <c r="A350" s="89">
        <v>45065</v>
      </c>
      <c r="B350" s="91">
        <v>0.10501797263688201</v>
      </c>
      <c r="E350" s="87">
        <f t="shared" si="20"/>
        <v>45064</v>
      </c>
      <c r="F350" s="90">
        <f t="shared" si="22"/>
        <v>0.104997708129429</v>
      </c>
      <c r="G350" s="90"/>
      <c r="N350" s="89">
        <v>45065</v>
      </c>
      <c r="O350" s="88">
        <v>90.5</v>
      </c>
      <c r="R350" s="87">
        <f t="shared" si="21"/>
        <v>45064</v>
      </c>
      <c r="S350" s="86">
        <f t="shared" si="23"/>
        <v>90.5</v>
      </c>
      <c r="T350" s="86"/>
    </row>
    <row r="351" spans="1:20" x14ac:dyDescent="0.25">
      <c r="A351" s="89">
        <v>45068</v>
      </c>
      <c r="B351" s="91">
        <v>0.10441236507901501</v>
      </c>
      <c r="E351" s="87">
        <f t="shared" si="20"/>
        <v>45065</v>
      </c>
      <c r="F351" s="90">
        <f t="shared" si="22"/>
        <v>0.10501797263688201</v>
      </c>
      <c r="G351" s="90"/>
      <c r="N351" s="89">
        <v>45068</v>
      </c>
      <c r="O351" s="88">
        <v>90.69</v>
      </c>
      <c r="R351" s="87">
        <f t="shared" si="21"/>
        <v>45065</v>
      </c>
      <c r="S351" s="86">
        <f t="shared" si="23"/>
        <v>90.5</v>
      </c>
      <c r="T351" s="86"/>
    </row>
    <row r="352" spans="1:20" x14ac:dyDescent="0.25">
      <c r="A352" s="89">
        <v>45069</v>
      </c>
      <c r="B352" s="91">
        <v>0.104432399232191</v>
      </c>
      <c r="E352" s="87">
        <f t="shared" si="20"/>
        <v>45068</v>
      </c>
      <c r="F352" s="90">
        <f t="shared" si="22"/>
        <v>0.10441236507901501</v>
      </c>
      <c r="G352" s="90"/>
      <c r="N352" s="89">
        <v>45069</v>
      </c>
      <c r="O352" s="88">
        <v>90.69</v>
      </c>
      <c r="R352" s="87">
        <f t="shared" si="21"/>
        <v>45068</v>
      </c>
      <c r="S352" s="86">
        <f t="shared" si="23"/>
        <v>90.69</v>
      </c>
      <c r="T352" s="86"/>
    </row>
    <row r="353" spans="1:20" x14ac:dyDescent="0.25">
      <c r="A353" s="89">
        <v>45070</v>
      </c>
      <c r="B353" s="91">
        <v>0.104452483998674</v>
      </c>
      <c r="E353" s="87">
        <f t="shared" si="20"/>
        <v>45069</v>
      </c>
      <c r="F353" s="90">
        <f t="shared" si="22"/>
        <v>0.104432399232191</v>
      </c>
      <c r="G353" s="90"/>
      <c r="N353" s="89">
        <v>45070</v>
      </c>
      <c r="O353" s="88">
        <v>90.69</v>
      </c>
      <c r="R353" s="87">
        <f t="shared" si="21"/>
        <v>45069</v>
      </c>
      <c r="S353" s="86">
        <f t="shared" si="23"/>
        <v>90.69</v>
      </c>
      <c r="T353" s="86"/>
    </row>
    <row r="354" spans="1:20" x14ac:dyDescent="0.25">
      <c r="A354" s="89">
        <v>45071</v>
      </c>
      <c r="B354" s="91">
        <v>0.10408665770193901</v>
      </c>
      <c r="E354" s="87">
        <f t="shared" si="20"/>
        <v>45070</v>
      </c>
      <c r="F354" s="90">
        <f t="shared" si="22"/>
        <v>0.104452483998674</v>
      </c>
      <c r="G354" s="90"/>
      <c r="N354" s="89">
        <v>45071</v>
      </c>
      <c r="O354" s="88">
        <v>90.8</v>
      </c>
      <c r="R354" s="87">
        <f t="shared" si="21"/>
        <v>45070</v>
      </c>
      <c r="S354" s="86">
        <f t="shared" si="23"/>
        <v>90.69</v>
      </c>
      <c r="T354" s="86"/>
    </row>
    <row r="355" spans="1:20" x14ac:dyDescent="0.25">
      <c r="A355" s="89">
        <v>45072</v>
      </c>
      <c r="B355" s="91">
        <v>0.104492805873383</v>
      </c>
      <c r="E355" s="87">
        <f t="shared" si="20"/>
        <v>45071</v>
      </c>
      <c r="F355" s="90">
        <f t="shared" si="22"/>
        <v>0.10408665770193901</v>
      </c>
      <c r="G355" s="90"/>
      <c r="N355" s="89">
        <v>45072</v>
      </c>
      <c r="O355" s="88">
        <v>90.69</v>
      </c>
      <c r="R355" s="87">
        <f t="shared" si="21"/>
        <v>45071</v>
      </c>
      <c r="S355" s="86">
        <f t="shared" si="23"/>
        <v>90.8</v>
      </c>
      <c r="T355" s="86"/>
    </row>
    <row r="356" spans="1:20" x14ac:dyDescent="0.25">
      <c r="A356" s="89">
        <v>45076</v>
      </c>
      <c r="B356" s="91">
        <v>0.10369482433764</v>
      </c>
      <c r="E356" s="87">
        <f t="shared" si="20"/>
        <v>45072</v>
      </c>
      <c r="F356" s="90">
        <f t="shared" si="22"/>
        <v>0.104492805873383</v>
      </c>
      <c r="G356" s="90"/>
      <c r="N356" s="89">
        <v>45076</v>
      </c>
      <c r="O356" s="88">
        <v>90.94</v>
      </c>
      <c r="R356" s="87">
        <f t="shared" si="21"/>
        <v>45072</v>
      </c>
      <c r="S356" s="86">
        <f t="shared" si="23"/>
        <v>90.69</v>
      </c>
      <c r="T356" s="86"/>
    </row>
    <row r="357" spans="1:20" x14ac:dyDescent="0.25">
      <c r="A357" s="89">
        <v>45077</v>
      </c>
      <c r="B357" s="91">
        <v>0.10605616900821201</v>
      </c>
      <c r="E357" s="87">
        <f t="shared" si="20"/>
        <v>45076</v>
      </c>
      <c r="F357" s="90">
        <f t="shared" si="22"/>
        <v>0.10369482433764</v>
      </c>
      <c r="G357" s="90"/>
      <c r="N357" s="89">
        <v>45077</v>
      </c>
      <c r="O357" s="88">
        <v>90.25</v>
      </c>
      <c r="R357" s="87">
        <f t="shared" si="21"/>
        <v>45076</v>
      </c>
      <c r="S357" s="86">
        <f t="shared" si="23"/>
        <v>90.94</v>
      </c>
      <c r="T357" s="86"/>
    </row>
    <row r="358" spans="1:20" x14ac:dyDescent="0.25">
      <c r="A358" s="89">
        <v>45078</v>
      </c>
      <c r="B358" s="91">
        <v>0.106150228100551</v>
      </c>
      <c r="E358" s="87">
        <f t="shared" si="20"/>
        <v>45077</v>
      </c>
      <c r="F358" s="90">
        <f t="shared" si="22"/>
        <v>0.10605616900821201</v>
      </c>
      <c r="G358" s="90"/>
      <c r="N358" s="89">
        <v>45078</v>
      </c>
      <c r="O358" s="88">
        <v>90.25</v>
      </c>
      <c r="R358" s="87">
        <f t="shared" si="21"/>
        <v>45077</v>
      </c>
      <c r="S358" s="86">
        <f t="shared" si="23"/>
        <v>90.25</v>
      </c>
      <c r="T358" s="86"/>
    </row>
    <row r="359" spans="1:20" x14ac:dyDescent="0.25">
      <c r="A359" s="89">
        <v>45079</v>
      </c>
      <c r="B359" s="91">
        <v>0.106171749011546</v>
      </c>
      <c r="E359" s="87">
        <f t="shared" si="20"/>
        <v>45078</v>
      </c>
      <c r="F359" s="90">
        <f t="shared" si="22"/>
        <v>0.106150228100551</v>
      </c>
      <c r="G359" s="90"/>
      <c r="N359" s="89">
        <v>45079</v>
      </c>
      <c r="O359" s="88">
        <v>90.25</v>
      </c>
      <c r="R359" s="87">
        <f t="shared" si="21"/>
        <v>45078</v>
      </c>
      <c r="S359" s="86">
        <f t="shared" si="23"/>
        <v>90.25</v>
      </c>
      <c r="T359" s="86"/>
    </row>
    <row r="360" spans="1:20" x14ac:dyDescent="0.25">
      <c r="A360" s="89">
        <v>45082</v>
      </c>
      <c r="B360" s="91">
        <v>0.107127068533483</v>
      </c>
      <c r="E360" s="87">
        <f t="shared" si="20"/>
        <v>45079</v>
      </c>
      <c r="F360" s="90">
        <f t="shared" si="22"/>
        <v>0.106171749011546</v>
      </c>
      <c r="G360" s="90"/>
      <c r="N360" s="89">
        <v>45082</v>
      </c>
      <c r="O360" s="88">
        <v>90</v>
      </c>
      <c r="R360" s="87">
        <f t="shared" si="21"/>
        <v>45079</v>
      </c>
      <c r="S360" s="86">
        <f t="shared" si="23"/>
        <v>90.25</v>
      </c>
      <c r="T360" s="86"/>
    </row>
    <row r="361" spans="1:20" x14ac:dyDescent="0.25">
      <c r="A361" s="89">
        <v>45083</v>
      </c>
      <c r="B361" s="91">
        <v>0.107149396082831</v>
      </c>
      <c r="E361" s="87">
        <f t="shared" si="20"/>
        <v>45082</v>
      </c>
      <c r="F361" s="90">
        <f t="shared" si="22"/>
        <v>0.107127068533483</v>
      </c>
      <c r="G361" s="90"/>
      <c r="N361" s="89">
        <v>45083</v>
      </c>
      <c r="O361" s="88">
        <v>90</v>
      </c>
      <c r="R361" s="87">
        <f t="shared" si="21"/>
        <v>45082</v>
      </c>
      <c r="S361" s="86">
        <f t="shared" si="23"/>
        <v>90</v>
      </c>
      <c r="T361" s="86"/>
    </row>
    <row r="362" spans="1:20" x14ac:dyDescent="0.25">
      <c r="A362" s="89">
        <v>45084</v>
      </c>
      <c r="B362" s="91">
        <v>0.107171779088871</v>
      </c>
      <c r="E362" s="87">
        <f t="shared" si="20"/>
        <v>45083</v>
      </c>
      <c r="F362" s="90">
        <f t="shared" si="22"/>
        <v>0.107149396082831</v>
      </c>
      <c r="G362" s="90"/>
      <c r="N362" s="89">
        <v>45084</v>
      </c>
      <c r="O362" s="88">
        <v>90</v>
      </c>
      <c r="R362" s="87">
        <f t="shared" si="21"/>
        <v>45083</v>
      </c>
      <c r="S362" s="86">
        <f t="shared" si="23"/>
        <v>90</v>
      </c>
      <c r="T362" s="86"/>
    </row>
    <row r="363" spans="1:20" x14ac:dyDescent="0.25">
      <c r="A363" s="89">
        <v>45085</v>
      </c>
      <c r="B363" s="91">
        <v>0.10541282414886301</v>
      </c>
      <c r="E363" s="87">
        <f t="shared" si="20"/>
        <v>45084</v>
      </c>
      <c r="F363" s="90">
        <f t="shared" si="22"/>
        <v>0.107171779088871</v>
      </c>
      <c r="G363" s="90"/>
      <c r="N363" s="89">
        <v>45085</v>
      </c>
      <c r="O363" s="88">
        <v>90.5</v>
      </c>
      <c r="R363" s="87">
        <f t="shared" si="21"/>
        <v>45084</v>
      </c>
      <c r="S363" s="86">
        <f t="shared" si="23"/>
        <v>90</v>
      </c>
      <c r="T363" s="86"/>
    </row>
    <row r="364" spans="1:20" x14ac:dyDescent="0.25">
      <c r="A364" s="89">
        <v>45086</v>
      </c>
      <c r="B364" s="91">
        <v>0.10278278055710199</v>
      </c>
      <c r="E364" s="87">
        <f t="shared" si="20"/>
        <v>45085</v>
      </c>
      <c r="F364" s="90">
        <f t="shared" si="22"/>
        <v>0.10541282414886301</v>
      </c>
      <c r="G364" s="90"/>
      <c r="N364" s="89">
        <v>45086</v>
      </c>
      <c r="O364" s="88">
        <v>91.25</v>
      </c>
      <c r="R364" s="87">
        <f t="shared" si="21"/>
        <v>45085</v>
      </c>
      <c r="S364" s="86">
        <f t="shared" si="23"/>
        <v>90.5</v>
      </c>
      <c r="T364" s="86"/>
    </row>
    <row r="365" spans="1:20" x14ac:dyDescent="0.25">
      <c r="A365" s="89">
        <v>45089</v>
      </c>
      <c r="B365" s="91">
        <v>0.10372428454851701</v>
      </c>
      <c r="E365" s="87">
        <f t="shared" si="20"/>
        <v>45086</v>
      </c>
      <c r="F365" s="90">
        <f t="shared" si="22"/>
        <v>0.10278278055710199</v>
      </c>
      <c r="G365" s="90"/>
      <c r="N365" s="89">
        <v>45089</v>
      </c>
      <c r="O365" s="88">
        <v>91</v>
      </c>
      <c r="R365" s="87">
        <f t="shared" si="21"/>
        <v>45086</v>
      </c>
      <c r="S365" s="86">
        <f t="shared" si="23"/>
        <v>91.25</v>
      </c>
      <c r="T365" s="86"/>
    </row>
    <row r="366" spans="1:20" x14ac:dyDescent="0.25">
      <c r="A366" s="89">
        <v>45090</v>
      </c>
      <c r="B366" s="91">
        <v>0.10155980821270801</v>
      </c>
      <c r="E366" s="87">
        <f t="shared" si="20"/>
        <v>45089</v>
      </c>
      <c r="F366" s="90">
        <f t="shared" si="22"/>
        <v>0.10372428454851701</v>
      </c>
      <c r="G366" s="90"/>
      <c r="N366" s="89">
        <v>45090</v>
      </c>
      <c r="O366" s="88">
        <v>91.62</v>
      </c>
      <c r="R366" s="87">
        <f t="shared" si="21"/>
        <v>45089</v>
      </c>
      <c r="S366" s="86">
        <f t="shared" si="23"/>
        <v>91</v>
      </c>
      <c r="T366" s="86"/>
    </row>
    <row r="367" spans="1:20" x14ac:dyDescent="0.25">
      <c r="A367" s="89">
        <v>45091</v>
      </c>
      <c r="B367" s="91">
        <v>0.10112261888298001</v>
      </c>
      <c r="E367" s="87">
        <f t="shared" si="20"/>
        <v>45090</v>
      </c>
      <c r="F367" s="90">
        <f t="shared" si="22"/>
        <v>0.10155980821270801</v>
      </c>
      <c r="G367" s="90"/>
      <c r="N367" s="89">
        <v>45091</v>
      </c>
      <c r="O367" s="88">
        <v>91.75</v>
      </c>
      <c r="R367" s="87">
        <f t="shared" si="21"/>
        <v>45090</v>
      </c>
      <c r="S367" s="86">
        <f t="shared" si="23"/>
        <v>91.62</v>
      </c>
      <c r="T367" s="86"/>
    </row>
    <row r="368" spans="1:20" x14ac:dyDescent="0.25">
      <c r="A368" s="89">
        <v>45092</v>
      </c>
      <c r="B368" s="91">
        <v>0.10556310877236699</v>
      </c>
      <c r="E368" s="87">
        <f t="shared" si="20"/>
        <v>45091</v>
      </c>
      <c r="F368" s="90">
        <f t="shared" si="22"/>
        <v>0.10112261888298001</v>
      </c>
      <c r="G368" s="90"/>
      <c r="N368" s="89">
        <v>45092</v>
      </c>
      <c r="O368" s="88">
        <v>90.5</v>
      </c>
      <c r="R368" s="87">
        <f t="shared" si="21"/>
        <v>45091</v>
      </c>
      <c r="S368" s="86">
        <f t="shared" si="23"/>
        <v>91.75</v>
      </c>
      <c r="T368" s="86"/>
    </row>
    <row r="369" spans="1:20" x14ac:dyDescent="0.25">
      <c r="A369" s="89">
        <v>45093</v>
      </c>
      <c r="B369" s="91">
        <v>0.10558479438484999</v>
      </c>
      <c r="E369" s="87">
        <f t="shared" si="20"/>
        <v>45092</v>
      </c>
      <c r="F369" s="90">
        <f t="shared" si="22"/>
        <v>0.10556310877236699</v>
      </c>
      <c r="G369" s="90"/>
      <c r="N369" s="89">
        <v>45093</v>
      </c>
      <c r="O369" s="88">
        <v>90.5</v>
      </c>
      <c r="R369" s="87">
        <f t="shared" si="21"/>
        <v>45092</v>
      </c>
      <c r="S369" s="86">
        <f t="shared" si="23"/>
        <v>90.5</v>
      </c>
      <c r="T369" s="86"/>
    </row>
    <row r="370" spans="1:20" x14ac:dyDescent="0.25">
      <c r="A370" s="89">
        <v>45097</v>
      </c>
      <c r="B370" s="91">
        <v>0.10123535243282999</v>
      </c>
      <c r="E370" s="87">
        <f t="shared" si="20"/>
        <v>45093</v>
      </c>
      <c r="F370" s="90">
        <f t="shared" si="22"/>
        <v>0.10558479438484999</v>
      </c>
      <c r="G370" s="90"/>
      <c r="N370" s="89">
        <v>45097</v>
      </c>
      <c r="O370" s="88">
        <v>91.75</v>
      </c>
      <c r="R370" s="87">
        <f t="shared" si="21"/>
        <v>45093</v>
      </c>
      <c r="S370" s="86">
        <f t="shared" si="23"/>
        <v>90.5</v>
      </c>
      <c r="T370" s="86"/>
    </row>
    <row r="371" spans="1:20" x14ac:dyDescent="0.25">
      <c r="A371" s="89">
        <v>45098</v>
      </c>
      <c r="B371" s="91">
        <v>0.101254312755583</v>
      </c>
      <c r="E371" s="87">
        <f t="shared" si="20"/>
        <v>45097</v>
      </c>
      <c r="F371" s="90">
        <f t="shared" si="22"/>
        <v>0.10123535243282999</v>
      </c>
      <c r="G371" s="90"/>
      <c r="N371" s="89">
        <v>45098</v>
      </c>
      <c r="O371" s="88">
        <v>91.75</v>
      </c>
      <c r="R371" s="87">
        <f t="shared" si="21"/>
        <v>45097</v>
      </c>
      <c r="S371" s="86">
        <f t="shared" si="23"/>
        <v>91.75</v>
      </c>
      <c r="T371" s="86"/>
    </row>
    <row r="372" spans="1:20" x14ac:dyDescent="0.25">
      <c r="A372" s="89">
        <v>45099</v>
      </c>
      <c r="B372" s="91">
        <v>0.10085072719718599</v>
      </c>
      <c r="E372" s="87">
        <f t="shared" si="20"/>
        <v>45098</v>
      </c>
      <c r="F372" s="90">
        <f t="shared" si="22"/>
        <v>0.101254312755583</v>
      </c>
      <c r="G372" s="90"/>
      <c r="N372" s="89">
        <v>45099</v>
      </c>
      <c r="O372" s="88">
        <v>91.87</v>
      </c>
      <c r="R372" s="87">
        <f t="shared" si="21"/>
        <v>45098</v>
      </c>
      <c r="S372" s="86">
        <f t="shared" si="23"/>
        <v>91.75</v>
      </c>
      <c r="T372" s="86"/>
    </row>
    <row r="373" spans="1:20" x14ac:dyDescent="0.25">
      <c r="A373" s="89">
        <v>45100</v>
      </c>
      <c r="B373" s="91">
        <v>0.10086949999412999</v>
      </c>
      <c r="E373" s="87">
        <f t="shared" si="20"/>
        <v>45099</v>
      </c>
      <c r="F373" s="90">
        <f t="shared" si="22"/>
        <v>0.10085072719718599</v>
      </c>
      <c r="G373" s="90"/>
      <c r="N373" s="89">
        <v>45100</v>
      </c>
      <c r="O373" s="88">
        <v>91.87</v>
      </c>
      <c r="R373" s="87">
        <f t="shared" si="21"/>
        <v>45099</v>
      </c>
      <c r="S373" s="86">
        <f t="shared" si="23"/>
        <v>91.87</v>
      </c>
      <c r="T373" s="86"/>
    </row>
    <row r="374" spans="1:20" x14ac:dyDescent="0.25">
      <c r="A374" s="89">
        <v>45103</v>
      </c>
      <c r="B374" s="91">
        <v>0.10092611282384199</v>
      </c>
      <c r="E374" s="87">
        <f t="shared" si="20"/>
        <v>45100</v>
      </c>
      <c r="F374" s="90">
        <f t="shared" si="22"/>
        <v>0.10086949999412999</v>
      </c>
      <c r="G374" s="90"/>
      <c r="N374" s="89">
        <v>45103</v>
      </c>
      <c r="O374" s="88">
        <v>91.87</v>
      </c>
      <c r="R374" s="87">
        <f t="shared" si="21"/>
        <v>45100</v>
      </c>
      <c r="S374" s="86">
        <f t="shared" si="23"/>
        <v>91.87</v>
      </c>
      <c r="T374" s="86"/>
    </row>
    <row r="375" spans="1:20" x14ac:dyDescent="0.25">
      <c r="A375" s="89">
        <v>45104</v>
      </c>
      <c r="B375" s="91">
        <v>0.100945082329696</v>
      </c>
      <c r="E375" s="87">
        <f t="shared" si="20"/>
        <v>45103</v>
      </c>
      <c r="F375" s="90">
        <f t="shared" si="22"/>
        <v>0.10092611282384199</v>
      </c>
      <c r="G375" s="90"/>
      <c r="N375" s="89">
        <v>45104</v>
      </c>
      <c r="O375" s="88">
        <v>91.87</v>
      </c>
      <c r="R375" s="87">
        <f t="shared" si="21"/>
        <v>45103</v>
      </c>
      <c r="S375" s="86">
        <f t="shared" si="23"/>
        <v>91.87</v>
      </c>
      <c r="T375" s="86"/>
    </row>
    <row r="376" spans="1:20" x14ac:dyDescent="0.25">
      <c r="A376" s="89">
        <v>45105</v>
      </c>
      <c r="B376" s="91">
        <v>0.104951111612108</v>
      </c>
      <c r="E376" s="87">
        <f t="shared" si="20"/>
        <v>45104</v>
      </c>
      <c r="F376" s="90">
        <f t="shared" si="22"/>
        <v>0.100945082329696</v>
      </c>
      <c r="G376" s="90"/>
      <c r="N376" s="89">
        <v>45105</v>
      </c>
      <c r="O376" s="88">
        <v>90.75</v>
      </c>
      <c r="R376" s="87">
        <f t="shared" si="21"/>
        <v>45104</v>
      </c>
      <c r="S376" s="86">
        <f t="shared" si="23"/>
        <v>91.87</v>
      </c>
      <c r="T376" s="86"/>
    </row>
    <row r="377" spans="1:20" x14ac:dyDescent="0.25">
      <c r="A377" s="89">
        <v>45106</v>
      </c>
      <c r="B377" s="91">
        <v>0.10497290300685901</v>
      </c>
      <c r="E377" s="87">
        <f t="shared" si="20"/>
        <v>45105</v>
      </c>
      <c r="F377" s="90">
        <f t="shared" si="22"/>
        <v>0.104951111612108</v>
      </c>
      <c r="G377" s="90"/>
      <c r="N377" s="89">
        <v>45106</v>
      </c>
      <c r="O377" s="88">
        <v>90.75</v>
      </c>
      <c r="R377" s="87">
        <f t="shared" si="21"/>
        <v>45105</v>
      </c>
      <c r="S377" s="86">
        <f t="shared" si="23"/>
        <v>90.75</v>
      </c>
      <c r="T377" s="86"/>
    </row>
    <row r="378" spans="1:20" x14ac:dyDescent="0.25">
      <c r="A378" s="89">
        <v>45107</v>
      </c>
      <c r="B378" s="91">
        <v>0.10231459274433</v>
      </c>
      <c r="E378" s="87">
        <f t="shared" si="20"/>
        <v>45106</v>
      </c>
      <c r="F378" s="90">
        <f t="shared" si="22"/>
        <v>0.10497290300685901</v>
      </c>
      <c r="G378" s="90"/>
      <c r="N378" s="89">
        <v>45107</v>
      </c>
      <c r="O378" s="88">
        <v>91.5</v>
      </c>
      <c r="R378" s="87">
        <f t="shared" si="21"/>
        <v>45106</v>
      </c>
      <c r="S378" s="86">
        <f t="shared" si="23"/>
        <v>90.75</v>
      </c>
      <c r="T378" s="86"/>
    </row>
    <row r="379" spans="1:20" x14ac:dyDescent="0.25">
      <c r="A379" s="89">
        <v>45110</v>
      </c>
      <c r="B379" s="91">
        <v>0.105060621293752</v>
      </c>
      <c r="E379" s="87">
        <f t="shared" si="20"/>
        <v>45107</v>
      </c>
      <c r="F379" s="90">
        <f t="shared" si="22"/>
        <v>0.10231459274433</v>
      </c>
      <c r="G379" s="90"/>
      <c r="N379" s="89">
        <v>45110</v>
      </c>
      <c r="O379" s="88">
        <v>90.75</v>
      </c>
      <c r="R379" s="87">
        <f t="shared" si="21"/>
        <v>45107</v>
      </c>
      <c r="S379" s="86">
        <f t="shared" si="23"/>
        <v>91.5</v>
      </c>
      <c r="T379" s="86"/>
    </row>
    <row r="380" spans="1:20" x14ac:dyDescent="0.25">
      <c r="A380" s="89">
        <v>45112</v>
      </c>
      <c r="B380" s="91">
        <v>0.101987654833208</v>
      </c>
      <c r="E380" s="87">
        <f t="shared" si="20"/>
        <v>45110</v>
      </c>
      <c r="F380" s="90">
        <f t="shared" si="22"/>
        <v>0.105060621293752</v>
      </c>
      <c r="G380" s="90"/>
      <c r="N380" s="89">
        <v>45112</v>
      </c>
      <c r="O380" s="88">
        <v>91.62</v>
      </c>
      <c r="R380" s="87">
        <f t="shared" si="21"/>
        <v>45110</v>
      </c>
      <c r="S380" s="86">
        <f t="shared" si="23"/>
        <v>90.75</v>
      </c>
      <c r="T380" s="86"/>
    </row>
    <row r="381" spans="1:20" x14ac:dyDescent="0.25">
      <c r="A381" s="89">
        <v>45113</v>
      </c>
      <c r="B381" s="91">
        <v>0.10243577065698099</v>
      </c>
      <c r="E381" s="87">
        <f t="shared" si="20"/>
        <v>45112</v>
      </c>
      <c r="F381" s="90">
        <f t="shared" si="22"/>
        <v>0.101987654833208</v>
      </c>
      <c r="G381" s="90"/>
      <c r="N381" s="89">
        <v>45113</v>
      </c>
      <c r="O381" s="88">
        <v>91.5</v>
      </c>
      <c r="R381" s="87">
        <f t="shared" si="21"/>
        <v>45112</v>
      </c>
      <c r="S381" s="86">
        <f t="shared" si="23"/>
        <v>91.62</v>
      </c>
      <c r="T381" s="86"/>
    </row>
    <row r="382" spans="1:20" x14ac:dyDescent="0.25">
      <c r="A382" s="89">
        <v>45114</v>
      </c>
      <c r="B382" s="91">
        <v>0.103350824425072</v>
      </c>
      <c r="E382" s="87">
        <f t="shared" si="20"/>
        <v>45113</v>
      </c>
      <c r="F382" s="90">
        <f t="shared" si="22"/>
        <v>0.10243577065698099</v>
      </c>
      <c r="G382" s="90"/>
      <c r="N382" s="89">
        <v>45114</v>
      </c>
      <c r="O382" s="88">
        <v>91.25</v>
      </c>
      <c r="R382" s="87">
        <f t="shared" si="21"/>
        <v>45113</v>
      </c>
      <c r="S382" s="86">
        <f t="shared" si="23"/>
        <v>91.5</v>
      </c>
      <c r="T382" s="86"/>
    </row>
    <row r="383" spans="1:20" x14ac:dyDescent="0.25">
      <c r="A383" s="89">
        <v>45117</v>
      </c>
      <c r="B383" s="91">
        <v>0.10521627831117501</v>
      </c>
      <c r="E383" s="87">
        <f t="shared" si="20"/>
        <v>45114</v>
      </c>
      <c r="F383" s="90">
        <f t="shared" si="22"/>
        <v>0.103350824425072</v>
      </c>
      <c r="G383" s="90"/>
      <c r="N383" s="89">
        <v>45117</v>
      </c>
      <c r="O383" s="88">
        <v>90.75</v>
      </c>
      <c r="R383" s="87">
        <f t="shared" si="21"/>
        <v>45114</v>
      </c>
      <c r="S383" s="86">
        <f t="shared" si="23"/>
        <v>91.25</v>
      </c>
      <c r="T383" s="86"/>
    </row>
    <row r="384" spans="1:20" x14ac:dyDescent="0.25">
      <c r="A384" s="89">
        <v>45118</v>
      </c>
      <c r="B384" s="91">
        <v>0.10523874072876101</v>
      </c>
      <c r="E384" s="87">
        <f t="shared" si="20"/>
        <v>45117</v>
      </c>
      <c r="F384" s="90">
        <f t="shared" si="22"/>
        <v>0.10521627831117501</v>
      </c>
      <c r="G384" s="90"/>
      <c r="N384" s="89">
        <v>45118</v>
      </c>
      <c r="O384" s="88">
        <v>90.75</v>
      </c>
      <c r="R384" s="87">
        <f t="shared" si="21"/>
        <v>45117</v>
      </c>
      <c r="S384" s="86">
        <f t="shared" si="23"/>
        <v>90.75</v>
      </c>
      <c r="T384" s="86"/>
    </row>
    <row r="385" spans="1:20" x14ac:dyDescent="0.25">
      <c r="A385" s="89">
        <v>45119</v>
      </c>
      <c r="B385" s="91">
        <v>0.103025304699268</v>
      </c>
      <c r="E385" s="87">
        <f t="shared" si="20"/>
        <v>45118</v>
      </c>
      <c r="F385" s="90">
        <f t="shared" si="22"/>
        <v>0.10523874072876101</v>
      </c>
      <c r="G385" s="90"/>
      <c r="N385" s="89">
        <v>45119</v>
      </c>
      <c r="O385" s="88">
        <v>91.37</v>
      </c>
      <c r="R385" s="87">
        <f t="shared" si="21"/>
        <v>45118</v>
      </c>
      <c r="S385" s="86">
        <f t="shared" si="23"/>
        <v>90.75</v>
      </c>
      <c r="T385" s="86"/>
    </row>
    <row r="386" spans="1:20" x14ac:dyDescent="0.25">
      <c r="A386" s="89">
        <v>45120</v>
      </c>
      <c r="B386" s="91">
        <v>0.104379363116738</v>
      </c>
      <c r="E386" s="87">
        <f t="shared" si="20"/>
        <v>45119</v>
      </c>
      <c r="F386" s="90">
        <f t="shared" si="22"/>
        <v>0.103025304699268</v>
      </c>
      <c r="G386" s="90"/>
      <c r="N386" s="89">
        <v>45120</v>
      </c>
      <c r="O386" s="88">
        <v>91</v>
      </c>
      <c r="R386" s="87">
        <f t="shared" si="21"/>
        <v>45119</v>
      </c>
      <c r="S386" s="86">
        <f t="shared" si="23"/>
        <v>91.37</v>
      </c>
      <c r="T386" s="86"/>
    </row>
    <row r="387" spans="1:20" x14ac:dyDescent="0.25">
      <c r="A387" s="89">
        <v>45121</v>
      </c>
      <c r="B387" s="91">
        <v>9.9034084463841501E-2</v>
      </c>
      <c r="E387" s="87">
        <f t="shared" si="20"/>
        <v>45120</v>
      </c>
      <c r="F387" s="90">
        <f t="shared" si="22"/>
        <v>0.104379363116738</v>
      </c>
      <c r="G387" s="90"/>
      <c r="N387" s="89">
        <v>45121</v>
      </c>
      <c r="O387" s="88">
        <v>92.5</v>
      </c>
      <c r="R387" s="87">
        <f t="shared" si="21"/>
        <v>45120</v>
      </c>
      <c r="S387" s="86">
        <f t="shared" si="23"/>
        <v>91</v>
      </c>
      <c r="T387" s="86"/>
    </row>
    <row r="388" spans="1:20" x14ac:dyDescent="0.25">
      <c r="A388" s="89">
        <v>45124</v>
      </c>
      <c r="B388" s="91">
        <v>0.100870062549585</v>
      </c>
      <c r="E388" s="87">
        <f t="shared" ref="E388:E451" si="24">A387</f>
        <v>45121</v>
      </c>
      <c r="F388" s="90">
        <f t="shared" si="22"/>
        <v>9.9034084463841501E-2</v>
      </c>
      <c r="G388" s="90"/>
      <c r="N388" s="89">
        <v>45124</v>
      </c>
      <c r="O388" s="88">
        <v>92</v>
      </c>
      <c r="R388" s="87">
        <f t="shared" ref="R388:R451" si="25">N387</f>
        <v>45121</v>
      </c>
      <c r="S388" s="86">
        <f t="shared" si="23"/>
        <v>92.5</v>
      </c>
      <c r="T388" s="86"/>
    </row>
    <row r="389" spans="1:20" x14ac:dyDescent="0.25">
      <c r="A389" s="89">
        <v>45125</v>
      </c>
      <c r="B389" s="91">
        <v>0.10448994190385501</v>
      </c>
      <c r="E389" s="87">
        <f t="shared" si="24"/>
        <v>45124</v>
      </c>
      <c r="F389" s="90">
        <f t="shared" ref="F389:F452" si="26">B388</f>
        <v>0.100870062549585</v>
      </c>
      <c r="G389" s="90"/>
      <c r="N389" s="89">
        <v>45125</v>
      </c>
      <c r="O389" s="88">
        <v>91</v>
      </c>
      <c r="R389" s="87">
        <f t="shared" si="25"/>
        <v>45124</v>
      </c>
      <c r="S389" s="86">
        <f t="shared" ref="S389:S452" si="27">O388</f>
        <v>92</v>
      </c>
      <c r="T389" s="86"/>
    </row>
    <row r="390" spans="1:20" x14ac:dyDescent="0.25">
      <c r="A390" s="89">
        <v>45126</v>
      </c>
      <c r="B390" s="91">
        <v>0.103607013134146</v>
      </c>
      <c r="E390" s="87">
        <f t="shared" si="24"/>
        <v>45125</v>
      </c>
      <c r="F390" s="90">
        <f t="shared" si="26"/>
        <v>0.10448994190385501</v>
      </c>
      <c r="G390" s="90"/>
      <c r="N390" s="89">
        <v>45126</v>
      </c>
      <c r="O390" s="88">
        <v>91.25</v>
      </c>
      <c r="R390" s="87">
        <f t="shared" si="25"/>
        <v>45125</v>
      </c>
      <c r="S390" s="86">
        <f t="shared" si="27"/>
        <v>91</v>
      </c>
      <c r="T390" s="86"/>
    </row>
    <row r="391" spans="1:20" x14ac:dyDescent="0.25">
      <c r="A391" s="89">
        <v>45127</v>
      </c>
      <c r="B391" s="91">
        <v>0.10092934954810101</v>
      </c>
      <c r="E391" s="87">
        <f t="shared" si="24"/>
        <v>45126</v>
      </c>
      <c r="F391" s="90">
        <f t="shared" si="26"/>
        <v>0.103607013134146</v>
      </c>
      <c r="G391" s="90"/>
      <c r="N391" s="89">
        <v>45127</v>
      </c>
      <c r="O391" s="88">
        <v>92</v>
      </c>
      <c r="R391" s="87">
        <f t="shared" si="25"/>
        <v>45126</v>
      </c>
      <c r="S391" s="86">
        <f t="shared" si="27"/>
        <v>91.25</v>
      </c>
      <c r="T391" s="86"/>
    </row>
    <row r="392" spans="1:20" x14ac:dyDescent="0.25">
      <c r="A392" s="89">
        <v>45128</v>
      </c>
      <c r="B392" s="91">
        <v>0.10365048170935599</v>
      </c>
      <c r="E392" s="87">
        <f t="shared" si="24"/>
        <v>45127</v>
      </c>
      <c r="F392" s="90">
        <f t="shared" si="26"/>
        <v>0.10092934954810101</v>
      </c>
      <c r="G392" s="90"/>
      <c r="N392" s="89">
        <v>45128</v>
      </c>
      <c r="O392" s="88">
        <v>91.25</v>
      </c>
      <c r="R392" s="87">
        <f t="shared" si="25"/>
        <v>45127</v>
      </c>
      <c r="S392" s="86">
        <f t="shared" si="27"/>
        <v>92</v>
      </c>
      <c r="T392" s="86"/>
    </row>
    <row r="393" spans="1:20" x14ac:dyDescent="0.25">
      <c r="A393" s="89">
        <v>45131</v>
      </c>
      <c r="B393" s="91">
        <v>0.10147638970629901</v>
      </c>
      <c r="E393" s="87">
        <f t="shared" si="24"/>
        <v>45128</v>
      </c>
      <c r="F393" s="90">
        <f t="shared" si="26"/>
        <v>0.10365048170935599</v>
      </c>
      <c r="G393" s="90"/>
      <c r="N393" s="89">
        <v>45131</v>
      </c>
      <c r="O393" s="88">
        <v>91.87</v>
      </c>
      <c r="R393" s="87">
        <f t="shared" si="25"/>
        <v>45128</v>
      </c>
      <c r="S393" s="86">
        <f t="shared" si="27"/>
        <v>91.25</v>
      </c>
      <c r="T393" s="86"/>
    </row>
    <row r="394" spans="1:20" x14ac:dyDescent="0.25">
      <c r="A394" s="89">
        <v>45132</v>
      </c>
      <c r="B394" s="91">
        <v>0.10373808967706299</v>
      </c>
      <c r="E394" s="87">
        <f t="shared" si="24"/>
        <v>45131</v>
      </c>
      <c r="F394" s="90">
        <f t="shared" si="26"/>
        <v>0.10147638970629901</v>
      </c>
      <c r="G394" s="90"/>
      <c r="N394" s="89">
        <v>45132</v>
      </c>
      <c r="O394" s="88">
        <v>91.25</v>
      </c>
      <c r="R394" s="87">
        <f t="shared" si="25"/>
        <v>45131</v>
      </c>
      <c r="S394" s="86">
        <f t="shared" si="27"/>
        <v>91.87</v>
      </c>
      <c r="T394" s="86"/>
    </row>
    <row r="395" spans="1:20" x14ac:dyDescent="0.25">
      <c r="A395" s="89">
        <v>45133</v>
      </c>
      <c r="B395" s="91">
        <v>0.10151725195632</v>
      </c>
      <c r="E395" s="87">
        <f t="shared" si="24"/>
        <v>45132</v>
      </c>
      <c r="F395" s="90">
        <f t="shared" si="26"/>
        <v>0.10373808967706299</v>
      </c>
      <c r="G395" s="90"/>
      <c r="N395" s="89">
        <v>45133</v>
      </c>
      <c r="O395" s="88">
        <v>91.87</v>
      </c>
      <c r="R395" s="87">
        <f t="shared" si="25"/>
        <v>45132</v>
      </c>
      <c r="S395" s="86">
        <f t="shared" si="27"/>
        <v>91.25</v>
      </c>
      <c r="T395" s="86"/>
    </row>
    <row r="396" spans="1:20" x14ac:dyDescent="0.25">
      <c r="A396" s="89">
        <v>45134</v>
      </c>
      <c r="B396" s="91">
        <v>0.101537763031741</v>
      </c>
      <c r="E396" s="87">
        <f t="shared" si="24"/>
        <v>45133</v>
      </c>
      <c r="F396" s="90">
        <f t="shared" si="26"/>
        <v>0.10151725195632</v>
      </c>
      <c r="G396" s="90"/>
      <c r="N396" s="89">
        <v>45134</v>
      </c>
      <c r="O396" s="88">
        <v>91.87</v>
      </c>
      <c r="R396" s="87">
        <f t="shared" si="25"/>
        <v>45133</v>
      </c>
      <c r="S396" s="86">
        <f t="shared" si="27"/>
        <v>91.87</v>
      </c>
      <c r="T396" s="86"/>
    </row>
    <row r="397" spans="1:20" x14ac:dyDescent="0.25">
      <c r="A397" s="89">
        <v>45135</v>
      </c>
      <c r="B397" s="91">
        <v>0.10380438726876501</v>
      </c>
      <c r="E397" s="87">
        <f t="shared" si="24"/>
        <v>45134</v>
      </c>
      <c r="F397" s="90">
        <f t="shared" si="26"/>
        <v>0.101537763031741</v>
      </c>
      <c r="G397" s="90"/>
      <c r="N397" s="89">
        <v>45135</v>
      </c>
      <c r="O397" s="88">
        <v>91.25</v>
      </c>
      <c r="R397" s="87">
        <f t="shared" si="25"/>
        <v>45134</v>
      </c>
      <c r="S397" s="86">
        <f t="shared" si="27"/>
        <v>91.87</v>
      </c>
      <c r="T397" s="86"/>
    </row>
    <row r="398" spans="1:20" x14ac:dyDescent="0.25">
      <c r="A398" s="89">
        <v>45138</v>
      </c>
      <c r="B398" s="91">
        <v>0.10188703638739</v>
      </c>
      <c r="E398" s="87">
        <f t="shared" si="24"/>
        <v>45135</v>
      </c>
      <c r="F398" s="90">
        <f t="shared" si="26"/>
        <v>0.10380438726876501</v>
      </c>
      <c r="G398" s="90"/>
      <c r="N398" s="89">
        <v>45138</v>
      </c>
      <c r="O398" s="88">
        <v>91.77</v>
      </c>
      <c r="R398" s="87">
        <f t="shared" si="25"/>
        <v>45135</v>
      </c>
      <c r="S398" s="86">
        <f t="shared" si="27"/>
        <v>91.25</v>
      </c>
      <c r="T398" s="86"/>
    </row>
    <row r="399" spans="1:20" x14ac:dyDescent="0.25">
      <c r="A399" s="89">
        <v>45139</v>
      </c>
      <c r="B399" s="91">
        <v>9.8922344779756505E-2</v>
      </c>
      <c r="E399" s="87">
        <f t="shared" si="24"/>
        <v>45138</v>
      </c>
      <c r="F399" s="90">
        <f t="shared" si="26"/>
        <v>0.10188703638739</v>
      </c>
      <c r="G399" s="90"/>
      <c r="N399" s="89">
        <v>45139</v>
      </c>
      <c r="O399" s="88">
        <v>92.62</v>
      </c>
      <c r="R399" s="87">
        <f t="shared" si="25"/>
        <v>45138</v>
      </c>
      <c r="S399" s="86">
        <f t="shared" si="27"/>
        <v>91.77</v>
      </c>
      <c r="T399" s="86"/>
    </row>
    <row r="400" spans="1:20" x14ac:dyDescent="0.25">
      <c r="A400" s="89">
        <v>45140</v>
      </c>
      <c r="B400" s="91">
        <v>0.10207562282807199</v>
      </c>
      <c r="E400" s="87">
        <f t="shared" si="24"/>
        <v>45139</v>
      </c>
      <c r="F400" s="90">
        <f t="shared" si="26"/>
        <v>9.8922344779756505E-2</v>
      </c>
      <c r="G400" s="90"/>
      <c r="N400" s="89">
        <v>45140</v>
      </c>
      <c r="O400" s="88">
        <v>91.75</v>
      </c>
      <c r="R400" s="87">
        <f t="shared" si="25"/>
        <v>45139</v>
      </c>
      <c r="S400" s="86">
        <f t="shared" si="27"/>
        <v>92.62</v>
      </c>
      <c r="T400" s="86"/>
    </row>
    <row r="401" spans="1:20" x14ac:dyDescent="0.25">
      <c r="A401" s="89">
        <v>45141</v>
      </c>
      <c r="B401" s="91">
        <v>0.102096766933059</v>
      </c>
      <c r="E401" s="87">
        <f t="shared" si="24"/>
        <v>45140</v>
      </c>
      <c r="F401" s="90">
        <f t="shared" si="26"/>
        <v>0.10207562282807199</v>
      </c>
      <c r="G401" s="90"/>
      <c r="N401" s="89">
        <v>45141</v>
      </c>
      <c r="O401" s="88">
        <v>91.75</v>
      </c>
      <c r="R401" s="87">
        <f t="shared" si="25"/>
        <v>45140</v>
      </c>
      <c r="S401" s="86">
        <f t="shared" si="27"/>
        <v>91.75</v>
      </c>
      <c r="T401" s="86"/>
    </row>
    <row r="402" spans="1:20" x14ac:dyDescent="0.25">
      <c r="A402" s="89">
        <v>45142</v>
      </c>
      <c r="B402" s="91">
        <v>0.10211796600706201</v>
      </c>
      <c r="E402" s="87">
        <f t="shared" si="24"/>
        <v>45141</v>
      </c>
      <c r="F402" s="90">
        <f t="shared" si="26"/>
        <v>0.102096766933059</v>
      </c>
      <c r="G402" s="90"/>
      <c r="N402" s="89">
        <v>45142</v>
      </c>
      <c r="O402" s="88">
        <v>91.75</v>
      </c>
      <c r="R402" s="87">
        <f t="shared" si="25"/>
        <v>45141</v>
      </c>
      <c r="S402" s="86">
        <f t="shared" si="27"/>
        <v>91.75</v>
      </c>
      <c r="T402" s="86"/>
    </row>
    <row r="403" spans="1:20" x14ac:dyDescent="0.25">
      <c r="A403" s="89">
        <v>45145</v>
      </c>
      <c r="B403" s="91">
        <v>0.103092598572963</v>
      </c>
      <c r="E403" s="87">
        <f t="shared" si="24"/>
        <v>45142</v>
      </c>
      <c r="F403" s="90">
        <f t="shared" si="26"/>
        <v>0.10211796600706201</v>
      </c>
      <c r="G403" s="90"/>
      <c r="N403" s="89">
        <v>45145</v>
      </c>
      <c r="O403" s="88">
        <v>91.5</v>
      </c>
      <c r="R403" s="87">
        <f t="shared" si="25"/>
        <v>45142</v>
      </c>
      <c r="S403" s="86">
        <f t="shared" si="27"/>
        <v>91.75</v>
      </c>
      <c r="T403" s="86"/>
    </row>
    <row r="404" spans="1:20" x14ac:dyDescent="0.25">
      <c r="A404" s="89">
        <v>45146</v>
      </c>
      <c r="B404" s="91">
        <v>0.10220331492132101</v>
      </c>
      <c r="E404" s="87">
        <f t="shared" si="24"/>
        <v>45145</v>
      </c>
      <c r="F404" s="90">
        <f t="shared" si="26"/>
        <v>0.103092598572963</v>
      </c>
      <c r="G404" s="90"/>
      <c r="N404" s="89">
        <v>45146</v>
      </c>
      <c r="O404" s="88">
        <v>91.75</v>
      </c>
      <c r="R404" s="87">
        <f t="shared" si="25"/>
        <v>45145</v>
      </c>
      <c r="S404" s="86">
        <f t="shared" si="27"/>
        <v>91.5</v>
      </c>
      <c r="T404" s="86"/>
    </row>
    <row r="405" spans="1:20" x14ac:dyDescent="0.25">
      <c r="A405" s="89">
        <v>45147</v>
      </c>
      <c r="B405" s="91">
        <v>0.102224791041306</v>
      </c>
      <c r="E405" s="87">
        <f t="shared" si="24"/>
        <v>45146</v>
      </c>
      <c r="F405" s="90">
        <f t="shared" si="26"/>
        <v>0.10220331492132101</v>
      </c>
      <c r="G405" s="90"/>
      <c r="N405" s="89">
        <v>45147</v>
      </c>
      <c r="O405" s="88">
        <v>91.75</v>
      </c>
      <c r="R405" s="87">
        <f t="shared" si="25"/>
        <v>45146</v>
      </c>
      <c r="S405" s="86">
        <f t="shared" si="27"/>
        <v>91.75</v>
      </c>
      <c r="T405" s="86"/>
    </row>
    <row r="406" spans="1:20" x14ac:dyDescent="0.25">
      <c r="A406" s="89">
        <v>45148</v>
      </c>
      <c r="B406" s="91">
        <v>0.10224632301455</v>
      </c>
      <c r="E406" s="87">
        <f t="shared" si="24"/>
        <v>45147</v>
      </c>
      <c r="F406" s="90">
        <f t="shared" si="26"/>
        <v>0.102224791041306</v>
      </c>
      <c r="G406" s="90"/>
      <c r="N406" s="89">
        <v>45148</v>
      </c>
      <c r="O406" s="88">
        <v>91.75</v>
      </c>
      <c r="R406" s="87">
        <f t="shared" si="25"/>
        <v>45147</v>
      </c>
      <c r="S406" s="86">
        <f t="shared" si="27"/>
        <v>91.75</v>
      </c>
      <c r="T406" s="86"/>
    </row>
    <row r="407" spans="1:20" x14ac:dyDescent="0.25">
      <c r="A407" s="89">
        <v>45149</v>
      </c>
      <c r="B407" s="91">
        <v>0.102267910990381</v>
      </c>
      <c r="E407" s="87">
        <f t="shared" si="24"/>
        <v>45148</v>
      </c>
      <c r="F407" s="90">
        <f t="shared" si="26"/>
        <v>0.10224632301455</v>
      </c>
      <c r="G407" s="90"/>
      <c r="N407" s="89">
        <v>45149</v>
      </c>
      <c r="O407" s="88">
        <v>91.75</v>
      </c>
      <c r="R407" s="87">
        <f t="shared" si="25"/>
        <v>45148</v>
      </c>
      <c r="S407" s="86">
        <f t="shared" si="27"/>
        <v>91.75</v>
      </c>
      <c r="T407" s="86"/>
    </row>
    <row r="408" spans="1:20" x14ac:dyDescent="0.25">
      <c r="A408" s="89">
        <v>45152</v>
      </c>
      <c r="B408" s="91">
        <v>0.10324832354341</v>
      </c>
      <c r="E408" s="87">
        <f t="shared" si="24"/>
        <v>45149</v>
      </c>
      <c r="F408" s="90">
        <f t="shared" si="26"/>
        <v>0.102267910990381</v>
      </c>
      <c r="G408" s="90"/>
      <c r="N408" s="89">
        <v>45152</v>
      </c>
      <c r="O408" s="88">
        <v>91.5</v>
      </c>
      <c r="R408" s="87">
        <f t="shared" si="25"/>
        <v>45149</v>
      </c>
      <c r="S408" s="86">
        <f t="shared" si="27"/>
        <v>91.75</v>
      </c>
      <c r="T408" s="86"/>
    </row>
    <row r="409" spans="1:20" x14ac:dyDescent="0.25">
      <c r="A409" s="89">
        <v>45153</v>
      </c>
      <c r="B409" s="91">
        <v>0.104189857924689</v>
      </c>
      <c r="E409" s="87">
        <f t="shared" si="24"/>
        <v>45152</v>
      </c>
      <c r="F409" s="90">
        <f t="shared" si="26"/>
        <v>0.10324832354341</v>
      </c>
      <c r="G409" s="90"/>
      <c r="N409" s="89">
        <v>45153</v>
      </c>
      <c r="O409" s="88">
        <v>91.25</v>
      </c>
      <c r="R409" s="87">
        <f t="shared" si="25"/>
        <v>45152</v>
      </c>
      <c r="S409" s="86">
        <f t="shared" si="27"/>
        <v>91.5</v>
      </c>
      <c r="T409" s="86"/>
    </row>
    <row r="410" spans="1:20" x14ac:dyDescent="0.25">
      <c r="A410" s="89">
        <v>45154</v>
      </c>
      <c r="B410" s="91">
        <v>0.105616994141827</v>
      </c>
      <c r="E410" s="87">
        <f t="shared" si="24"/>
        <v>45153</v>
      </c>
      <c r="F410" s="90">
        <f t="shared" si="26"/>
        <v>0.104189857924689</v>
      </c>
      <c r="G410" s="90"/>
      <c r="N410" s="89">
        <v>45154</v>
      </c>
      <c r="O410" s="88">
        <v>90.87</v>
      </c>
      <c r="R410" s="87">
        <f t="shared" si="25"/>
        <v>45153</v>
      </c>
      <c r="S410" s="86">
        <f t="shared" si="27"/>
        <v>91.25</v>
      </c>
      <c r="T410" s="86"/>
    </row>
    <row r="411" spans="1:20" x14ac:dyDescent="0.25">
      <c r="A411" s="89">
        <v>45155</v>
      </c>
      <c r="B411" s="91">
        <v>0.10608251829852501</v>
      </c>
      <c r="E411" s="87">
        <f t="shared" si="24"/>
        <v>45154</v>
      </c>
      <c r="F411" s="90">
        <f t="shared" si="26"/>
        <v>0.105616994141827</v>
      </c>
      <c r="G411" s="90"/>
      <c r="N411" s="89">
        <v>45155</v>
      </c>
      <c r="O411" s="88">
        <v>90.75</v>
      </c>
      <c r="R411" s="87">
        <f t="shared" si="25"/>
        <v>45154</v>
      </c>
      <c r="S411" s="86">
        <f t="shared" si="27"/>
        <v>90.87</v>
      </c>
      <c r="T411" s="86"/>
    </row>
    <row r="412" spans="1:20" x14ac:dyDescent="0.25">
      <c r="A412" s="89">
        <v>45156</v>
      </c>
      <c r="B412" s="91">
        <v>0.10610324810187001</v>
      </c>
      <c r="E412" s="87">
        <f t="shared" si="24"/>
        <v>45155</v>
      </c>
      <c r="F412" s="90">
        <f t="shared" si="26"/>
        <v>0.10608251829852501</v>
      </c>
      <c r="G412" s="90"/>
      <c r="N412" s="89">
        <v>45156</v>
      </c>
      <c r="O412" s="88">
        <v>90.75</v>
      </c>
      <c r="R412" s="87">
        <f t="shared" si="25"/>
        <v>45155</v>
      </c>
      <c r="S412" s="86">
        <f t="shared" si="27"/>
        <v>90.75</v>
      </c>
      <c r="T412" s="86"/>
    </row>
    <row r="413" spans="1:20" x14ac:dyDescent="0.25">
      <c r="A413" s="89">
        <v>45159</v>
      </c>
      <c r="B413" s="91">
        <v>0.10709801969851201</v>
      </c>
      <c r="E413" s="87">
        <f t="shared" si="24"/>
        <v>45156</v>
      </c>
      <c r="F413" s="90">
        <f t="shared" si="26"/>
        <v>0.10610324810187001</v>
      </c>
      <c r="G413" s="90"/>
      <c r="N413" s="89">
        <v>45159</v>
      </c>
      <c r="O413" s="88">
        <v>90.5</v>
      </c>
      <c r="R413" s="87">
        <f t="shared" si="25"/>
        <v>45156</v>
      </c>
      <c r="S413" s="86">
        <f t="shared" si="27"/>
        <v>90.75</v>
      </c>
      <c r="T413" s="86"/>
    </row>
    <row r="414" spans="1:20" x14ac:dyDescent="0.25">
      <c r="A414" s="89">
        <v>45160</v>
      </c>
      <c r="B414" s="91">
        <v>0.107119603429105</v>
      </c>
      <c r="E414" s="87">
        <f t="shared" si="24"/>
        <v>45159</v>
      </c>
      <c r="F414" s="90">
        <f t="shared" si="26"/>
        <v>0.10709801969851201</v>
      </c>
      <c r="G414" s="90"/>
      <c r="N414" s="89">
        <v>45160</v>
      </c>
      <c r="O414" s="88">
        <v>90.5</v>
      </c>
      <c r="R414" s="87">
        <f t="shared" si="25"/>
        <v>45159</v>
      </c>
      <c r="S414" s="86">
        <f t="shared" si="27"/>
        <v>90.5</v>
      </c>
      <c r="T414" s="86"/>
    </row>
    <row r="415" spans="1:20" x14ac:dyDescent="0.25">
      <c r="A415" s="89">
        <v>45161</v>
      </c>
      <c r="B415" s="91">
        <v>0.107141243393653</v>
      </c>
      <c r="E415" s="87">
        <f t="shared" si="24"/>
        <v>45160</v>
      </c>
      <c r="F415" s="90">
        <f t="shared" si="26"/>
        <v>0.107119603429105</v>
      </c>
      <c r="G415" s="90"/>
      <c r="N415" s="89">
        <v>45161</v>
      </c>
      <c r="O415" s="88">
        <v>90.5</v>
      </c>
      <c r="R415" s="87">
        <f t="shared" si="25"/>
        <v>45160</v>
      </c>
      <c r="S415" s="86">
        <f t="shared" si="27"/>
        <v>90.5</v>
      </c>
      <c r="T415" s="86"/>
    </row>
    <row r="416" spans="1:20" x14ac:dyDescent="0.25">
      <c r="A416" s="89">
        <v>45162</v>
      </c>
      <c r="B416" s="91">
        <v>0.10716293973716801</v>
      </c>
      <c r="E416" s="87">
        <f t="shared" si="24"/>
        <v>45161</v>
      </c>
      <c r="F416" s="90">
        <f t="shared" si="26"/>
        <v>0.107141243393653</v>
      </c>
      <c r="G416" s="90"/>
      <c r="N416" s="89">
        <v>45162</v>
      </c>
      <c r="O416" s="88">
        <v>90.5</v>
      </c>
      <c r="R416" s="87">
        <f t="shared" si="25"/>
        <v>45161</v>
      </c>
      <c r="S416" s="86">
        <f t="shared" si="27"/>
        <v>90.5</v>
      </c>
      <c r="T416" s="86"/>
    </row>
    <row r="417" spans="1:20" x14ac:dyDescent="0.25">
      <c r="A417" s="89">
        <v>45163</v>
      </c>
      <c r="B417" s="91">
        <v>0.10718469260519101</v>
      </c>
      <c r="E417" s="87">
        <f t="shared" si="24"/>
        <v>45162</v>
      </c>
      <c r="F417" s="90">
        <f t="shared" si="26"/>
        <v>0.10716293973716801</v>
      </c>
      <c r="G417" s="90"/>
      <c r="N417" s="89">
        <v>45163</v>
      </c>
      <c r="O417" s="88">
        <v>90.5</v>
      </c>
      <c r="R417" s="87">
        <f t="shared" si="25"/>
        <v>45162</v>
      </c>
      <c r="S417" s="86">
        <f t="shared" si="27"/>
        <v>90.5</v>
      </c>
      <c r="T417" s="86"/>
    </row>
    <row r="418" spans="1:20" x14ac:dyDescent="0.25">
      <c r="A418" s="89">
        <v>45166</v>
      </c>
      <c r="B418" s="91">
        <v>0.10725029181979201</v>
      </c>
      <c r="E418" s="87">
        <f t="shared" si="24"/>
        <v>45163</v>
      </c>
      <c r="F418" s="90">
        <f t="shared" si="26"/>
        <v>0.10718469260519101</v>
      </c>
      <c r="G418" s="90"/>
      <c r="N418" s="89">
        <v>45166</v>
      </c>
      <c r="O418" s="88">
        <v>90.5</v>
      </c>
      <c r="R418" s="87">
        <f t="shared" si="25"/>
        <v>45163</v>
      </c>
      <c r="S418" s="86">
        <f t="shared" si="27"/>
        <v>90.5</v>
      </c>
      <c r="T418" s="86"/>
    </row>
    <row r="419" spans="1:20" x14ac:dyDescent="0.25">
      <c r="A419" s="89">
        <v>45167</v>
      </c>
      <c r="B419" s="91">
        <v>0.10558728230400601</v>
      </c>
      <c r="E419" s="87">
        <f t="shared" si="24"/>
        <v>45166</v>
      </c>
      <c r="F419" s="90">
        <f t="shared" si="26"/>
        <v>0.10725029181979201</v>
      </c>
      <c r="G419" s="90"/>
      <c r="N419" s="89">
        <v>45167</v>
      </c>
      <c r="O419" s="88">
        <v>90.95</v>
      </c>
      <c r="R419" s="87">
        <f t="shared" si="25"/>
        <v>45166</v>
      </c>
      <c r="S419" s="86">
        <f t="shared" si="27"/>
        <v>90.5</v>
      </c>
      <c r="T419" s="86"/>
    </row>
    <row r="420" spans="1:20" x14ac:dyDescent="0.25">
      <c r="A420" s="89">
        <v>45168</v>
      </c>
      <c r="B420" s="91">
        <v>0.10545877607793701</v>
      </c>
      <c r="E420" s="87">
        <f t="shared" si="24"/>
        <v>45167</v>
      </c>
      <c r="F420" s="90">
        <f t="shared" si="26"/>
        <v>0.10558728230400601</v>
      </c>
      <c r="G420" s="90"/>
      <c r="N420" s="89">
        <v>45168</v>
      </c>
      <c r="O420" s="88">
        <v>90.99</v>
      </c>
      <c r="R420" s="87">
        <f t="shared" si="25"/>
        <v>45167</v>
      </c>
      <c r="S420" s="86">
        <f t="shared" si="27"/>
        <v>90.95</v>
      </c>
      <c r="T420" s="86"/>
    </row>
    <row r="421" spans="1:20" x14ac:dyDescent="0.25">
      <c r="A421" s="89">
        <v>45169</v>
      </c>
      <c r="B421" s="91">
        <v>0.106691787195641</v>
      </c>
      <c r="E421" s="87">
        <f t="shared" si="24"/>
        <v>45168</v>
      </c>
      <c r="F421" s="90">
        <f t="shared" si="26"/>
        <v>0.10545877607793701</v>
      </c>
      <c r="G421" s="90"/>
      <c r="N421" s="89">
        <v>45169</v>
      </c>
      <c r="O421" s="88">
        <v>90.64</v>
      </c>
      <c r="R421" s="87">
        <f t="shared" si="25"/>
        <v>45168</v>
      </c>
      <c r="S421" s="86">
        <f t="shared" si="27"/>
        <v>90.99</v>
      </c>
      <c r="T421" s="86"/>
    </row>
    <row r="422" spans="1:20" x14ac:dyDescent="0.25">
      <c r="A422" s="89">
        <v>45170</v>
      </c>
      <c r="B422" s="91">
        <v>0.10690299884568499</v>
      </c>
      <c r="E422" s="87">
        <f t="shared" si="24"/>
        <v>45169</v>
      </c>
      <c r="F422" s="90">
        <f t="shared" si="26"/>
        <v>0.106691787195641</v>
      </c>
      <c r="G422" s="90"/>
      <c r="N422" s="89">
        <v>45170</v>
      </c>
      <c r="O422" s="88">
        <v>90.61</v>
      </c>
      <c r="R422" s="87">
        <f t="shared" si="25"/>
        <v>45169</v>
      </c>
      <c r="S422" s="86">
        <f t="shared" si="27"/>
        <v>90.64</v>
      </c>
      <c r="T422" s="86"/>
    </row>
    <row r="423" spans="1:20" x14ac:dyDescent="0.25">
      <c r="A423" s="89">
        <v>45174</v>
      </c>
      <c r="B423" s="91">
        <v>0.10755626237610799</v>
      </c>
      <c r="E423" s="87">
        <f t="shared" si="24"/>
        <v>45170</v>
      </c>
      <c r="F423" s="90">
        <f t="shared" si="26"/>
        <v>0.10690299884568499</v>
      </c>
      <c r="G423" s="90"/>
      <c r="N423" s="89">
        <v>45174</v>
      </c>
      <c r="O423" s="88">
        <v>90.46</v>
      </c>
      <c r="R423" s="87">
        <f t="shared" si="25"/>
        <v>45170</v>
      </c>
      <c r="S423" s="86">
        <f t="shared" si="27"/>
        <v>90.61</v>
      </c>
      <c r="T423" s="86"/>
    </row>
    <row r="424" spans="1:20" x14ac:dyDescent="0.25">
      <c r="A424" s="89">
        <v>45175</v>
      </c>
      <c r="B424" s="91">
        <v>0.107805412585396</v>
      </c>
      <c r="E424" s="87">
        <f t="shared" si="24"/>
        <v>45174</v>
      </c>
      <c r="F424" s="90">
        <f t="shared" si="26"/>
        <v>0.10755626237610799</v>
      </c>
      <c r="G424" s="90"/>
      <c r="N424" s="89">
        <v>45175</v>
      </c>
      <c r="O424" s="88">
        <v>90.4</v>
      </c>
      <c r="R424" s="87">
        <f t="shared" si="25"/>
        <v>45174</v>
      </c>
      <c r="S424" s="86">
        <f t="shared" si="27"/>
        <v>90.46</v>
      </c>
      <c r="T424" s="86"/>
    </row>
    <row r="425" spans="1:20" x14ac:dyDescent="0.25">
      <c r="A425" s="89">
        <v>45176</v>
      </c>
      <c r="B425" s="91">
        <v>0.10782811787039</v>
      </c>
      <c r="E425" s="87">
        <f t="shared" si="24"/>
        <v>45175</v>
      </c>
      <c r="F425" s="90">
        <f t="shared" si="26"/>
        <v>0.107805412585396</v>
      </c>
      <c r="G425" s="90"/>
      <c r="N425" s="89">
        <v>45176</v>
      </c>
      <c r="O425" s="88">
        <v>90.4</v>
      </c>
      <c r="R425" s="87">
        <f t="shared" si="25"/>
        <v>45175</v>
      </c>
      <c r="S425" s="86">
        <f t="shared" si="27"/>
        <v>90.4</v>
      </c>
      <c r="T425" s="86"/>
    </row>
    <row r="426" spans="1:20" x14ac:dyDescent="0.25">
      <c r="A426" s="89">
        <v>45177</v>
      </c>
      <c r="B426" s="91">
        <v>0.10679324047036</v>
      </c>
      <c r="E426" s="87">
        <f t="shared" si="24"/>
        <v>45176</v>
      </c>
      <c r="F426" s="90">
        <f t="shared" si="26"/>
        <v>0.10782811787039</v>
      </c>
      <c r="G426" s="90"/>
      <c r="N426" s="89">
        <v>45177</v>
      </c>
      <c r="O426" s="88">
        <v>90.68</v>
      </c>
      <c r="R426" s="87">
        <f t="shared" si="25"/>
        <v>45176</v>
      </c>
      <c r="S426" s="86">
        <f t="shared" si="27"/>
        <v>90.4</v>
      </c>
      <c r="T426" s="86"/>
    </row>
    <row r="427" spans="1:20" x14ac:dyDescent="0.25">
      <c r="A427" s="89">
        <v>45180</v>
      </c>
      <c r="B427" s="91">
        <v>0.10932626954080799</v>
      </c>
      <c r="E427" s="87">
        <f t="shared" si="24"/>
        <v>45177</v>
      </c>
      <c r="F427" s="90">
        <f t="shared" si="26"/>
        <v>0.10679324047036</v>
      </c>
      <c r="G427" s="90"/>
      <c r="N427" s="89">
        <v>45180</v>
      </c>
      <c r="O427" s="88">
        <v>90.03</v>
      </c>
      <c r="R427" s="87">
        <f t="shared" si="25"/>
        <v>45177</v>
      </c>
      <c r="S427" s="86">
        <f t="shared" si="27"/>
        <v>90.68</v>
      </c>
      <c r="T427" s="86"/>
    </row>
    <row r="428" spans="1:20" x14ac:dyDescent="0.25">
      <c r="A428" s="89">
        <v>45181</v>
      </c>
      <c r="B428" s="91">
        <v>0.109731944374795</v>
      </c>
      <c r="E428" s="87">
        <f t="shared" si="24"/>
        <v>45180</v>
      </c>
      <c r="F428" s="90">
        <f t="shared" si="26"/>
        <v>0.10932626954080799</v>
      </c>
      <c r="G428" s="90"/>
      <c r="N428" s="89">
        <v>45181</v>
      </c>
      <c r="O428" s="88">
        <v>89.93</v>
      </c>
      <c r="R428" s="87">
        <f t="shared" si="25"/>
        <v>45180</v>
      </c>
      <c r="S428" s="86">
        <f t="shared" si="27"/>
        <v>90.03</v>
      </c>
      <c r="T428" s="86"/>
    </row>
    <row r="429" spans="1:20" x14ac:dyDescent="0.25">
      <c r="A429" s="89">
        <v>45182</v>
      </c>
      <c r="B429" s="91">
        <v>0.10960341495956699</v>
      </c>
      <c r="E429" s="87">
        <f t="shared" si="24"/>
        <v>45181</v>
      </c>
      <c r="F429" s="90">
        <f t="shared" si="26"/>
        <v>0.109731944374795</v>
      </c>
      <c r="G429" s="90"/>
      <c r="N429" s="89">
        <v>45182</v>
      </c>
      <c r="O429" s="88">
        <v>89.97</v>
      </c>
      <c r="R429" s="87">
        <f t="shared" si="25"/>
        <v>45181</v>
      </c>
      <c r="S429" s="86">
        <f t="shared" si="27"/>
        <v>89.93</v>
      </c>
      <c r="T429" s="86"/>
    </row>
    <row r="430" spans="1:20" x14ac:dyDescent="0.25">
      <c r="A430" s="89">
        <v>45183</v>
      </c>
      <c r="B430" s="91">
        <v>0.110892052991422</v>
      </c>
      <c r="E430" s="87">
        <f t="shared" si="24"/>
        <v>45182</v>
      </c>
      <c r="F430" s="90">
        <f t="shared" si="26"/>
        <v>0.10960341495956699</v>
      </c>
      <c r="G430" s="90"/>
      <c r="N430" s="89">
        <v>45183</v>
      </c>
      <c r="O430" s="88">
        <v>89.64</v>
      </c>
      <c r="R430" s="87">
        <f t="shared" si="25"/>
        <v>45182</v>
      </c>
      <c r="S430" s="86">
        <f t="shared" si="27"/>
        <v>89.97</v>
      </c>
      <c r="T430" s="86"/>
    </row>
    <row r="431" spans="1:20" x14ac:dyDescent="0.25">
      <c r="A431" s="89">
        <v>45184</v>
      </c>
      <c r="B431" s="91">
        <v>0.110917274821257</v>
      </c>
      <c r="E431" s="87">
        <f t="shared" si="24"/>
        <v>45183</v>
      </c>
      <c r="F431" s="90">
        <f t="shared" si="26"/>
        <v>0.110892052991422</v>
      </c>
      <c r="G431" s="90"/>
      <c r="N431" s="89">
        <v>45184</v>
      </c>
      <c r="O431" s="88">
        <v>89.64</v>
      </c>
      <c r="R431" s="87">
        <f t="shared" si="25"/>
        <v>45183</v>
      </c>
      <c r="S431" s="86">
        <f t="shared" si="27"/>
        <v>89.64</v>
      </c>
      <c r="T431" s="86"/>
    </row>
    <row r="432" spans="1:20" x14ac:dyDescent="0.25">
      <c r="A432" s="89">
        <v>45187</v>
      </c>
      <c r="B432" s="91">
        <v>0.11099332743084001</v>
      </c>
      <c r="E432" s="87">
        <f t="shared" si="24"/>
        <v>45184</v>
      </c>
      <c r="F432" s="90">
        <f t="shared" si="26"/>
        <v>0.110917274821257</v>
      </c>
      <c r="G432" s="90"/>
      <c r="N432" s="89">
        <v>45187</v>
      </c>
      <c r="O432" s="88">
        <v>89.64</v>
      </c>
      <c r="R432" s="87">
        <f t="shared" si="25"/>
        <v>45184</v>
      </c>
      <c r="S432" s="86">
        <f t="shared" si="27"/>
        <v>89.64</v>
      </c>
      <c r="T432" s="86"/>
    </row>
    <row r="433" spans="1:20" x14ac:dyDescent="0.25">
      <c r="A433" s="89">
        <v>45188</v>
      </c>
      <c r="B433" s="91">
        <v>0.10978834513609399</v>
      </c>
      <c r="E433" s="87">
        <f t="shared" si="24"/>
        <v>45187</v>
      </c>
      <c r="F433" s="90">
        <f t="shared" si="26"/>
        <v>0.11099332743084001</v>
      </c>
      <c r="G433" s="90"/>
      <c r="N433" s="89">
        <v>45188</v>
      </c>
      <c r="O433" s="88">
        <v>89.96</v>
      </c>
      <c r="R433" s="87">
        <f t="shared" si="25"/>
        <v>45187</v>
      </c>
      <c r="S433" s="86">
        <f t="shared" si="27"/>
        <v>89.64</v>
      </c>
      <c r="T433" s="86"/>
    </row>
    <row r="434" spans="1:20" x14ac:dyDescent="0.25">
      <c r="A434" s="89">
        <v>45189</v>
      </c>
      <c r="B434" s="91">
        <v>0.10962111147258299</v>
      </c>
      <c r="E434" s="87">
        <f t="shared" si="24"/>
        <v>45188</v>
      </c>
      <c r="F434" s="90">
        <f t="shared" si="26"/>
        <v>0.10978834513609399</v>
      </c>
      <c r="G434" s="90"/>
      <c r="N434" s="89">
        <v>45189</v>
      </c>
      <c r="O434" s="88">
        <v>90.01</v>
      </c>
      <c r="R434" s="87">
        <f t="shared" si="25"/>
        <v>45188</v>
      </c>
      <c r="S434" s="86">
        <f t="shared" si="27"/>
        <v>89.96</v>
      </c>
      <c r="T434" s="86"/>
    </row>
    <row r="435" spans="1:20" x14ac:dyDescent="0.25">
      <c r="A435" s="89">
        <v>45190</v>
      </c>
      <c r="B435" s="91">
        <v>0.10964571411043099</v>
      </c>
      <c r="E435" s="87">
        <f t="shared" si="24"/>
        <v>45189</v>
      </c>
      <c r="F435" s="90">
        <f t="shared" si="26"/>
        <v>0.10962111147258299</v>
      </c>
      <c r="G435" s="90"/>
      <c r="N435" s="89">
        <v>45190</v>
      </c>
      <c r="O435" s="88">
        <v>90.01</v>
      </c>
      <c r="R435" s="87">
        <f t="shared" si="25"/>
        <v>45189</v>
      </c>
      <c r="S435" s="86">
        <f t="shared" si="27"/>
        <v>90.01</v>
      </c>
      <c r="T435" s="86"/>
    </row>
    <row r="436" spans="1:20" x14ac:dyDescent="0.25">
      <c r="A436" s="89">
        <v>45191</v>
      </c>
      <c r="B436" s="91">
        <v>0.109555134640567</v>
      </c>
      <c r="E436" s="87">
        <f t="shared" si="24"/>
        <v>45190</v>
      </c>
      <c r="F436" s="90">
        <f t="shared" si="26"/>
        <v>0.10964571411043099</v>
      </c>
      <c r="G436" s="90"/>
      <c r="N436" s="89">
        <v>45191</v>
      </c>
      <c r="O436" s="88">
        <v>90.04</v>
      </c>
      <c r="R436" s="87">
        <f t="shared" si="25"/>
        <v>45190</v>
      </c>
      <c r="S436" s="86">
        <f t="shared" si="27"/>
        <v>90.01</v>
      </c>
      <c r="T436" s="86"/>
    </row>
    <row r="437" spans="1:20" x14ac:dyDescent="0.25">
      <c r="A437" s="89">
        <v>45194</v>
      </c>
      <c r="B437" s="91">
        <v>0.109744760128841</v>
      </c>
      <c r="E437" s="87">
        <f t="shared" si="24"/>
        <v>45191</v>
      </c>
      <c r="F437" s="90">
        <f t="shared" si="26"/>
        <v>0.109555134640567</v>
      </c>
      <c r="G437" s="90"/>
      <c r="N437" s="89">
        <v>45194</v>
      </c>
      <c r="O437" s="88">
        <v>90.01</v>
      </c>
      <c r="R437" s="87">
        <f t="shared" si="25"/>
        <v>45191</v>
      </c>
      <c r="S437" s="86">
        <f t="shared" si="27"/>
        <v>90.04</v>
      </c>
      <c r="T437" s="86"/>
    </row>
    <row r="438" spans="1:20" x14ac:dyDescent="0.25">
      <c r="A438" s="89">
        <v>45195</v>
      </c>
      <c r="B438" s="91">
        <v>0.11178052941901501</v>
      </c>
      <c r="E438" s="87">
        <f t="shared" si="24"/>
        <v>45194</v>
      </c>
      <c r="F438" s="90">
        <f t="shared" si="26"/>
        <v>0.109744760128841</v>
      </c>
      <c r="G438" s="90"/>
      <c r="N438" s="89">
        <v>45195</v>
      </c>
      <c r="O438" s="88">
        <v>89.49</v>
      </c>
      <c r="R438" s="87">
        <f t="shared" si="25"/>
        <v>45194</v>
      </c>
      <c r="S438" s="86">
        <f t="shared" si="27"/>
        <v>90.01</v>
      </c>
      <c r="T438" s="86"/>
    </row>
    <row r="439" spans="1:20" x14ac:dyDescent="0.25">
      <c r="A439" s="89">
        <v>45196</v>
      </c>
      <c r="B439" s="91">
        <v>0.111768117428864</v>
      </c>
      <c r="E439" s="87">
        <f t="shared" si="24"/>
        <v>45195</v>
      </c>
      <c r="F439" s="90">
        <f t="shared" si="26"/>
        <v>0.11178052941901501</v>
      </c>
      <c r="G439" s="90"/>
      <c r="N439" s="89">
        <v>45196</v>
      </c>
      <c r="O439" s="88">
        <v>89.5</v>
      </c>
      <c r="R439" s="87">
        <f t="shared" si="25"/>
        <v>45195</v>
      </c>
      <c r="S439" s="86">
        <f t="shared" si="27"/>
        <v>89.49</v>
      </c>
      <c r="T439" s="86"/>
    </row>
    <row r="440" spans="1:20" x14ac:dyDescent="0.25">
      <c r="A440" s="89">
        <v>45197</v>
      </c>
      <c r="B440" s="91">
        <v>0.112845711664378</v>
      </c>
      <c r="E440" s="87">
        <f t="shared" si="24"/>
        <v>45196</v>
      </c>
      <c r="F440" s="90">
        <f t="shared" si="26"/>
        <v>0.111768117428864</v>
      </c>
      <c r="G440" s="90"/>
      <c r="N440" s="89">
        <v>45197</v>
      </c>
      <c r="O440" s="88">
        <v>89.23</v>
      </c>
      <c r="R440" s="87">
        <f t="shared" si="25"/>
        <v>45196</v>
      </c>
      <c r="S440" s="86">
        <f t="shared" si="27"/>
        <v>89.5</v>
      </c>
      <c r="T440" s="86"/>
    </row>
    <row r="441" spans="1:20" x14ac:dyDescent="0.25">
      <c r="A441" s="89">
        <v>45198</v>
      </c>
      <c r="B441" s="91">
        <v>0.112833964299691</v>
      </c>
      <c r="E441" s="87">
        <f t="shared" si="24"/>
        <v>45197</v>
      </c>
      <c r="F441" s="90">
        <f t="shared" si="26"/>
        <v>0.112845711664378</v>
      </c>
      <c r="G441" s="90"/>
      <c r="N441" s="89">
        <v>45198</v>
      </c>
      <c r="O441" s="88">
        <v>89.24</v>
      </c>
      <c r="R441" s="87">
        <f t="shared" si="25"/>
        <v>45197</v>
      </c>
      <c r="S441" s="86">
        <f t="shared" si="27"/>
        <v>89.23</v>
      </c>
      <c r="T441" s="86"/>
    </row>
    <row r="442" spans="1:20" x14ac:dyDescent="0.25">
      <c r="A442" s="89">
        <v>45201</v>
      </c>
      <c r="B442" s="91">
        <v>0.113777869532507</v>
      </c>
      <c r="E442" s="87">
        <f t="shared" si="24"/>
        <v>45198</v>
      </c>
      <c r="F442" s="90">
        <f t="shared" si="26"/>
        <v>0.112833964299691</v>
      </c>
      <c r="G442" s="90"/>
      <c r="N442" s="89">
        <v>45201</v>
      </c>
      <c r="O442" s="88">
        <v>89.02</v>
      </c>
      <c r="R442" s="87">
        <f t="shared" si="25"/>
        <v>45198</v>
      </c>
      <c r="S442" s="86">
        <f t="shared" si="27"/>
        <v>89.24</v>
      </c>
      <c r="T442" s="86"/>
    </row>
    <row r="443" spans="1:20" x14ac:dyDescent="0.25">
      <c r="A443" s="89">
        <v>45202</v>
      </c>
      <c r="B443" s="91">
        <v>0.11345292458686201</v>
      </c>
      <c r="E443" s="87">
        <f t="shared" si="24"/>
        <v>45201</v>
      </c>
      <c r="F443" s="90">
        <f t="shared" si="26"/>
        <v>0.113777869532507</v>
      </c>
      <c r="G443" s="90"/>
      <c r="N443" s="89">
        <v>45202</v>
      </c>
      <c r="O443" s="88">
        <v>89.11</v>
      </c>
      <c r="R443" s="87">
        <f t="shared" si="25"/>
        <v>45201</v>
      </c>
      <c r="S443" s="86">
        <f t="shared" si="27"/>
        <v>89.02</v>
      </c>
      <c r="T443" s="86"/>
    </row>
    <row r="444" spans="1:20" x14ac:dyDescent="0.25">
      <c r="A444" s="89">
        <v>45203</v>
      </c>
      <c r="B444" s="91">
        <v>0.11391282609162401</v>
      </c>
      <c r="E444" s="87">
        <f t="shared" si="24"/>
        <v>45202</v>
      </c>
      <c r="F444" s="90">
        <f t="shared" si="26"/>
        <v>0.11345292458686201</v>
      </c>
      <c r="G444" s="90"/>
      <c r="N444" s="89">
        <v>45203</v>
      </c>
      <c r="O444" s="88">
        <v>89</v>
      </c>
      <c r="R444" s="87">
        <f t="shared" si="25"/>
        <v>45202</v>
      </c>
      <c r="S444" s="86">
        <f t="shared" si="27"/>
        <v>89.11</v>
      </c>
      <c r="T444" s="86"/>
    </row>
    <row r="445" spans="1:20" x14ac:dyDescent="0.25">
      <c r="A445" s="89">
        <v>45204</v>
      </c>
      <c r="B445" s="91">
        <v>0.114413468379005</v>
      </c>
      <c r="E445" s="87">
        <f t="shared" si="24"/>
        <v>45203</v>
      </c>
      <c r="F445" s="90">
        <f t="shared" si="26"/>
        <v>0.11391282609162401</v>
      </c>
      <c r="G445" s="90"/>
      <c r="N445" s="89">
        <v>45204</v>
      </c>
      <c r="O445" s="88">
        <v>88.88</v>
      </c>
      <c r="R445" s="87">
        <f t="shared" si="25"/>
        <v>45203</v>
      </c>
      <c r="S445" s="86">
        <f t="shared" si="27"/>
        <v>89</v>
      </c>
      <c r="T445" s="86"/>
    </row>
    <row r="446" spans="1:20" x14ac:dyDescent="0.25">
      <c r="A446" s="89">
        <v>45205</v>
      </c>
      <c r="B446" s="91">
        <v>0.1140876841834</v>
      </c>
      <c r="E446" s="87">
        <f t="shared" si="24"/>
        <v>45204</v>
      </c>
      <c r="F446" s="90">
        <f t="shared" si="26"/>
        <v>0.114413468379005</v>
      </c>
      <c r="G446" s="90"/>
      <c r="N446" s="89">
        <v>45205</v>
      </c>
      <c r="O446" s="88">
        <v>88.97</v>
      </c>
      <c r="R446" s="87">
        <f t="shared" si="25"/>
        <v>45204</v>
      </c>
      <c r="S446" s="86">
        <f t="shared" si="27"/>
        <v>88.88</v>
      </c>
      <c r="T446" s="86"/>
    </row>
    <row r="447" spans="1:20" x14ac:dyDescent="0.25">
      <c r="A447" s="89">
        <v>45208</v>
      </c>
      <c r="B447" s="91">
        <v>0.114173641195725</v>
      </c>
      <c r="E447" s="87">
        <f t="shared" si="24"/>
        <v>45205</v>
      </c>
      <c r="F447" s="90">
        <f t="shared" si="26"/>
        <v>0.1140876841834</v>
      </c>
      <c r="G447" s="90"/>
      <c r="N447" s="89">
        <v>45208</v>
      </c>
      <c r="O447" s="88">
        <v>88.97</v>
      </c>
      <c r="R447" s="87">
        <f t="shared" si="25"/>
        <v>45205</v>
      </c>
      <c r="S447" s="86">
        <f t="shared" si="27"/>
        <v>88.97</v>
      </c>
      <c r="T447" s="86"/>
    </row>
    <row r="448" spans="1:20" x14ac:dyDescent="0.25">
      <c r="A448" s="89">
        <v>45209</v>
      </c>
      <c r="B448" s="91">
        <v>0.115112021328691</v>
      </c>
      <c r="E448" s="87">
        <f t="shared" si="24"/>
        <v>45208</v>
      </c>
      <c r="F448" s="90">
        <f t="shared" si="26"/>
        <v>0.114173641195725</v>
      </c>
      <c r="G448" s="90"/>
      <c r="N448" s="89">
        <v>45209</v>
      </c>
      <c r="O448" s="88">
        <v>88.74</v>
      </c>
      <c r="R448" s="87">
        <f t="shared" si="25"/>
        <v>45208</v>
      </c>
      <c r="S448" s="86">
        <f t="shared" si="27"/>
        <v>88.97</v>
      </c>
      <c r="T448" s="86"/>
    </row>
    <row r="449" spans="1:20" x14ac:dyDescent="0.25">
      <c r="A449" s="89">
        <v>45210</v>
      </c>
      <c r="B449" s="91">
        <v>0.11423130889268202</v>
      </c>
      <c r="E449" s="87">
        <f t="shared" si="24"/>
        <v>45209</v>
      </c>
      <c r="F449" s="90">
        <f t="shared" si="26"/>
        <v>0.115112021328691</v>
      </c>
      <c r="G449" s="90"/>
      <c r="N449" s="89">
        <v>45210</v>
      </c>
      <c r="O449" s="88">
        <v>88.97</v>
      </c>
      <c r="R449" s="87">
        <f t="shared" si="25"/>
        <v>45209</v>
      </c>
      <c r="S449" s="86">
        <f t="shared" si="27"/>
        <v>88.74</v>
      </c>
      <c r="T449" s="86"/>
    </row>
    <row r="450" spans="1:20" x14ac:dyDescent="0.25">
      <c r="A450" s="89">
        <v>45211</v>
      </c>
      <c r="B450" s="91">
        <v>0.11418117994944801</v>
      </c>
      <c r="E450" s="87">
        <f t="shared" si="24"/>
        <v>45210</v>
      </c>
      <c r="F450" s="90">
        <f t="shared" si="26"/>
        <v>0.11423130889268202</v>
      </c>
      <c r="G450" s="90"/>
      <c r="N450" s="89">
        <v>45211</v>
      </c>
      <c r="O450" s="88">
        <v>88.99</v>
      </c>
      <c r="R450" s="87">
        <f t="shared" si="25"/>
        <v>45210</v>
      </c>
      <c r="S450" s="86">
        <f t="shared" si="27"/>
        <v>88.97</v>
      </c>
      <c r="T450" s="86"/>
    </row>
    <row r="451" spans="1:20" x14ac:dyDescent="0.25">
      <c r="A451" s="89">
        <v>45212</v>
      </c>
      <c r="B451" s="91">
        <v>0.11417058206296798</v>
      </c>
      <c r="E451" s="87">
        <f t="shared" si="24"/>
        <v>45211</v>
      </c>
      <c r="F451" s="90">
        <f t="shared" si="26"/>
        <v>0.11418117994944801</v>
      </c>
      <c r="G451" s="90"/>
      <c r="N451" s="89">
        <v>45212</v>
      </c>
      <c r="O451" s="88">
        <v>89</v>
      </c>
      <c r="R451" s="87">
        <f t="shared" si="25"/>
        <v>45211</v>
      </c>
      <c r="S451" s="86">
        <f t="shared" si="27"/>
        <v>88.99</v>
      </c>
      <c r="T451" s="86"/>
    </row>
    <row r="452" spans="1:20" x14ac:dyDescent="0.25">
      <c r="A452" s="89">
        <v>45215</v>
      </c>
      <c r="B452" s="91">
        <v>0.11409929278122799</v>
      </c>
      <c r="E452" s="87">
        <f t="shared" ref="E452:E515" si="28">A451</f>
        <v>45212</v>
      </c>
      <c r="F452" s="90">
        <f t="shared" si="26"/>
        <v>0.11417058206296798</v>
      </c>
      <c r="G452" s="90"/>
      <c r="N452" s="89">
        <v>45215</v>
      </c>
      <c r="O452" s="88">
        <v>89.04</v>
      </c>
      <c r="R452" s="87">
        <f t="shared" ref="R452:R515" si="29">N451</f>
        <v>45212</v>
      </c>
      <c r="S452" s="86">
        <f t="shared" si="27"/>
        <v>89</v>
      </c>
      <c r="T452" s="86"/>
    </row>
    <row r="453" spans="1:20" x14ac:dyDescent="0.25">
      <c r="A453" s="89">
        <v>45216</v>
      </c>
      <c r="B453" s="91">
        <v>0.11393022890424299</v>
      </c>
      <c r="E453" s="87">
        <f t="shared" si="28"/>
        <v>45215</v>
      </c>
      <c r="F453" s="90">
        <f t="shared" ref="F453:F516" si="30">B452</f>
        <v>0.11409929278122799</v>
      </c>
      <c r="G453" s="90"/>
      <c r="N453" s="89">
        <v>45216</v>
      </c>
      <c r="O453" s="88">
        <v>89.09</v>
      </c>
      <c r="R453" s="87">
        <f t="shared" si="29"/>
        <v>45215</v>
      </c>
      <c r="S453" s="86">
        <f t="shared" ref="S453:S516" si="31">O452</f>
        <v>89.04</v>
      </c>
      <c r="T453" s="86"/>
    </row>
    <row r="454" spans="1:20" x14ac:dyDescent="0.25">
      <c r="A454" s="89">
        <v>45217</v>
      </c>
      <c r="B454" s="91">
        <v>0.11435603765298699</v>
      </c>
      <c r="E454" s="87">
        <f t="shared" si="28"/>
        <v>45216</v>
      </c>
      <c r="F454" s="90">
        <f t="shared" si="30"/>
        <v>0.11393022890424299</v>
      </c>
      <c r="G454" s="90"/>
      <c r="N454" s="89">
        <v>45217</v>
      </c>
      <c r="O454" s="88">
        <v>88.99</v>
      </c>
      <c r="R454" s="87">
        <f t="shared" si="29"/>
        <v>45216</v>
      </c>
      <c r="S454" s="86">
        <f t="shared" si="31"/>
        <v>89.09</v>
      </c>
      <c r="T454" s="86"/>
    </row>
    <row r="455" spans="1:20" x14ac:dyDescent="0.25">
      <c r="A455" s="89">
        <v>45218</v>
      </c>
      <c r="B455" s="91">
        <v>0.114623942346741</v>
      </c>
      <c r="E455" s="87">
        <f t="shared" si="28"/>
        <v>45217</v>
      </c>
      <c r="F455" s="90">
        <f t="shared" si="30"/>
        <v>0.11435603765298699</v>
      </c>
      <c r="G455" s="90"/>
      <c r="N455" s="89">
        <v>45218</v>
      </c>
      <c r="O455" s="88">
        <v>88.93</v>
      </c>
      <c r="R455" s="87">
        <f t="shared" si="29"/>
        <v>45217</v>
      </c>
      <c r="S455" s="86">
        <f t="shared" si="31"/>
        <v>88.99</v>
      </c>
      <c r="T455" s="86"/>
    </row>
    <row r="456" spans="1:20" x14ac:dyDescent="0.25">
      <c r="A456" s="89">
        <v>45219</v>
      </c>
      <c r="B456" s="91">
        <v>0.11529104186867099</v>
      </c>
      <c r="E456" s="87">
        <f t="shared" si="28"/>
        <v>45218</v>
      </c>
      <c r="F456" s="90">
        <f t="shared" si="30"/>
        <v>0.114623942346741</v>
      </c>
      <c r="G456" s="90"/>
      <c r="N456" s="89">
        <v>45219</v>
      </c>
      <c r="O456" s="88">
        <v>88.77</v>
      </c>
      <c r="R456" s="87">
        <f t="shared" si="29"/>
        <v>45218</v>
      </c>
      <c r="S456" s="86">
        <f t="shared" si="31"/>
        <v>88.93</v>
      </c>
      <c r="T456" s="86"/>
    </row>
    <row r="457" spans="1:20" x14ac:dyDescent="0.25">
      <c r="A457" s="89">
        <v>45222</v>
      </c>
      <c r="B457" s="91">
        <v>0.115222016619986</v>
      </c>
      <c r="E457" s="87">
        <f t="shared" si="28"/>
        <v>45219</v>
      </c>
      <c r="F457" s="90">
        <f t="shared" si="30"/>
        <v>0.11529104186867099</v>
      </c>
      <c r="G457" s="90"/>
      <c r="N457" s="89">
        <v>45222</v>
      </c>
      <c r="O457" s="88">
        <v>88.81</v>
      </c>
      <c r="R457" s="87">
        <f t="shared" si="29"/>
        <v>45219</v>
      </c>
      <c r="S457" s="86">
        <f t="shared" si="31"/>
        <v>88.77</v>
      </c>
      <c r="T457" s="86"/>
    </row>
    <row r="458" spans="1:20" x14ac:dyDescent="0.25">
      <c r="A458" s="89">
        <v>45223</v>
      </c>
      <c r="B458" s="91">
        <v>0.115452298132888</v>
      </c>
      <c r="E458" s="87">
        <f t="shared" si="28"/>
        <v>45222</v>
      </c>
      <c r="F458" s="90">
        <f t="shared" si="30"/>
        <v>0.115222016619986</v>
      </c>
      <c r="G458" s="90"/>
      <c r="N458" s="89">
        <v>45223</v>
      </c>
      <c r="O458" s="88">
        <v>88.76</v>
      </c>
      <c r="R458" s="87">
        <f t="shared" si="29"/>
        <v>45222</v>
      </c>
      <c r="S458" s="86">
        <f t="shared" si="31"/>
        <v>88.81</v>
      </c>
      <c r="T458" s="86"/>
    </row>
    <row r="459" spans="1:20" x14ac:dyDescent="0.25">
      <c r="A459" s="89">
        <v>45224</v>
      </c>
      <c r="B459" s="91">
        <v>0.11552287324294901</v>
      </c>
      <c r="E459" s="87">
        <f t="shared" si="28"/>
        <v>45223</v>
      </c>
      <c r="F459" s="90">
        <f t="shared" si="30"/>
        <v>0.115452298132888</v>
      </c>
      <c r="G459" s="90"/>
      <c r="N459" s="89">
        <v>45224</v>
      </c>
      <c r="O459" s="88">
        <v>88.75</v>
      </c>
      <c r="R459" s="87">
        <f t="shared" si="29"/>
        <v>45223</v>
      </c>
      <c r="S459" s="86">
        <f t="shared" si="31"/>
        <v>88.76</v>
      </c>
      <c r="T459" s="86"/>
    </row>
    <row r="460" spans="1:20" x14ac:dyDescent="0.25">
      <c r="A460" s="89">
        <v>45225</v>
      </c>
      <c r="B460" s="91">
        <v>0.11555351454615501</v>
      </c>
      <c r="E460" s="87">
        <f t="shared" si="28"/>
        <v>45224</v>
      </c>
      <c r="F460" s="90">
        <f t="shared" si="30"/>
        <v>0.11552287324294901</v>
      </c>
      <c r="G460" s="90"/>
      <c r="N460" s="89">
        <v>45225</v>
      </c>
      <c r="O460" s="88">
        <v>88.75</v>
      </c>
      <c r="R460" s="87">
        <f t="shared" si="29"/>
        <v>45224</v>
      </c>
      <c r="S460" s="86">
        <f t="shared" si="31"/>
        <v>88.75</v>
      </c>
      <c r="T460" s="86"/>
    </row>
    <row r="461" spans="1:20" x14ac:dyDescent="0.25">
      <c r="A461" s="89">
        <v>45226</v>
      </c>
      <c r="B461" s="91">
        <v>0.115584233389445</v>
      </c>
      <c r="E461" s="87">
        <f t="shared" si="28"/>
        <v>45225</v>
      </c>
      <c r="F461" s="90">
        <f t="shared" si="30"/>
        <v>0.11555351454615501</v>
      </c>
      <c r="G461" s="90"/>
      <c r="N461" s="89">
        <v>45226</v>
      </c>
      <c r="O461" s="88">
        <v>88.75</v>
      </c>
      <c r="R461" s="87">
        <f t="shared" si="29"/>
        <v>45225</v>
      </c>
      <c r="S461" s="86">
        <f t="shared" si="31"/>
        <v>88.75</v>
      </c>
      <c r="T461" s="86"/>
    </row>
    <row r="462" spans="1:20" x14ac:dyDescent="0.25">
      <c r="A462" s="89">
        <v>45229</v>
      </c>
      <c r="B462" s="91">
        <v>0.114073587845401</v>
      </c>
      <c r="E462" s="87">
        <f t="shared" si="28"/>
        <v>45226</v>
      </c>
      <c r="F462" s="90">
        <f t="shared" si="30"/>
        <v>0.115584233389445</v>
      </c>
      <c r="G462" s="90"/>
      <c r="N462" s="89">
        <v>45229</v>
      </c>
      <c r="O462" s="88">
        <v>89.15</v>
      </c>
      <c r="R462" s="87">
        <f t="shared" si="29"/>
        <v>45226</v>
      </c>
      <c r="S462" s="86">
        <f t="shared" si="31"/>
        <v>88.75</v>
      </c>
      <c r="T462" s="86"/>
    </row>
    <row r="463" spans="1:20" x14ac:dyDescent="0.25">
      <c r="A463" s="89">
        <v>45230</v>
      </c>
      <c r="B463" s="91">
        <v>0.11551417717780099</v>
      </c>
      <c r="E463" s="87">
        <f t="shared" si="28"/>
        <v>45229</v>
      </c>
      <c r="F463" s="90">
        <f t="shared" si="30"/>
        <v>0.114073587845401</v>
      </c>
      <c r="G463" s="90"/>
      <c r="N463" s="89">
        <v>45230</v>
      </c>
      <c r="O463" s="88">
        <v>88.77</v>
      </c>
      <c r="R463" s="87">
        <f t="shared" si="29"/>
        <v>45229</v>
      </c>
      <c r="S463" s="86">
        <f t="shared" si="31"/>
        <v>89.15</v>
      </c>
      <c r="T463" s="86"/>
    </row>
    <row r="464" spans="1:20" x14ac:dyDescent="0.25">
      <c r="A464" s="89">
        <v>45231</v>
      </c>
      <c r="B464" s="91">
        <v>0.115627453499612</v>
      </c>
      <c r="E464" s="87">
        <f t="shared" si="28"/>
        <v>45230</v>
      </c>
      <c r="F464" s="90">
        <f t="shared" si="30"/>
        <v>0.11551417717780099</v>
      </c>
      <c r="G464" s="90"/>
      <c r="N464" s="89">
        <v>45231</v>
      </c>
      <c r="O464" s="88">
        <v>88.77</v>
      </c>
      <c r="R464" s="87">
        <f t="shared" si="29"/>
        <v>45230</v>
      </c>
      <c r="S464" s="86">
        <f t="shared" si="31"/>
        <v>88.77</v>
      </c>
      <c r="T464" s="86"/>
    </row>
    <row r="465" spans="1:20" x14ac:dyDescent="0.25">
      <c r="A465" s="89">
        <v>45232</v>
      </c>
      <c r="B465" s="91">
        <v>0.113533488777269</v>
      </c>
      <c r="E465" s="87">
        <f t="shared" si="28"/>
        <v>45231</v>
      </c>
      <c r="F465" s="90">
        <f t="shared" si="30"/>
        <v>0.115627453499612</v>
      </c>
      <c r="G465" s="90"/>
      <c r="N465" s="89">
        <v>45232</v>
      </c>
      <c r="O465" s="88">
        <v>89.3</v>
      </c>
      <c r="R465" s="87">
        <f t="shared" si="29"/>
        <v>45231</v>
      </c>
      <c r="S465" s="86">
        <f t="shared" si="31"/>
        <v>88.77</v>
      </c>
      <c r="T465" s="86"/>
    </row>
    <row r="466" spans="1:20" x14ac:dyDescent="0.25">
      <c r="A466" s="89">
        <v>45233</v>
      </c>
      <c r="B466" s="91">
        <v>0.113083686301801</v>
      </c>
      <c r="E466" s="87">
        <f t="shared" si="28"/>
        <v>45232</v>
      </c>
      <c r="F466" s="90">
        <f t="shared" si="30"/>
        <v>0.113533488777269</v>
      </c>
      <c r="G466" s="90"/>
      <c r="N466" s="89">
        <v>45233</v>
      </c>
      <c r="O466" s="88">
        <v>89.42</v>
      </c>
      <c r="R466" s="87">
        <f t="shared" si="29"/>
        <v>45232</v>
      </c>
      <c r="S466" s="86">
        <f t="shared" si="31"/>
        <v>89.3</v>
      </c>
      <c r="T466" s="86"/>
    </row>
    <row r="467" spans="1:20" x14ac:dyDescent="0.25">
      <c r="A467" s="89">
        <v>45236</v>
      </c>
      <c r="B467" s="91">
        <v>0.113011697780512</v>
      </c>
      <c r="E467" s="87">
        <f t="shared" si="28"/>
        <v>45233</v>
      </c>
      <c r="F467" s="90">
        <f t="shared" si="30"/>
        <v>0.113083686301801</v>
      </c>
      <c r="G467" s="90"/>
      <c r="N467" s="89">
        <v>45236</v>
      </c>
      <c r="O467" s="88">
        <v>89.46</v>
      </c>
      <c r="R467" s="87">
        <f t="shared" si="29"/>
        <v>45233</v>
      </c>
      <c r="S467" s="86">
        <f t="shared" si="31"/>
        <v>89.42</v>
      </c>
      <c r="T467" s="86"/>
    </row>
    <row r="468" spans="1:20" x14ac:dyDescent="0.25">
      <c r="A468" s="89">
        <v>45237</v>
      </c>
      <c r="B468" s="91">
        <v>0.11332125698183299</v>
      </c>
      <c r="E468" s="87">
        <f t="shared" si="28"/>
        <v>45236</v>
      </c>
      <c r="F468" s="90">
        <f t="shared" si="30"/>
        <v>0.113011697780512</v>
      </c>
      <c r="G468" s="90"/>
      <c r="N468" s="89">
        <v>45237</v>
      </c>
      <c r="O468" s="88">
        <v>89.39</v>
      </c>
      <c r="R468" s="87">
        <f t="shared" si="29"/>
        <v>45236</v>
      </c>
      <c r="S468" s="86">
        <f t="shared" si="31"/>
        <v>89.46</v>
      </c>
      <c r="T468" s="86"/>
    </row>
    <row r="469" spans="1:20" x14ac:dyDescent="0.25">
      <c r="A469" s="89">
        <v>45238</v>
      </c>
      <c r="B469" s="91">
        <v>0.113631585560678</v>
      </c>
      <c r="E469" s="87">
        <f t="shared" si="28"/>
        <v>45237</v>
      </c>
      <c r="F469" s="90">
        <f t="shared" si="30"/>
        <v>0.11332125698183299</v>
      </c>
      <c r="G469" s="90"/>
      <c r="N469" s="89">
        <v>45238</v>
      </c>
      <c r="O469" s="88">
        <v>89.32</v>
      </c>
      <c r="R469" s="87">
        <f t="shared" si="29"/>
        <v>45237</v>
      </c>
      <c r="S469" s="86">
        <f t="shared" si="31"/>
        <v>89.39</v>
      </c>
      <c r="T469" s="86"/>
    </row>
    <row r="470" spans="1:20" x14ac:dyDescent="0.25">
      <c r="A470" s="89">
        <v>45239</v>
      </c>
      <c r="B470" s="91">
        <v>0.11330040946939601</v>
      </c>
      <c r="E470" s="87">
        <f t="shared" si="28"/>
        <v>45238</v>
      </c>
      <c r="F470" s="90">
        <f t="shared" si="30"/>
        <v>0.113631585560678</v>
      </c>
      <c r="G470" s="90"/>
      <c r="N470" s="89">
        <v>45239</v>
      </c>
      <c r="O470" s="88">
        <v>89.41</v>
      </c>
      <c r="R470" s="87">
        <f t="shared" si="29"/>
        <v>45238</v>
      </c>
      <c r="S470" s="86">
        <f t="shared" si="31"/>
        <v>89.32</v>
      </c>
      <c r="T470" s="86"/>
    </row>
    <row r="471" spans="1:20" x14ac:dyDescent="0.25">
      <c r="A471" s="89">
        <v>45240</v>
      </c>
      <c r="B471" s="91">
        <v>0.113932691593397</v>
      </c>
      <c r="E471" s="87">
        <f t="shared" si="28"/>
        <v>45239</v>
      </c>
      <c r="F471" s="90">
        <f t="shared" si="30"/>
        <v>0.11330040946939601</v>
      </c>
      <c r="G471" s="90"/>
      <c r="N471" s="89">
        <v>45240</v>
      </c>
      <c r="O471" s="88">
        <v>89.26</v>
      </c>
      <c r="R471" s="87">
        <f t="shared" si="29"/>
        <v>45239</v>
      </c>
      <c r="S471" s="86">
        <f t="shared" si="31"/>
        <v>89.41</v>
      </c>
      <c r="T471" s="86"/>
    </row>
    <row r="472" spans="1:20" x14ac:dyDescent="0.25">
      <c r="A472" s="89">
        <v>45243</v>
      </c>
      <c r="B472" s="91">
        <v>0.114023724125818</v>
      </c>
      <c r="E472" s="87">
        <f t="shared" si="28"/>
        <v>45240</v>
      </c>
      <c r="F472" s="90">
        <f t="shared" si="30"/>
        <v>0.113932691593397</v>
      </c>
      <c r="G472" s="90"/>
      <c r="N472" s="89">
        <v>45243</v>
      </c>
      <c r="O472" s="88">
        <v>89.26</v>
      </c>
      <c r="R472" s="87">
        <f t="shared" si="29"/>
        <v>45240</v>
      </c>
      <c r="S472" s="86">
        <f t="shared" si="31"/>
        <v>89.26</v>
      </c>
      <c r="T472" s="86"/>
    </row>
    <row r="473" spans="1:20" x14ac:dyDescent="0.25">
      <c r="A473" s="89">
        <v>45244</v>
      </c>
      <c r="B473" s="91">
        <v>0.11316822434224599</v>
      </c>
      <c r="E473" s="87">
        <f t="shared" si="28"/>
        <v>45243</v>
      </c>
      <c r="F473" s="90">
        <f t="shared" si="30"/>
        <v>0.114023724125818</v>
      </c>
      <c r="G473" s="90"/>
      <c r="N473" s="89">
        <v>45244</v>
      </c>
      <c r="O473" s="88">
        <v>89.48</v>
      </c>
      <c r="R473" s="87">
        <f t="shared" si="29"/>
        <v>45243</v>
      </c>
      <c r="S473" s="86">
        <f t="shared" si="31"/>
        <v>89.26</v>
      </c>
      <c r="T473" s="86"/>
    </row>
    <row r="474" spans="1:20" x14ac:dyDescent="0.25">
      <c r="A474" s="89">
        <v>45245</v>
      </c>
      <c r="B474" s="91">
        <v>0.11315788731506199</v>
      </c>
      <c r="E474" s="87">
        <f t="shared" si="28"/>
        <v>45244</v>
      </c>
      <c r="F474" s="90">
        <f t="shared" si="30"/>
        <v>0.11316822434224599</v>
      </c>
      <c r="G474" s="90"/>
      <c r="N474" s="89">
        <v>45245</v>
      </c>
      <c r="O474" s="88">
        <v>89.49</v>
      </c>
      <c r="R474" s="87">
        <f t="shared" si="29"/>
        <v>45244</v>
      </c>
      <c r="S474" s="86">
        <f t="shared" si="31"/>
        <v>89.48</v>
      </c>
      <c r="T474" s="86"/>
    </row>
    <row r="475" spans="1:20" x14ac:dyDescent="0.25">
      <c r="A475" s="89">
        <v>45246</v>
      </c>
      <c r="B475" s="91">
        <v>0.11294633104137701</v>
      </c>
      <c r="E475" s="87">
        <f t="shared" si="28"/>
        <v>45245</v>
      </c>
      <c r="F475" s="90">
        <f t="shared" si="30"/>
        <v>0.11315788731506199</v>
      </c>
      <c r="G475" s="90"/>
      <c r="N475" s="89">
        <v>45246</v>
      </c>
      <c r="O475" s="88">
        <v>89.55</v>
      </c>
      <c r="R475" s="87">
        <f t="shared" si="29"/>
        <v>45245</v>
      </c>
      <c r="S475" s="86">
        <f t="shared" si="31"/>
        <v>89.49</v>
      </c>
      <c r="T475" s="86"/>
    </row>
    <row r="476" spans="1:20" x14ac:dyDescent="0.25">
      <c r="A476" s="89">
        <v>45247</v>
      </c>
      <c r="B476" s="91">
        <v>0.11297617229578601</v>
      </c>
      <c r="E476" s="87">
        <f t="shared" si="28"/>
        <v>45246</v>
      </c>
      <c r="F476" s="90">
        <f t="shared" si="30"/>
        <v>0.11294633104137701</v>
      </c>
      <c r="G476" s="90"/>
      <c r="N476" s="89">
        <v>45247</v>
      </c>
      <c r="O476" s="88">
        <v>89.55</v>
      </c>
      <c r="R476" s="87">
        <f t="shared" si="29"/>
        <v>45246</v>
      </c>
      <c r="S476" s="86">
        <f t="shared" si="31"/>
        <v>89.55</v>
      </c>
      <c r="T476" s="86"/>
    </row>
    <row r="477" spans="1:20" x14ac:dyDescent="0.25">
      <c r="A477" s="89">
        <v>45250</v>
      </c>
      <c r="B477" s="91">
        <v>0.11141615106476699</v>
      </c>
      <c r="E477" s="87">
        <f t="shared" si="28"/>
        <v>45247</v>
      </c>
      <c r="F477" s="90">
        <f t="shared" si="30"/>
        <v>0.11297617229578601</v>
      </c>
      <c r="G477" s="90"/>
      <c r="N477" s="89">
        <v>45250</v>
      </c>
      <c r="O477" s="88">
        <v>89.96</v>
      </c>
      <c r="R477" s="87">
        <f t="shared" si="29"/>
        <v>45247</v>
      </c>
      <c r="S477" s="86">
        <f t="shared" si="31"/>
        <v>89.55</v>
      </c>
      <c r="T477" s="86"/>
    </row>
    <row r="478" spans="1:20" x14ac:dyDescent="0.25">
      <c r="A478" s="89">
        <v>45251</v>
      </c>
      <c r="B478" s="91">
        <v>0.110402683960946</v>
      </c>
      <c r="E478" s="87">
        <f t="shared" si="28"/>
        <v>45250</v>
      </c>
      <c r="F478" s="90">
        <f t="shared" si="30"/>
        <v>0.11141615106476699</v>
      </c>
      <c r="G478" s="90"/>
      <c r="N478" s="89">
        <v>45251</v>
      </c>
      <c r="O478" s="88">
        <v>90.22</v>
      </c>
      <c r="R478" s="87">
        <f t="shared" si="29"/>
        <v>45250</v>
      </c>
      <c r="S478" s="86">
        <f t="shared" si="31"/>
        <v>89.96</v>
      </c>
      <c r="T478" s="86"/>
    </row>
    <row r="479" spans="1:20" x14ac:dyDescent="0.25">
      <c r="A479" s="89">
        <v>45252</v>
      </c>
      <c r="B479" s="91">
        <v>0.110350750511857</v>
      </c>
      <c r="E479" s="87">
        <f t="shared" si="28"/>
        <v>45251</v>
      </c>
      <c r="F479" s="90">
        <f t="shared" si="30"/>
        <v>0.110402683960946</v>
      </c>
      <c r="G479" s="90"/>
      <c r="N479" s="89">
        <v>45252</v>
      </c>
      <c r="O479" s="88">
        <v>90.24</v>
      </c>
      <c r="R479" s="87">
        <f t="shared" si="29"/>
        <v>45251</v>
      </c>
      <c r="S479" s="86">
        <f t="shared" si="31"/>
        <v>90.22</v>
      </c>
      <c r="T479" s="86"/>
    </row>
    <row r="480" spans="1:20" x14ac:dyDescent="0.25">
      <c r="A480" s="89">
        <v>45254</v>
      </c>
      <c r="B480" s="91">
        <v>0.10936638861980401</v>
      </c>
      <c r="E480" s="87">
        <f t="shared" si="28"/>
        <v>45252</v>
      </c>
      <c r="F480" s="90">
        <f t="shared" si="30"/>
        <v>0.110350750511857</v>
      </c>
      <c r="G480" s="90"/>
      <c r="N480" s="89">
        <v>45254</v>
      </c>
      <c r="O480" s="88">
        <v>90.5</v>
      </c>
      <c r="R480" s="87">
        <f t="shared" si="29"/>
        <v>45252</v>
      </c>
      <c r="S480" s="86">
        <f t="shared" si="31"/>
        <v>90.24</v>
      </c>
      <c r="T480" s="86"/>
    </row>
    <row r="481" spans="1:20" x14ac:dyDescent="0.25">
      <c r="A481" s="89">
        <v>45257</v>
      </c>
      <c r="B481" s="91">
        <v>0.10956931780957299</v>
      </c>
      <c r="E481" s="87">
        <f t="shared" si="28"/>
        <v>45254</v>
      </c>
      <c r="F481" s="90">
        <f t="shared" si="30"/>
        <v>0.10936638861980401</v>
      </c>
      <c r="G481" s="90"/>
      <c r="N481" s="89">
        <v>45257</v>
      </c>
      <c r="O481" s="88">
        <v>90.47</v>
      </c>
      <c r="R481" s="87">
        <f t="shared" si="29"/>
        <v>45254</v>
      </c>
      <c r="S481" s="86">
        <f t="shared" si="31"/>
        <v>90.5</v>
      </c>
      <c r="T481" s="86"/>
    </row>
    <row r="482" spans="1:20" x14ac:dyDescent="0.25">
      <c r="A482" s="89">
        <v>45258</v>
      </c>
      <c r="B482" s="91">
        <v>0.11036000744967801</v>
      </c>
      <c r="E482" s="87">
        <f t="shared" si="28"/>
        <v>45257</v>
      </c>
      <c r="F482" s="90">
        <f t="shared" si="30"/>
        <v>0.10956931780957299</v>
      </c>
      <c r="G482" s="90"/>
      <c r="N482" s="89">
        <v>45258</v>
      </c>
      <c r="O482" s="88">
        <v>90.28</v>
      </c>
      <c r="R482" s="87">
        <f t="shared" si="29"/>
        <v>45257</v>
      </c>
      <c r="S482" s="86">
        <f t="shared" si="31"/>
        <v>90.47</v>
      </c>
      <c r="T482" s="86"/>
    </row>
    <row r="483" spans="1:20" x14ac:dyDescent="0.25">
      <c r="A483" s="89">
        <v>45259</v>
      </c>
      <c r="B483" s="91">
        <v>0.106432019291729</v>
      </c>
      <c r="E483" s="87">
        <f t="shared" si="28"/>
        <v>45258</v>
      </c>
      <c r="F483" s="90">
        <f t="shared" si="30"/>
        <v>0.11036000744967801</v>
      </c>
      <c r="G483" s="90"/>
      <c r="N483" s="89">
        <v>45259</v>
      </c>
      <c r="O483" s="88">
        <v>91.27</v>
      </c>
      <c r="R483" s="87">
        <f t="shared" si="29"/>
        <v>45258</v>
      </c>
      <c r="S483" s="86">
        <f t="shared" si="31"/>
        <v>90.28</v>
      </c>
      <c r="T483" s="86"/>
    </row>
    <row r="484" spans="1:20" x14ac:dyDescent="0.25">
      <c r="A484" s="89">
        <v>45260</v>
      </c>
      <c r="B484" s="91">
        <v>0.106060497605798</v>
      </c>
      <c r="E484" s="87">
        <f t="shared" si="28"/>
        <v>45259</v>
      </c>
      <c r="F484" s="90">
        <f t="shared" si="30"/>
        <v>0.106432019291729</v>
      </c>
      <c r="G484" s="90"/>
      <c r="N484" s="89">
        <v>45260</v>
      </c>
      <c r="O484" s="88">
        <v>91.37</v>
      </c>
      <c r="R484" s="87">
        <f t="shared" si="29"/>
        <v>45259</v>
      </c>
      <c r="S484" s="86">
        <f t="shared" si="31"/>
        <v>91.27</v>
      </c>
      <c r="T484" s="86"/>
    </row>
    <row r="485" spans="1:20" x14ac:dyDescent="0.25">
      <c r="A485" s="89">
        <v>45261</v>
      </c>
      <c r="B485" s="91">
        <v>0.105055223351462</v>
      </c>
      <c r="E485" s="87">
        <f t="shared" si="28"/>
        <v>45260</v>
      </c>
      <c r="F485" s="90">
        <f t="shared" si="30"/>
        <v>0.106060497605798</v>
      </c>
      <c r="G485" s="90"/>
      <c r="N485" s="89">
        <v>45261</v>
      </c>
      <c r="O485" s="88">
        <v>91.63</v>
      </c>
      <c r="R485" s="87">
        <f t="shared" si="29"/>
        <v>45260</v>
      </c>
      <c r="S485" s="86">
        <f t="shared" si="31"/>
        <v>91.37</v>
      </c>
      <c r="T485" s="86"/>
    </row>
    <row r="486" spans="1:20" x14ac:dyDescent="0.25">
      <c r="A486" s="89">
        <v>45264</v>
      </c>
      <c r="B486" s="91">
        <v>0.105605243325623</v>
      </c>
      <c r="E486" s="87">
        <f t="shared" si="28"/>
        <v>45261</v>
      </c>
      <c r="F486" s="90">
        <f t="shared" si="30"/>
        <v>0.105055223351462</v>
      </c>
      <c r="G486" s="90"/>
      <c r="N486" s="89">
        <v>45264</v>
      </c>
      <c r="O486" s="88">
        <v>91.51</v>
      </c>
      <c r="R486" s="87">
        <f t="shared" si="29"/>
        <v>45261</v>
      </c>
      <c r="S486" s="86">
        <f t="shared" si="31"/>
        <v>91.63</v>
      </c>
      <c r="T486" s="86"/>
    </row>
    <row r="487" spans="1:20" x14ac:dyDescent="0.25">
      <c r="A487" s="89">
        <v>45265</v>
      </c>
      <c r="B487" s="91">
        <v>0.107264753579521</v>
      </c>
      <c r="E487" s="87">
        <f t="shared" si="28"/>
        <v>45264</v>
      </c>
      <c r="F487" s="90">
        <f t="shared" si="30"/>
        <v>0.105605243325623</v>
      </c>
      <c r="G487" s="90"/>
      <c r="N487" s="89">
        <v>45265</v>
      </c>
      <c r="O487" s="88">
        <v>91.1</v>
      </c>
      <c r="R487" s="87">
        <f t="shared" si="29"/>
        <v>45264</v>
      </c>
      <c r="S487" s="86">
        <f t="shared" si="31"/>
        <v>91.51</v>
      </c>
      <c r="T487" s="86"/>
    </row>
    <row r="488" spans="1:20" x14ac:dyDescent="0.25">
      <c r="A488" s="89">
        <v>45266</v>
      </c>
      <c r="B488" s="91">
        <v>0.103791478443028</v>
      </c>
      <c r="E488" s="87">
        <f t="shared" si="28"/>
        <v>45265</v>
      </c>
      <c r="F488" s="90">
        <f t="shared" si="30"/>
        <v>0.107264753579521</v>
      </c>
      <c r="G488" s="90"/>
      <c r="N488" s="89">
        <v>45266</v>
      </c>
      <c r="O488" s="88">
        <v>91.98</v>
      </c>
      <c r="R488" s="87">
        <f t="shared" si="29"/>
        <v>45265</v>
      </c>
      <c r="S488" s="86">
        <f t="shared" si="31"/>
        <v>91.1</v>
      </c>
      <c r="T488" s="86"/>
    </row>
    <row r="489" spans="1:20" x14ac:dyDescent="0.25">
      <c r="A489" s="89">
        <v>45267</v>
      </c>
      <c r="B489" s="91">
        <v>0.10381523478011699</v>
      </c>
      <c r="E489" s="87">
        <f t="shared" si="28"/>
        <v>45266</v>
      </c>
      <c r="F489" s="90">
        <f t="shared" si="30"/>
        <v>0.103791478443028</v>
      </c>
      <c r="G489" s="90"/>
      <c r="N489" s="89">
        <v>45267</v>
      </c>
      <c r="O489" s="88">
        <v>91.98</v>
      </c>
      <c r="R489" s="87">
        <f t="shared" si="29"/>
        <v>45266</v>
      </c>
      <c r="S489" s="86">
        <f t="shared" si="31"/>
        <v>91.98</v>
      </c>
      <c r="T489" s="86"/>
    </row>
    <row r="490" spans="1:20" x14ac:dyDescent="0.25">
      <c r="A490" s="89">
        <v>45268</v>
      </c>
      <c r="B490" s="91">
        <v>0.107504576588969</v>
      </c>
      <c r="E490" s="87">
        <f t="shared" si="28"/>
        <v>45267</v>
      </c>
      <c r="F490" s="90">
        <f t="shared" si="30"/>
        <v>0.10381523478011699</v>
      </c>
      <c r="G490" s="90"/>
      <c r="N490" s="89">
        <v>45268</v>
      </c>
      <c r="O490" s="88">
        <v>91.06</v>
      </c>
      <c r="R490" s="87">
        <f t="shared" si="29"/>
        <v>45267</v>
      </c>
      <c r="S490" s="86">
        <f t="shared" si="31"/>
        <v>91.98</v>
      </c>
      <c r="T490" s="86"/>
    </row>
    <row r="491" spans="1:20" x14ac:dyDescent="0.25">
      <c r="A491" s="89">
        <v>45271</v>
      </c>
      <c r="B491" s="91">
        <v>0.107183517197716</v>
      </c>
      <c r="E491" s="87">
        <f t="shared" si="28"/>
        <v>45268</v>
      </c>
      <c r="F491" s="90">
        <f t="shared" si="30"/>
        <v>0.107504576588969</v>
      </c>
      <c r="G491" s="90"/>
      <c r="N491" s="89">
        <v>45271</v>
      </c>
      <c r="O491" s="88">
        <v>91.16</v>
      </c>
      <c r="R491" s="87">
        <f t="shared" si="29"/>
        <v>45268</v>
      </c>
      <c r="S491" s="86">
        <f t="shared" si="31"/>
        <v>91.06</v>
      </c>
      <c r="T491" s="86"/>
    </row>
    <row r="492" spans="1:20" x14ac:dyDescent="0.25">
      <c r="A492" s="89">
        <v>45272</v>
      </c>
      <c r="B492" s="91">
        <v>0.10712986970131899</v>
      </c>
      <c r="E492" s="87">
        <f t="shared" si="28"/>
        <v>45271</v>
      </c>
      <c r="F492" s="90">
        <f t="shared" si="30"/>
        <v>0.107183517197716</v>
      </c>
      <c r="G492" s="90"/>
      <c r="N492" s="89">
        <v>45272</v>
      </c>
      <c r="O492" s="88">
        <v>91.18</v>
      </c>
      <c r="R492" s="87">
        <f t="shared" si="29"/>
        <v>45271</v>
      </c>
      <c r="S492" s="86">
        <f t="shared" si="31"/>
        <v>91.16</v>
      </c>
      <c r="T492" s="86"/>
    </row>
    <row r="493" spans="1:20" x14ac:dyDescent="0.25">
      <c r="A493" s="89">
        <v>45273</v>
      </c>
      <c r="B493" s="91">
        <v>0.10759889379235499</v>
      </c>
      <c r="E493" s="87">
        <f t="shared" si="28"/>
        <v>45272</v>
      </c>
      <c r="F493" s="90">
        <f t="shared" si="30"/>
        <v>0.10712986970131899</v>
      </c>
      <c r="G493" s="90"/>
      <c r="N493" s="89">
        <v>45273</v>
      </c>
      <c r="O493" s="88">
        <v>91.07</v>
      </c>
      <c r="R493" s="87">
        <f t="shared" si="29"/>
        <v>45272</v>
      </c>
      <c r="S493" s="86">
        <f t="shared" si="31"/>
        <v>91.18</v>
      </c>
      <c r="T493" s="86"/>
    </row>
    <row r="494" spans="1:20" x14ac:dyDescent="0.25">
      <c r="A494" s="89">
        <v>45274</v>
      </c>
      <c r="B494" s="91">
        <v>0.10132971468959401</v>
      </c>
      <c r="E494" s="87">
        <f t="shared" si="28"/>
        <v>45273</v>
      </c>
      <c r="F494" s="90">
        <f t="shared" si="30"/>
        <v>0.10759889379235499</v>
      </c>
      <c r="G494" s="90"/>
      <c r="N494" s="89">
        <v>45274</v>
      </c>
      <c r="O494" s="88">
        <v>92.65</v>
      </c>
      <c r="R494" s="87">
        <f t="shared" si="29"/>
        <v>45273</v>
      </c>
      <c r="S494" s="86">
        <f t="shared" si="31"/>
        <v>91.07</v>
      </c>
      <c r="T494" s="86"/>
    </row>
    <row r="495" spans="1:20" x14ac:dyDescent="0.25">
      <c r="A495" s="89">
        <v>45275</v>
      </c>
      <c r="B495" s="91">
        <v>0.10672753272339901</v>
      </c>
      <c r="E495" s="87">
        <f t="shared" si="28"/>
        <v>45274</v>
      </c>
      <c r="F495" s="90">
        <f t="shared" si="30"/>
        <v>0.10132971468959401</v>
      </c>
      <c r="G495" s="90"/>
      <c r="N495" s="89">
        <v>45275</v>
      </c>
      <c r="O495" s="88">
        <v>91.3</v>
      </c>
      <c r="R495" s="87">
        <f t="shared" si="29"/>
        <v>45274</v>
      </c>
      <c r="S495" s="86">
        <f t="shared" si="31"/>
        <v>92.65</v>
      </c>
      <c r="T495" s="86"/>
    </row>
    <row r="496" spans="1:20" x14ac:dyDescent="0.25">
      <c r="A496" s="89">
        <v>45278</v>
      </c>
      <c r="B496" s="91">
        <v>0.100037584738491</v>
      </c>
      <c r="E496" s="87">
        <f t="shared" si="28"/>
        <v>45275</v>
      </c>
      <c r="F496" s="90">
        <f t="shared" si="30"/>
        <v>0.10672753272339901</v>
      </c>
      <c r="G496" s="90"/>
      <c r="N496" s="89">
        <v>45278</v>
      </c>
      <c r="O496" s="88">
        <v>93</v>
      </c>
      <c r="R496" s="87">
        <f t="shared" si="29"/>
        <v>45275</v>
      </c>
      <c r="S496" s="86">
        <f t="shared" si="31"/>
        <v>91.3</v>
      </c>
      <c r="T496" s="86"/>
    </row>
    <row r="497" spans="1:20" x14ac:dyDescent="0.25">
      <c r="A497" s="89">
        <v>45279</v>
      </c>
      <c r="B497" s="91">
        <v>0.10005891121100101</v>
      </c>
      <c r="E497" s="87">
        <f t="shared" si="28"/>
        <v>45278</v>
      </c>
      <c r="F497" s="90">
        <f t="shared" si="30"/>
        <v>0.100037584738491</v>
      </c>
      <c r="G497" s="90"/>
      <c r="N497" s="89">
        <v>45279</v>
      </c>
      <c r="O497" s="88">
        <v>93</v>
      </c>
      <c r="R497" s="87">
        <f t="shared" si="29"/>
        <v>45278</v>
      </c>
      <c r="S497" s="86">
        <f t="shared" si="31"/>
        <v>93</v>
      </c>
      <c r="T497" s="86"/>
    </row>
    <row r="498" spans="1:20" x14ac:dyDescent="0.25">
      <c r="A498" s="89">
        <v>45280</v>
      </c>
      <c r="B498" s="91">
        <v>0.108073513225554</v>
      </c>
      <c r="E498" s="87">
        <f t="shared" si="28"/>
        <v>45279</v>
      </c>
      <c r="F498" s="90">
        <f t="shared" si="30"/>
        <v>0.10005891121100101</v>
      </c>
      <c r="G498" s="90"/>
      <c r="N498" s="89">
        <v>45280</v>
      </c>
      <c r="O498" s="88">
        <v>91</v>
      </c>
      <c r="R498" s="87">
        <f t="shared" si="29"/>
        <v>45279</v>
      </c>
      <c r="S498" s="86">
        <f t="shared" si="31"/>
        <v>93</v>
      </c>
      <c r="T498" s="86"/>
    </row>
    <row r="499" spans="1:20" x14ac:dyDescent="0.25">
      <c r="A499" s="89">
        <v>45281</v>
      </c>
      <c r="B499" s="91">
        <v>0.107089587779579</v>
      </c>
      <c r="E499" s="87">
        <f t="shared" si="28"/>
        <v>45280</v>
      </c>
      <c r="F499" s="90">
        <f t="shared" si="30"/>
        <v>0.108073513225554</v>
      </c>
      <c r="G499" s="90"/>
      <c r="N499" s="89">
        <v>45281</v>
      </c>
      <c r="O499" s="88">
        <v>91.25</v>
      </c>
      <c r="R499" s="87">
        <f t="shared" si="29"/>
        <v>45280</v>
      </c>
      <c r="S499" s="86">
        <f t="shared" si="31"/>
        <v>91</v>
      </c>
      <c r="T499" s="86"/>
    </row>
    <row r="500" spans="1:20" x14ac:dyDescent="0.25">
      <c r="A500" s="89">
        <v>45282</v>
      </c>
      <c r="B500" s="91">
        <v>0.10812925844415201</v>
      </c>
      <c r="E500" s="87">
        <f t="shared" si="28"/>
        <v>45281</v>
      </c>
      <c r="F500" s="90">
        <f t="shared" si="30"/>
        <v>0.107089587779579</v>
      </c>
      <c r="G500" s="90"/>
      <c r="N500" s="89">
        <v>45282</v>
      </c>
      <c r="O500" s="88">
        <v>91</v>
      </c>
      <c r="R500" s="87">
        <f t="shared" si="29"/>
        <v>45281</v>
      </c>
      <c r="S500" s="86">
        <f t="shared" si="31"/>
        <v>91.25</v>
      </c>
      <c r="T500" s="86"/>
    </row>
    <row r="501" spans="1:20" x14ac:dyDescent="0.25">
      <c r="A501" s="89">
        <v>45286</v>
      </c>
      <c r="B501" s="91">
        <v>0.10824164675078</v>
      </c>
      <c r="E501" s="87">
        <f t="shared" si="28"/>
        <v>45282</v>
      </c>
      <c r="F501" s="90">
        <f t="shared" si="30"/>
        <v>0.10812925844415201</v>
      </c>
      <c r="G501" s="90"/>
      <c r="N501" s="89">
        <v>45286</v>
      </c>
      <c r="O501" s="88">
        <v>91</v>
      </c>
      <c r="R501" s="87">
        <f t="shared" si="29"/>
        <v>45282</v>
      </c>
      <c r="S501" s="86">
        <f t="shared" si="31"/>
        <v>91</v>
      </c>
      <c r="T501" s="86"/>
    </row>
    <row r="502" spans="1:20" x14ac:dyDescent="0.25">
      <c r="A502" s="89">
        <v>45287</v>
      </c>
      <c r="B502" s="91">
        <v>0.102221116881811</v>
      </c>
      <c r="E502" s="87">
        <f t="shared" si="28"/>
        <v>45286</v>
      </c>
      <c r="F502" s="90">
        <f t="shared" si="30"/>
        <v>0.10824164675078</v>
      </c>
      <c r="G502" s="90"/>
      <c r="N502" s="89">
        <v>45287</v>
      </c>
      <c r="O502" s="88">
        <v>92.5</v>
      </c>
      <c r="R502" s="87">
        <f t="shared" si="29"/>
        <v>45286</v>
      </c>
      <c r="S502" s="86">
        <f t="shared" si="31"/>
        <v>91</v>
      </c>
      <c r="T502" s="86"/>
    </row>
    <row r="503" spans="1:20" x14ac:dyDescent="0.25">
      <c r="A503" s="89">
        <v>45288</v>
      </c>
      <c r="B503" s="91">
        <v>0.103245092384425</v>
      </c>
      <c r="E503" s="87">
        <f t="shared" si="28"/>
        <v>45287</v>
      </c>
      <c r="F503" s="90">
        <f t="shared" si="30"/>
        <v>0.102221116881811</v>
      </c>
      <c r="G503" s="90"/>
      <c r="N503" s="89">
        <v>45288</v>
      </c>
      <c r="O503" s="88">
        <v>92.25</v>
      </c>
      <c r="R503" s="87">
        <f t="shared" si="29"/>
        <v>45287</v>
      </c>
      <c r="S503" s="86">
        <f t="shared" si="31"/>
        <v>92.5</v>
      </c>
      <c r="T503" s="86"/>
    </row>
    <row r="504" spans="1:20" x14ac:dyDescent="0.25">
      <c r="A504" s="89">
        <v>45289</v>
      </c>
      <c r="B504" s="91">
        <v>9.8296068834876293E-2</v>
      </c>
      <c r="E504" s="87">
        <f t="shared" si="28"/>
        <v>45288</v>
      </c>
      <c r="F504" s="90">
        <f t="shared" si="30"/>
        <v>0.103245092384425</v>
      </c>
      <c r="G504" s="90"/>
      <c r="N504" s="89">
        <v>45289</v>
      </c>
      <c r="O504" s="88">
        <v>93.5</v>
      </c>
      <c r="R504" s="87">
        <f t="shared" si="29"/>
        <v>45288</v>
      </c>
      <c r="S504" s="86">
        <f t="shared" si="31"/>
        <v>92.25</v>
      </c>
      <c r="T504" s="86"/>
    </row>
    <row r="505" spans="1:20" x14ac:dyDescent="0.25">
      <c r="A505" s="89">
        <v>45293</v>
      </c>
      <c r="B505" s="91">
        <v>9.8357440801604204E-2</v>
      </c>
      <c r="E505" s="87">
        <f t="shared" si="28"/>
        <v>45289</v>
      </c>
      <c r="F505" s="90">
        <f t="shared" si="30"/>
        <v>9.8296068834876293E-2</v>
      </c>
      <c r="G505" s="90"/>
      <c r="N505" s="89">
        <v>45293</v>
      </c>
      <c r="O505" s="88">
        <v>93.5</v>
      </c>
      <c r="R505" s="87">
        <f t="shared" si="29"/>
        <v>45289</v>
      </c>
      <c r="S505" s="86">
        <f t="shared" si="31"/>
        <v>93.5</v>
      </c>
      <c r="T505" s="86"/>
    </row>
    <row r="506" spans="1:20" x14ac:dyDescent="0.25">
      <c r="A506" s="89">
        <v>45294</v>
      </c>
      <c r="B506" s="91">
        <v>9.8378015842174898E-2</v>
      </c>
      <c r="E506" s="87">
        <f t="shared" si="28"/>
        <v>45293</v>
      </c>
      <c r="F506" s="90">
        <f t="shared" si="30"/>
        <v>9.8357440801604204E-2</v>
      </c>
      <c r="G506" s="90"/>
      <c r="N506" s="89">
        <v>45294</v>
      </c>
      <c r="O506" s="88">
        <v>93.5</v>
      </c>
      <c r="R506" s="87">
        <f t="shared" si="29"/>
        <v>45293</v>
      </c>
      <c r="S506" s="86">
        <f t="shared" si="31"/>
        <v>93.5</v>
      </c>
      <c r="T506" s="86"/>
    </row>
    <row r="507" spans="1:20" x14ac:dyDescent="0.25">
      <c r="A507" s="89">
        <v>45295</v>
      </c>
      <c r="B507" s="91">
        <v>9.8398650030303597E-2</v>
      </c>
      <c r="E507" s="87">
        <f t="shared" si="28"/>
        <v>45294</v>
      </c>
      <c r="F507" s="90">
        <f t="shared" si="30"/>
        <v>9.8378015842174898E-2</v>
      </c>
      <c r="G507" s="90"/>
      <c r="N507" s="89">
        <v>45295</v>
      </c>
      <c r="O507" s="88">
        <v>93.5</v>
      </c>
      <c r="R507" s="87">
        <f t="shared" si="29"/>
        <v>45294</v>
      </c>
      <c r="S507" s="86">
        <f t="shared" si="31"/>
        <v>93.5</v>
      </c>
      <c r="T507" s="86"/>
    </row>
    <row r="508" spans="1:20" x14ac:dyDescent="0.25">
      <c r="A508" s="89">
        <v>45296</v>
      </c>
      <c r="B508" s="91">
        <v>9.7924121433271907E-2</v>
      </c>
      <c r="E508" s="87">
        <f t="shared" si="28"/>
        <v>45295</v>
      </c>
      <c r="F508" s="90">
        <f t="shared" si="30"/>
        <v>9.8398650030303597E-2</v>
      </c>
      <c r="G508" s="90"/>
      <c r="N508" s="89">
        <v>45296</v>
      </c>
      <c r="O508" s="88">
        <v>93.625</v>
      </c>
      <c r="R508" s="87">
        <f t="shared" si="29"/>
        <v>45295</v>
      </c>
      <c r="S508" s="86">
        <f t="shared" si="31"/>
        <v>93.5</v>
      </c>
      <c r="T508" s="86"/>
    </row>
    <row r="509" spans="1:20" x14ac:dyDescent="0.25">
      <c r="A509" s="89">
        <v>45299</v>
      </c>
      <c r="B509" s="91">
        <v>9.7410507266228893E-2</v>
      </c>
      <c r="E509" s="87">
        <f t="shared" si="28"/>
        <v>45296</v>
      </c>
      <c r="F509" s="90">
        <f t="shared" si="30"/>
        <v>9.7924121433271907E-2</v>
      </c>
      <c r="G509" s="90"/>
      <c r="N509" s="89">
        <v>45299</v>
      </c>
      <c r="O509" s="88">
        <v>93.77</v>
      </c>
      <c r="R509" s="87">
        <f t="shared" si="29"/>
        <v>45296</v>
      </c>
      <c r="S509" s="86">
        <f t="shared" si="31"/>
        <v>93.625</v>
      </c>
      <c r="T509" s="86"/>
    </row>
    <row r="510" spans="1:20" x14ac:dyDescent="0.25">
      <c r="A510" s="89">
        <v>45300</v>
      </c>
      <c r="B510" s="91">
        <v>9.7430563873194695E-2</v>
      </c>
      <c r="E510" s="87">
        <f t="shared" si="28"/>
        <v>45299</v>
      </c>
      <c r="F510" s="90">
        <f t="shared" si="30"/>
        <v>9.7410507266228893E-2</v>
      </c>
      <c r="G510" s="90"/>
      <c r="N510" s="89">
        <v>45300</v>
      </c>
      <c r="O510" s="88">
        <v>93.77</v>
      </c>
      <c r="R510" s="87">
        <f t="shared" si="29"/>
        <v>45299</v>
      </c>
      <c r="S510" s="86">
        <f t="shared" si="31"/>
        <v>93.77</v>
      </c>
      <c r="T510" s="86"/>
    </row>
    <row r="511" spans="1:20" x14ac:dyDescent="0.25">
      <c r="A511" s="89">
        <v>45301</v>
      </c>
      <c r="B511" s="91">
        <v>9.7450678756399012E-2</v>
      </c>
      <c r="E511" s="87">
        <f t="shared" si="28"/>
        <v>45300</v>
      </c>
      <c r="F511" s="90">
        <f t="shared" si="30"/>
        <v>9.7430563873194695E-2</v>
      </c>
      <c r="G511" s="90"/>
      <c r="N511" s="89">
        <v>45301</v>
      </c>
      <c r="O511" s="88">
        <v>93.77</v>
      </c>
      <c r="R511" s="87">
        <f t="shared" si="29"/>
        <v>45300</v>
      </c>
      <c r="S511" s="86">
        <f t="shared" si="31"/>
        <v>93.77</v>
      </c>
      <c r="T511" s="86"/>
    </row>
    <row r="512" spans="1:20" x14ac:dyDescent="0.25">
      <c r="A512" s="89">
        <v>45302</v>
      </c>
      <c r="B512" s="91">
        <v>9.74708520883244E-2</v>
      </c>
      <c r="E512" s="87">
        <f t="shared" si="28"/>
        <v>45301</v>
      </c>
      <c r="F512" s="90">
        <f t="shared" si="30"/>
        <v>9.7450678756399012E-2</v>
      </c>
      <c r="G512" s="90"/>
      <c r="N512" s="89">
        <v>45302</v>
      </c>
      <c r="O512" s="88">
        <v>93.77</v>
      </c>
      <c r="R512" s="87">
        <f t="shared" si="29"/>
        <v>45301</v>
      </c>
      <c r="S512" s="86">
        <f t="shared" si="31"/>
        <v>93.77</v>
      </c>
      <c r="T512" s="86"/>
    </row>
    <row r="513" spans="1:20" x14ac:dyDescent="0.25">
      <c r="A513" s="89">
        <v>45303</v>
      </c>
      <c r="B513" s="91">
        <v>9.7491084042173201E-2</v>
      </c>
      <c r="E513" s="87">
        <f t="shared" si="28"/>
        <v>45302</v>
      </c>
      <c r="F513" s="90">
        <f t="shared" si="30"/>
        <v>9.74708520883244E-2</v>
      </c>
      <c r="G513" s="90"/>
      <c r="N513" s="89">
        <v>45303</v>
      </c>
      <c r="O513" s="88">
        <v>93.77</v>
      </c>
      <c r="R513" s="87">
        <f t="shared" si="29"/>
        <v>45302</v>
      </c>
      <c r="S513" s="86">
        <f t="shared" si="31"/>
        <v>93.77</v>
      </c>
      <c r="T513" s="86"/>
    </row>
    <row r="514" spans="1:20" x14ac:dyDescent="0.25">
      <c r="A514" s="89">
        <v>45307</v>
      </c>
      <c r="B514" s="91">
        <v>9.6577557216239396E-2</v>
      </c>
      <c r="E514" s="87">
        <f t="shared" si="28"/>
        <v>45303</v>
      </c>
      <c r="F514" s="90">
        <f t="shared" si="30"/>
        <v>9.7491084042173201E-2</v>
      </c>
      <c r="G514" s="90"/>
      <c r="N514" s="89">
        <v>45307</v>
      </c>
      <c r="O514" s="88">
        <v>94.02</v>
      </c>
      <c r="R514" s="87">
        <f t="shared" si="29"/>
        <v>45303</v>
      </c>
      <c r="S514" s="86">
        <f t="shared" si="31"/>
        <v>93.77</v>
      </c>
      <c r="T514" s="86"/>
    </row>
    <row r="515" spans="1:20" x14ac:dyDescent="0.25">
      <c r="A515" s="89">
        <v>45308</v>
      </c>
      <c r="B515" s="91">
        <v>9.65972625357846E-2</v>
      </c>
      <c r="E515" s="87">
        <f t="shared" si="28"/>
        <v>45307</v>
      </c>
      <c r="F515" s="90">
        <f t="shared" si="30"/>
        <v>9.6577557216239396E-2</v>
      </c>
      <c r="G515" s="90"/>
      <c r="N515" s="89">
        <v>45308</v>
      </c>
      <c r="O515" s="88">
        <v>94.02</v>
      </c>
      <c r="R515" s="87">
        <f t="shared" si="29"/>
        <v>45307</v>
      </c>
      <c r="S515" s="86">
        <f t="shared" si="31"/>
        <v>94.02</v>
      </c>
      <c r="T515" s="86"/>
    </row>
    <row r="516" spans="1:20" x14ac:dyDescent="0.25">
      <c r="A516" s="89">
        <v>45309</v>
      </c>
      <c r="B516" s="91">
        <v>9.6617025711774801E-2</v>
      </c>
      <c r="E516" s="87">
        <f t="shared" ref="E516:E579" si="32">A515</f>
        <v>45308</v>
      </c>
      <c r="F516" s="90">
        <f t="shared" si="30"/>
        <v>9.65972625357846E-2</v>
      </c>
      <c r="G516" s="90"/>
      <c r="N516" s="89">
        <v>45309</v>
      </c>
      <c r="O516" s="88">
        <v>94.02</v>
      </c>
      <c r="R516" s="87">
        <f t="shared" ref="R516:R579" si="33">N515</f>
        <v>45308</v>
      </c>
      <c r="S516" s="86">
        <f t="shared" si="31"/>
        <v>94.02</v>
      </c>
      <c r="T516" s="86"/>
    </row>
    <row r="517" spans="1:20" x14ac:dyDescent="0.25">
      <c r="A517" s="89">
        <v>45310</v>
      </c>
      <c r="B517" s="91">
        <v>9.6636846916824004E-2</v>
      </c>
      <c r="E517" s="87">
        <f t="shared" si="32"/>
        <v>45309</v>
      </c>
      <c r="F517" s="90">
        <f t="shared" ref="F517:F580" si="34">B516</f>
        <v>9.6617025711774801E-2</v>
      </c>
      <c r="G517" s="90"/>
      <c r="N517" s="89">
        <v>45310</v>
      </c>
      <c r="O517" s="88">
        <v>94.02</v>
      </c>
      <c r="R517" s="87">
        <f t="shared" si="33"/>
        <v>45309</v>
      </c>
      <c r="S517" s="86">
        <f t="shared" ref="S517:S580" si="35">O516</f>
        <v>94.02</v>
      </c>
      <c r="T517" s="86"/>
    </row>
    <row r="518" spans="1:20" x14ac:dyDescent="0.25">
      <c r="A518" s="89">
        <v>45313</v>
      </c>
      <c r="B518" s="91">
        <v>9.6696660443348612E-2</v>
      </c>
      <c r="E518" s="87">
        <f t="shared" si="32"/>
        <v>45310</v>
      </c>
      <c r="F518" s="90">
        <f t="shared" si="34"/>
        <v>9.6636846916824004E-2</v>
      </c>
      <c r="G518" s="90"/>
      <c r="N518" s="89">
        <v>45313</v>
      </c>
      <c r="O518" s="88">
        <v>94.02</v>
      </c>
      <c r="R518" s="87">
        <f t="shared" si="33"/>
        <v>45310</v>
      </c>
      <c r="S518" s="86">
        <f t="shared" si="35"/>
        <v>94.02</v>
      </c>
      <c r="T518" s="86"/>
    </row>
    <row r="519" spans="1:20" x14ac:dyDescent="0.25">
      <c r="A519" s="89">
        <v>45314</v>
      </c>
      <c r="B519" s="91">
        <v>9.6217528791346887E-2</v>
      </c>
      <c r="E519" s="87">
        <f t="shared" si="32"/>
        <v>45313</v>
      </c>
      <c r="F519" s="90">
        <f t="shared" si="34"/>
        <v>9.6696660443348612E-2</v>
      </c>
      <c r="G519" s="90"/>
      <c r="N519" s="89">
        <v>45314</v>
      </c>
      <c r="O519" s="88">
        <v>94.144999999999996</v>
      </c>
      <c r="R519" s="87">
        <f t="shared" si="33"/>
        <v>45313</v>
      </c>
      <c r="S519" s="86">
        <f t="shared" si="35"/>
        <v>94.02</v>
      </c>
      <c r="T519" s="86"/>
    </row>
    <row r="520" spans="1:20" x14ac:dyDescent="0.25">
      <c r="A520" s="89">
        <v>45315</v>
      </c>
      <c r="B520" s="91">
        <v>9.6237226285917299E-2</v>
      </c>
      <c r="E520" s="87">
        <f t="shared" si="32"/>
        <v>45314</v>
      </c>
      <c r="F520" s="90">
        <f t="shared" si="34"/>
        <v>9.6217528791346887E-2</v>
      </c>
      <c r="G520" s="90"/>
      <c r="N520" s="89">
        <v>45315</v>
      </c>
      <c r="O520" s="88">
        <v>94.144999999999996</v>
      </c>
      <c r="R520" s="87">
        <f t="shared" si="33"/>
        <v>45314</v>
      </c>
      <c r="S520" s="86">
        <f t="shared" si="35"/>
        <v>94.144999999999996</v>
      </c>
      <c r="T520" s="86"/>
    </row>
    <row r="521" spans="1:20" x14ac:dyDescent="0.25">
      <c r="A521" s="89">
        <v>45316</v>
      </c>
      <c r="B521" s="91">
        <v>9.6256981933741895E-2</v>
      </c>
      <c r="E521" s="87">
        <f t="shared" si="32"/>
        <v>45315</v>
      </c>
      <c r="F521" s="90">
        <f t="shared" si="34"/>
        <v>9.6237226285917299E-2</v>
      </c>
      <c r="G521" s="90"/>
      <c r="N521" s="89">
        <v>45316</v>
      </c>
      <c r="O521" s="88">
        <v>94.144999999999996</v>
      </c>
      <c r="R521" s="87">
        <f t="shared" si="33"/>
        <v>45315</v>
      </c>
      <c r="S521" s="86">
        <f t="shared" si="35"/>
        <v>94.144999999999996</v>
      </c>
      <c r="T521" s="86"/>
    </row>
    <row r="522" spans="1:20" x14ac:dyDescent="0.25">
      <c r="A522" s="89">
        <v>45317</v>
      </c>
      <c r="B522" s="91">
        <v>9.6276795909650006E-2</v>
      </c>
      <c r="E522" s="87">
        <f t="shared" si="32"/>
        <v>45316</v>
      </c>
      <c r="F522" s="90">
        <f t="shared" si="34"/>
        <v>9.6256981933741895E-2</v>
      </c>
      <c r="G522" s="90"/>
      <c r="N522" s="89">
        <v>45317</v>
      </c>
      <c r="O522" s="88">
        <v>94.144999999999996</v>
      </c>
      <c r="R522" s="87">
        <f t="shared" si="33"/>
        <v>45316</v>
      </c>
      <c r="S522" s="86">
        <f t="shared" si="35"/>
        <v>94.144999999999996</v>
      </c>
      <c r="T522" s="86"/>
    </row>
    <row r="523" spans="1:20" x14ac:dyDescent="0.25">
      <c r="A523" s="89">
        <v>45320</v>
      </c>
      <c r="B523" s="91">
        <v>9.6336589565256509E-2</v>
      </c>
      <c r="E523" s="87">
        <f t="shared" si="32"/>
        <v>45317</v>
      </c>
      <c r="F523" s="90">
        <f t="shared" si="34"/>
        <v>9.6276795909650006E-2</v>
      </c>
      <c r="G523" s="90"/>
      <c r="N523" s="89">
        <v>45320</v>
      </c>
      <c r="O523" s="88">
        <v>94.144999999999996</v>
      </c>
      <c r="R523" s="87">
        <f t="shared" si="33"/>
        <v>45317</v>
      </c>
      <c r="S523" s="86">
        <f t="shared" si="35"/>
        <v>94.144999999999996</v>
      </c>
      <c r="T523" s="86"/>
    </row>
    <row r="524" spans="1:20" x14ac:dyDescent="0.25">
      <c r="A524" s="89">
        <v>45321</v>
      </c>
      <c r="B524" s="91">
        <v>9.6356638616605608E-2</v>
      </c>
      <c r="E524" s="87">
        <f t="shared" si="32"/>
        <v>45320</v>
      </c>
      <c r="F524" s="90">
        <f t="shared" si="34"/>
        <v>9.6336589565256509E-2</v>
      </c>
      <c r="G524" s="90"/>
      <c r="N524" s="89">
        <v>45321</v>
      </c>
      <c r="O524" s="88">
        <v>94.144999999999996</v>
      </c>
      <c r="R524" s="87">
        <f t="shared" si="33"/>
        <v>45320</v>
      </c>
      <c r="S524" s="86">
        <f t="shared" si="35"/>
        <v>94.144999999999996</v>
      </c>
      <c r="T524" s="86"/>
    </row>
    <row r="525" spans="1:20" x14ac:dyDescent="0.25">
      <c r="A525" s="89">
        <v>45322</v>
      </c>
      <c r="B525" s="91">
        <v>9.6274425126707197E-2</v>
      </c>
      <c r="E525" s="87">
        <f t="shared" si="32"/>
        <v>45321</v>
      </c>
      <c r="F525" s="90">
        <f t="shared" si="34"/>
        <v>9.6356638616605608E-2</v>
      </c>
      <c r="G525" s="90"/>
      <c r="N525" s="89">
        <v>45322</v>
      </c>
      <c r="O525" s="88">
        <v>94.144999999999996</v>
      </c>
      <c r="R525" s="87">
        <f t="shared" si="33"/>
        <v>45321</v>
      </c>
      <c r="S525" s="86">
        <f t="shared" si="35"/>
        <v>94.144999999999996</v>
      </c>
      <c r="T525" s="86"/>
    </row>
    <row r="526" spans="1:20" x14ac:dyDescent="0.25">
      <c r="A526" s="89">
        <v>45323</v>
      </c>
      <c r="B526" s="91">
        <v>9.2881890557051608E-2</v>
      </c>
      <c r="E526" s="87">
        <f t="shared" si="32"/>
        <v>45322</v>
      </c>
      <c r="F526" s="90">
        <f t="shared" si="34"/>
        <v>9.6274425126707197E-2</v>
      </c>
      <c r="G526" s="90"/>
      <c r="N526" s="89">
        <v>45323</v>
      </c>
      <c r="O526" s="88">
        <v>95.02</v>
      </c>
      <c r="R526" s="87">
        <f t="shared" si="33"/>
        <v>45322</v>
      </c>
      <c r="S526" s="86">
        <f t="shared" si="35"/>
        <v>94.144999999999996</v>
      </c>
      <c r="T526" s="86"/>
    </row>
    <row r="527" spans="1:20" x14ac:dyDescent="0.25">
      <c r="A527" s="89">
        <v>45324</v>
      </c>
      <c r="B527" s="91">
        <v>9.2899112072660911E-2</v>
      </c>
      <c r="E527" s="87">
        <f t="shared" si="32"/>
        <v>45323</v>
      </c>
      <c r="F527" s="90">
        <f t="shared" si="34"/>
        <v>9.2881890557051608E-2</v>
      </c>
      <c r="G527" s="90"/>
      <c r="N527" s="89">
        <v>45324</v>
      </c>
      <c r="O527" s="88">
        <v>95.02</v>
      </c>
      <c r="R527" s="87">
        <f t="shared" si="33"/>
        <v>45323</v>
      </c>
      <c r="S527" s="86">
        <f t="shared" si="35"/>
        <v>95.02</v>
      </c>
      <c r="T527" s="86"/>
    </row>
    <row r="528" spans="1:20" x14ac:dyDescent="0.25">
      <c r="A528" s="89">
        <v>45327</v>
      </c>
      <c r="B528" s="91">
        <v>9.2951095160640693E-2</v>
      </c>
      <c r="E528" s="87">
        <f t="shared" si="32"/>
        <v>45324</v>
      </c>
      <c r="F528" s="90">
        <f t="shared" si="34"/>
        <v>9.2899112072660911E-2</v>
      </c>
      <c r="G528" s="90"/>
      <c r="N528" s="89">
        <v>45327</v>
      </c>
      <c r="O528" s="88">
        <v>95.02</v>
      </c>
      <c r="R528" s="87">
        <f t="shared" si="33"/>
        <v>45324</v>
      </c>
      <c r="S528" s="86">
        <f t="shared" si="35"/>
        <v>95.02</v>
      </c>
      <c r="T528" s="86"/>
    </row>
    <row r="529" spans="1:20" x14ac:dyDescent="0.25">
      <c r="A529" s="89">
        <v>45328</v>
      </c>
      <c r="B529" s="91">
        <v>9.2968529572164199E-2</v>
      </c>
      <c r="E529" s="87">
        <f t="shared" si="32"/>
        <v>45327</v>
      </c>
      <c r="F529" s="90">
        <f t="shared" si="34"/>
        <v>9.2951095160640693E-2</v>
      </c>
      <c r="G529" s="90"/>
      <c r="N529" s="89">
        <v>45328</v>
      </c>
      <c r="O529" s="88">
        <v>95.02</v>
      </c>
      <c r="R529" s="87">
        <f t="shared" si="33"/>
        <v>45327</v>
      </c>
      <c r="S529" s="86">
        <f t="shared" si="35"/>
        <v>95.02</v>
      </c>
      <c r="T529" s="86"/>
    </row>
    <row r="530" spans="1:20" x14ac:dyDescent="0.25">
      <c r="A530" s="89">
        <v>45329</v>
      </c>
      <c r="B530" s="91">
        <v>9.2986017610735092E-2</v>
      </c>
      <c r="E530" s="87">
        <f t="shared" si="32"/>
        <v>45328</v>
      </c>
      <c r="F530" s="90">
        <f t="shared" si="34"/>
        <v>9.2968529572164199E-2</v>
      </c>
      <c r="G530" s="90"/>
      <c r="N530" s="89">
        <v>45329</v>
      </c>
      <c r="O530" s="88">
        <v>95.02</v>
      </c>
      <c r="R530" s="87">
        <f t="shared" si="33"/>
        <v>45328</v>
      </c>
      <c r="S530" s="86">
        <f t="shared" si="35"/>
        <v>95.02</v>
      </c>
      <c r="T530" s="86"/>
    </row>
    <row r="531" spans="1:20" x14ac:dyDescent="0.25">
      <c r="A531" s="89">
        <v>45330</v>
      </c>
      <c r="B531" s="91">
        <v>9.3003559438954303E-2</v>
      </c>
      <c r="E531" s="87">
        <f t="shared" si="32"/>
        <v>45329</v>
      </c>
      <c r="F531" s="90">
        <f t="shared" si="34"/>
        <v>9.2986017610735092E-2</v>
      </c>
      <c r="G531" s="90"/>
      <c r="N531" s="89">
        <v>45330</v>
      </c>
      <c r="O531" s="88">
        <v>95.02</v>
      </c>
      <c r="R531" s="87">
        <f t="shared" si="33"/>
        <v>45329</v>
      </c>
      <c r="S531" s="86">
        <f t="shared" si="35"/>
        <v>95.02</v>
      </c>
      <c r="T531" s="86"/>
    </row>
    <row r="532" spans="1:20" x14ac:dyDescent="0.25">
      <c r="A532" s="89">
        <v>45331</v>
      </c>
      <c r="B532" s="91">
        <v>9.3021155220118099E-2</v>
      </c>
      <c r="E532" s="87">
        <f t="shared" si="32"/>
        <v>45330</v>
      </c>
      <c r="F532" s="90">
        <f t="shared" si="34"/>
        <v>9.3003559438954303E-2</v>
      </c>
      <c r="G532" s="90"/>
      <c r="N532" s="89">
        <v>45331</v>
      </c>
      <c r="O532" s="88">
        <v>95.02</v>
      </c>
      <c r="R532" s="87">
        <f t="shared" si="33"/>
        <v>45330</v>
      </c>
      <c r="S532" s="86">
        <f t="shared" si="35"/>
        <v>95.02</v>
      </c>
      <c r="T532" s="86"/>
    </row>
    <row r="533" spans="1:20" x14ac:dyDescent="0.25">
      <c r="A533" s="89">
        <v>45334</v>
      </c>
      <c r="B533" s="91">
        <v>9.307426792470791E-2</v>
      </c>
      <c r="E533" s="87">
        <f t="shared" si="32"/>
        <v>45331</v>
      </c>
      <c r="F533" s="90">
        <f t="shared" si="34"/>
        <v>9.3021155220118099E-2</v>
      </c>
      <c r="G533" s="90"/>
      <c r="N533" s="89">
        <v>45334</v>
      </c>
      <c r="O533" s="88">
        <v>95.02</v>
      </c>
      <c r="R533" s="87">
        <f t="shared" si="33"/>
        <v>45331</v>
      </c>
      <c r="S533" s="86">
        <f t="shared" si="35"/>
        <v>95.02</v>
      </c>
      <c r="T533" s="86"/>
    </row>
    <row r="534" spans="1:20" x14ac:dyDescent="0.25">
      <c r="A534" s="89">
        <v>45335</v>
      </c>
      <c r="B534" s="91">
        <v>9.3092081164601992E-2</v>
      </c>
      <c r="E534" s="87">
        <f t="shared" si="32"/>
        <v>45334</v>
      </c>
      <c r="F534" s="90">
        <f t="shared" si="34"/>
        <v>9.307426792470791E-2</v>
      </c>
      <c r="G534" s="90"/>
      <c r="N534" s="89">
        <v>45335</v>
      </c>
      <c r="O534" s="88">
        <v>95.02</v>
      </c>
      <c r="R534" s="87">
        <f t="shared" si="33"/>
        <v>45334</v>
      </c>
      <c r="S534" s="86">
        <f t="shared" si="35"/>
        <v>95.02</v>
      </c>
      <c r="T534" s="86"/>
    </row>
    <row r="535" spans="1:20" x14ac:dyDescent="0.25">
      <c r="A535" s="89">
        <v>45336</v>
      </c>
      <c r="B535" s="91">
        <v>9.3109949184450591E-2</v>
      </c>
      <c r="E535" s="87">
        <f t="shared" si="32"/>
        <v>45335</v>
      </c>
      <c r="F535" s="90">
        <f t="shared" si="34"/>
        <v>9.3092081164601992E-2</v>
      </c>
      <c r="G535" s="90"/>
      <c r="N535" s="89">
        <v>45336</v>
      </c>
      <c r="O535" s="88">
        <v>95.02</v>
      </c>
      <c r="R535" s="87">
        <f t="shared" si="33"/>
        <v>45335</v>
      </c>
      <c r="S535" s="86">
        <f t="shared" si="35"/>
        <v>95.02</v>
      </c>
      <c r="T535" s="86"/>
    </row>
    <row r="536" spans="1:20" x14ac:dyDescent="0.25">
      <c r="A536" s="89">
        <v>45337</v>
      </c>
      <c r="B536" s="91">
        <v>9.3127872151788707E-2</v>
      </c>
      <c r="E536" s="87">
        <f t="shared" si="32"/>
        <v>45336</v>
      </c>
      <c r="F536" s="90">
        <f t="shared" si="34"/>
        <v>9.3109949184450591E-2</v>
      </c>
      <c r="G536" s="90"/>
      <c r="N536" s="89">
        <v>45337</v>
      </c>
      <c r="O536" s="88">
        <v>95.02</v>
      </c>
      <c r="R536" s="87">
        <f t="shared" si="33"/>
        <v>45336</v>
      </c>
      <c r="S536" s="86">
        <f t="shared" si="35"/>
        <v>95.02</v>
      </c>
      <c r="T536" s="86"/>
    </row>
    <row r="537" spans="1:20" x14ac:dyDescent="0.25">
      <c r="A537" s="89">
        <v>45338</v>
      </c>
      <c r="B537" s="91">
        <v>9.3145850234870903E-2</v>
      </c>
      <c r="E537" s="87">
        <f t="shared" si="32"/>
        <v>45337</v>
      </c>
      <c r="F537" s="90">
        <f t="shared" si="34"/>
        <v>9.3127872151788707E-2</v>
      </c>
      <c r="G537" s="90"/>
      <c r="N537" s="89">
        <v>45338</v>
      </c>
      <c r="O537" s="88">
        <v>95.02</v>
      </c>
      <c r="R537" s="87">
        <f t="shared" si="33"/>
        <v>45337</v>
      </c>
      <c r="S537" s="86">
        <f t="shared" si="35"/>
        <v>95.02</v>
      </c>
      <c r="T537" s="86"/>
    </row>
    <row r="538" spans="1:20" x14ac:dyDescent="0.25">
      <c r="A538" s="89">
        <v>45342</v>
      </c>
      <c r="B538" s="91">
        <v>9.3203244942768104E-2</v>
      </c>
      <c r="E538" s="87">
        <f t="shared" si="32"/>
        <v>45338</v>
      </c>
      <c r="F538" s="90">
        <f t="shared" si="34"/>
        <v>9.3145850234870903E-2</v>
      </c>
      <c r="G538" s="90"/>
      <c r="N538" s="89">
        <v>45342</v>
      </c>
      <c r="O538" s="88">
        <v>95.02</v>
      </c>
      <c r="R538" s="87">
        <f t="shared" si="33"/>
        <v>45338</v>
      </c>
      <c r="S538" s="86">
        <f t="shared" si="35"/>
        <v>95.02</v>
      </c>
      <c r="T538" s="86"/>
    </row>
    <row r="539" spans="1:20" x14ac:dyDescent="0.25">
      <c r="A539" s="89">
        <v>45343</v>
      </c>
      <c r="B539" s="91">
        <v>9.3217711678065793E-2</v>
      </c>
      <c r="E539" s="87">
        <f t="shared" si="32"/>
        <v>45342</v>
      </c>
      <c r="F539" s="90">
        <f t="shared" si="34"/>
        <v>9.3203244942768104E-2</v>
      </c>
      <c r="G539" s="90"/>
      <c r="N539" s="89">
        <v>45343</v>
      </c>
      <c r="O539" s="88">
        <v>95.02</v>
      </c>
      <c r="R539" s="87">
        <f t="shared" si="33"/>
        <v>45342</v>
      </c>
      <c r="S539" s="86">
        <f t="shared" si="35"/>
        <v>95.02</v>
      </c>
      <c r="T539" s="86"/>
    </row>
    <row r="540" spans="1:20" x14ac:dyDescent="0.25">
      <c r="A540" s="89">
        <v>45344</v>
      </c>
      <c r="B540" s="91">
        <v>9.3232225912459402E-2</v>
      </c>
      <c r="E540" s="87">
        <f t="shared" si="32"/>
        <v>45343</v>
      </c>
      <c r="F540" s="90">
        <f t="shared" si="34"/>
        <v>9.3217711678065793E-2</v>
      </c>
      <c r="G540" s="90"/>
      <c r="N540" s="89">
        <v>45344</v>
      </c>
      <c r="O540" s="88">
        <v>95.02</v>
      </c>
      <c r="R540" s="87">
        <f t="shared" si="33"/>
        <v>45343</v>
      </c>
      <c r="S540" s="86">
        <f t="shared" si="35"/>
        <v>95.02</v>
      </c>
      <c r="T540" s="86"/>
    </row>
    <row r="541" spans="1:20" x14ac:dyDescent="0.25">
      <c r="A541" s="89">
        <v>45345</v>
      </c>
      <c r="B541" s="91">
        <v>9.3028421414449392E-2</v>
      </c>
      <c r="E541" s="87">
        <f t="shared" si="32"/>
        <v>45344</v>
      </c>
      <c r="F541" s="90">
        <f t="shared" si="34"/>
        <v>9.3232225912459402E-2</v>
      </c>
      <c r="G541" s="90"/>
      <c r="N541" s="89">
        <v>45345</v>
      </c>
      <c r="O541" s="88">
        <v>95.073999999999998</v>
      </c>
      <c r="R541" s="87">
        <f t="shared" si="33"/>
        <v>45344</v>
      </c>
      <c r="S541" s="86">
        <f t="shared" si="35"/>
        <v>95.02</v>
      </c>
      <c r="T541" s="86"/>
    </row>
    <row r="542" spans="1:20" x14ac:dyDescent="0.25">
      <c r="A542" s="89">
        <v>45348</v>
      </c>
      <c r="B542" s="91">
        <v>9.4554483576084009E-2</v>
      </c>
      <c r="E542" s="87">
        <f t="shared" si="32"/>
        <v>45345</v>
      </c>
      <c r="F542" s="90">
        <f t="shared" si="34"/>
        <v>9.3028421414449392E-2</v>
      </c>
      <c r="G542" s="90"/>
      <c r="N542" s="89">
        <v>45348</v>
      </c>
      <c r="O542" s="88">
        <v>94.709000000000003</v>
      </c>
      <c r="R542" s="87">
        <f t="shared" si="33"/>
        <v>45345</v>
      </c>
      <c r="S542" s="86">
        <f t="shared" si="35"/>
        <v>95.073999999999998</v>
      </c>
      <c r="T542" s="86"/>
    </row>
    <row r="543" spans="1:20" x14ac:dyDescent="0.25">
      <c r="A543" s="89">
        <v>45349</v>
      </c>
      <c r="B543" s="91">
        <v>9.4244442447295698E-2</v>
      </c>
      <c r="E543" s="87">
        <f t="shared" si="32"/>
        <v>45348</v>
      </c>
      <c r="F543" s="90">
        <f t="shared" si="34"/>
        <v>9.4554483576084009E-2</v>
      </c>
      <c r="G543" s="90"/>
      <c r="N543" s="89">
        <v>45349</v>
      </c>
      <c r="O543" s="88">
        <v>94.789000000000001</v>
      </c>
      <c r="R543" s="87">
        <f t="shared" si="33"/>
        <v>45348</v>
      </c>
      <c r="S543" s="86">
        <f t="shared" si="35"/>
        <v>94.709000000000003</v>
      </c>
      <c r="T543" s="86"/>
    </row>
    <row r="544" spans="1:20" x14ac:dyDescent="0.25">
      <c r="A544" s="89">
        <v>45350</v>
      </c>
      <c r="B544" s="91">
        <v>9.4211130112727998E-2</v>
      </c>
      <c r="E544" s="87">
        <f t="shared" si="32"/>
        <v>45349</v>
      </c>
      <c r="F544" s="90">
        <f t="shared" si="34"/>
        <v>9.4244442447295698E-2</v>
      </c>
      <c r="G544" s="90"/>
      <c r="N544" s="89">
        <v>45350</v>
      </c>
      <c r="O544" s="88">
        <v>94.801000000000002</v>
      </c>
      <c r="R544" s="87">
        <f t="shared" si="33"/>
        <v>45349</v>
      </c>
      <c r="S544" s="86">
        <f t="shared" si="35"/>
        <v>94.789000000000001</v>
      </c>
      <c r="T544" s="86"/>
    </row>
    <row r="545" spans="1:20" x14ac:dyDescent="0.25">
      <c r="A545" s="89">
        <v>45351</v>
      </c>
      <c r="B545" s="91">
        <v>9.4096282472342502E-2</v>
      </c>
      <c r="E545" s="87">
        <f t="shared" si="32"/>
        <v>45350</v>
      </c>
      <c r="F545" s="90">
        <f t="shared" si="34"/>
        <v>9.4211130112727998E-2</v>
      </c>
      <c r="G545" s="90"/>
      <c r="N545" s="89">
        <v>45351</v>
      </c>
      <c r="O545" s="88">
        <v>94.832999999999998</v>
      </c>
      <c r="R545" s="87">
        <f t="shared" si="33"/>
        <v>45350</v>
      </c>
      <c r="S545" s="86">
        <f t="shared" si="35"/>
        <v>94.801000000000002</v>
      </c>
      <c r="T545" s="86"/>
    </row>
    <row r="546" spans="1:20" x14ac:dyDescent="0.25">
      <c r="A546" s="89">
        <v>45352</v>
      </c>
      <c r="B546" s="91">
        <v>9.3662402773732598E-2</v>
      </c>
      <c r="E546" s="87">
        <f t="shared" si="32"/>
        <v>45351</v>
      </c>
      <c r="F546" s="90">
        <f t="shared" si="34"/>
        <v>9.4096282472342502E-2</v>
      </c>
      <c r="G546" s="90"/>
      <c r="N546" s="89">
        <v>45352</v>
      </c>
      <c r="O546" s="88">
        <v>94.947000000000003</v>
      </c>
      <c r="R546" s="87">
        <f t="shared" si="33"/>
        <v>45351</v>
      </c>
      <c r="S546" s="86">
        <f t="shared" si="35"/>
        <v>94.832999999999998</v>
      </c>
      <c r="T546" s="86"/>
    </row>
    <row r="547" spans="1:20" x14ac:dyDescent="0.25">
      <c r="A547" s="89">
        <v>45355</v>
      </c>
      <c r="B547" s="91">
        <v>9.4751913056793702E-2</v>
      </c>
      <c r="E547" s="87">
        <f t="shared" si="32"/>
        <v>45352</v>
      </c>
      <c r="F547" s="90">
        <f t="shared" si="34"/>
        <v>9.3662402773732598E-2</v>
      </c>
      <c r="G547" s="90"/>
      <c r="N547" s="89">
        <v>45355</v>
      </c>
      <c r="O547" s="88">
        <v>94.691999999999993</v>
      </c>
      <c r="R547" s="87">
        <f t="shared" si="33"/>
        <v>45352</v>
      </c>
      <c r="S547" s="86">
        <f t="shared" si="35"/>
        <v>94.947000000000003</v>
      </c>
      <c r="T547" s="86"/>
    </row>
    <row r="548" spans="1:20" x14ac:dyDescent="0.25">
      <c r="A548" s="89">
        <v>45356</v>
      </c>
      <c r="B548" s="91">
        <v>9.4136958114979394E-2</v>
      </c>
      <c r="E548" s="87">
        <f t="shared" si="32"/>
        <v>45355</v>
      </c>
      <c r="F548" s="90">
        <f t="shared" si="34"/>
        <v>9.4751913056793702E-2</v>
      </c>
      <c r="G548" s="90"/>
      <c r="N548" s="89">
        <v>45356</v>
      </c>
      <c r="O548" s="88">
        <v>94.846000000000004</v>
      </c>
      <c r="R548" s="87">
        <f t="shared" si="33"/>
        <v>45355</v>
      </c>
      <c r="S548" s="86">
        <f t="shared" si="35"/>
        <v>94.691999999999993</v>
      </c>
      <c r="T548" s="86"/>
    </row>
    <row r="549" spans="1:20" x14ac:dyDescent="0.25">
      <c r="A549" s="89">
        <v>45357</v>
      </c>
      <c r="B549" s="91">
        <v>9.4206022194567099E-2</v>
      </c>
      <c r="E549" s="87">
        <f t="shared" si="32"/>
        <v>45356</v>
      </c>
      <c r="F549" s="90">
        <f t="shared" si="34"/>
        <v>9.4136958114979394E-2</v>
      </c>
      <c r="G549" s="90"/>
      <c r="N549" s="89">
        <v>45357</v>
      </c>
      <c r="O549" s="88">
        <v>94.832999999999998</v>
      </c>
      <c r="R549" s="87">
        <f t="shared" si="33"/>
        <v>45356</v>
      </c>
      <c r="S549" s="86">
        <f t="shared" si="35"/>
        <v>94.846000000000004</v>
      </c>
      <c r="T549" s="86"/>
    </row>
    <row r="550" spans="1:20" x14ac:dyDescent="0.25">
      <c r="A550" s="89">
        <v>45358</v>
      </c>
      <c r="B550" s="91">
        <v>9.4139869907407109E-2</v>
      </c>
      <c r="E550" s="87">
        <f t="shared" si="32"/>
        <v>45357</v>
      </c>
      <c r="F550" s="90">
        <f t="shared" si="34"/>
        <v>9.4206022194567099E-2</v>
      </c>
      <c r="G550" s="90"/>
      <c r="N550" s="89">
        <v>45358</v>
      </c>
      <c r="O550" s="88">
        <v>94.852999999999994</v>
      </c>
      <c r="R550" s="87">
        <f t="shared" si="33"/>
        <v>45357</v>
      </c>
      <c r="S550" s="86">
        <f t="shared" si="35"/>
        <v>94.832999999999998</v>
      </c>
      <c r="T550" s="86"/>
    </row>
    <row r="551" spans="1:20" x14ac:dyDescent="0.25">
      <c r="A551" s="89">
        <v>45359</v>
      </c>
      <c r="B551" s="91">
        <v>9.3315436007084307E-2</v>
      </c>
      <c r="E551" s="87">
        <f t="shared" si="32"/>
        <v>45358</v>
      </c>
      <c r="F551" s="90">
        <f t="shared" si="34"/>
        <v>9.4139869907407109E-2</v>
      </c>
      <c r="G551" s="90"/>
      <c r="N551" s="89">
        <v>45359</v>
      </c>
      <c r="O551" s="88">
        <v>95.058000000000007</v>
      </c>
      <c r="R551" s="87">
        <f t="shared" si="33"/>
        <v>45358</v>
      </c>
      <c r="S551" s="86">
        <f t="shared" si="35"/>
        <v>94.852999999999994</v>
      </c>
      <c r="T551" s="86"/>
    </row>
    <row r="552" spans="1:20" x14ac:dyDescent="0.25">
      <c r="A552" s="89">
        <v>45362</v>
      </c>
      <c r="B552" s="91">
        <v>9.2349220318958009E-2</v>
      </c>
      <c r="E552" s="87">
        <f t="shared" si="32"/>
        <v>45359</v>
      </c>
      <c r="F552" s="90">
        <f t="shared" si="34"/>
        <v>9.3315436007084307E-2</v>
      </c>
      <c r="G552" s="90"/>
      <c r="N552" s="89">
        <v>45362</v>
      </c>
      <c r="O552" s="88">
        <v>95.305000000000007</v>
      </c>
      <c r="R552" s="87">
        <f t="shared" si="33"/>
        <v>45359</v>
      </c>
      <c r="S552" s="86">
        <f t="shared" si="35"/>
        <v>95.058000000000007</v>
      </c>
      <c r="T552" s="86"/>
    </row>
    <row r="553" spans="1:20" x14ac:dyDescent="0.25">
      <c r="A553" s="89">
        <v>45363</v>
      </c>
      <c r="B553" s="91">
        <v>9.2929220928349487E-2</v>
      </c>
      <c r="E553" s="87">
        <f t="shared" si="32"/>
        <v>45362</v>
      </c>
      <c r="F553" s="90">
        <f t="shared" si="34"/>
        <v>9.2349220318958009E-2</v>
      </c>
      <c r="G553" s="90"/>
      <c r="N553" s="89">
        <v>45363</v>
      </c>
      <c r="O553" s="88">
        <v>95.167000000000002</v>
      </c>
      <c r="R553" s="87">
        <f t="shared" si="33"/>
        <v>45362</v>
      </c>
      <c r="S553" s="86">
        <f t="shared" si="35"/>
        <v>95.305000000000007</v>
      </c>
      <c r="T553" s="86"/>
    </row>
    <row r="554" spans="1:20" x14ac:dyDescent="0.25">
      <c r="A554" s="89">
        <v>45364</v>
      </c>
      <c r="B554" s="91">
        <v>9.2628346259265304E-2</v>
      </c>
      <c r="E554" s="87">
        <f t="shared" si="32"/>
        <v>45363</v>
      </c>
      <c r="F554" s="90">
        <f t="shared" si="34"/>
        <v>9.2929220928349487E-2</v>
      </c>
      <c r="G554" s="90"/>
      <c r="N554" s="89">
        <v>45364</v>
      </c>
      <c r="O554" s="88">
        <v>95.244</v>
      </c>
      <c r="R554" s="87">
        <f t="shared" si="33"/>
        <v>45363</v>
      </c>
      <c r="S554" s="86">
        <f t="shared" si="35"/>
        <v>95.167000000000002</v>
      </c>
      <c r="T554" s="86"/>
    </row>
    <row r="555" spans="1:20" x14ac:dyDescent="0.25">
      <c r="A555" s="89">
        <v>45365</v>
      </c>
      <c r="B555" s="91">
        <v>9.2315007677905903E-2</v>
      </c>
      <c r="E555" s="87">
        <f t="shared" si="32"/>
        <v>45364</v>
      </c>
      <c r="F555" s="90">
        <f t="shared" si="34"/>
        <v>9.2628346259265304E-2</v>
      </c>
      <c r="G555" s="90"/>
      <c r="N555" s="89">
        <v>45365</v>
      </c>
      <c r="O555" s="88">
        <v>95.323999999999998</v>
      </c>
      <c r="R555" s="87">
        <f t="shared" si="33"/>
        <v>45364</v>
      </c>
      <c r="S555" s="86">
        <f t="shared" si="35"/>
        <v>95.244</v>
      </c>
      <c r="T555" s="86"/>
    </row>
    <row r="556" spans="1:20" x14ac:dyDescent="0.25">
      <c r="A556" s="89">
        <v>45366</v>
      </c>
      <c r="B556" s="91">
        <v>9.1677847791345607E-2</v>
      </c>
      <c r="E556" s="87">
        <f t="shared" si="32"/>
        <v>45365</v>
      </c>
      <c r="F556" s="90">
        <f t="shared" si="34"/>
        <v>9.2315007677905903E-2</v>
      </c>
      <c r="G556" s="90"/>
      <c r="N556" s="89">
        <v>45366</v>
      </c>
      <c r="O556" s="88">
        <v>95.483000000000004</v>
      </c>
      <c r="R556" s="87">
        <f t="shared" si="33"/>
        <v>45365</v>
      </c>
      <c r="S556" s="86">
        <f t="shared" si="35"/>
        <v>95.323999999999998</v>
      </c>
      <c r="T556" s="86"/>
    </row>
    <row r="557" spans="1:20" x14ac:dyDescent="0.25">
      <c r="A557" s="89">
        <v>45369</v>
      </c>
      <c r="B557" s="91">
        <v>9.0609717861612996E-2</v>
      </c>
      <c r="E557" s="87">
        <f t="shared" si="32"/>
        <v>45366</v>
      </c>
      <c r="F557" s="90">
        <f t="shared" si="34"/>
        <v>9.1677847791345607E-2</v>
      </c>
      <c r="G557" s="90"/>
      <c r="N557" s="89">
        <v>45369</v>
      </c>
      <c r="O557" s="88">
        <v>95.754000000000005</v>
      </c>
      <c r="R557" s="87">
        <f t="shared" si="33"/>
        <v>45366</v>
      </c>
      <c r="S557" s="86">
        <f t="shared" si="35"/>
        <v>95.483000000000004</v>
      </c>
      <c r="T557" s="86"/>
    </row>
    <row r="558" spans="1:20" x14ac:dyDescent="0.25">
      <c r="A558" s="89">
        <v>45370</v>
      </c>
      <c r="B558" s="91">
        <v>8.9919585839187896E-2</v>
      </c>
      <c r="E558" s="87">
        <f t="shared" si="32"/>
        <v>45369</v>
      </c>
      <c r="F558" s="90">
        <f t="shared" si="34"/>
        <v>9.0609717861612996E-2</v>
      </c>
      <c r="G558" s="90"/>
      <c r="N558" s="89">
        <v>45370</v>
      </c>
      <c r="O558" s="88">
        <v>95.926000000000002</v>
      </c>
      <c r="R558" s="87">
        <f t="shared" si="33"/>
        <v>45369</v>
      </c>
      <c r="S558" s="86">
        <f t="shared" si="35"/>
        <v>95.754000000000005</v>
      </c>
      <c r="T558" s="86"/>
    </row>
    <row r="559" spans="1:20" x14ac:dyDescent="0.25">
      <c r="A559" s="89">
        <v>45371</v>
      </c>
      <c r="B559" s="91">
        <v>8.8032748880172901E-2</v>
      </c>
      <c r="E559" s="87">
        <f t="shared" si="32"/>
        <v>45370</v>
      </c>
      <c r="F559" s="90">
        <f t="shared" si="34"/>
        <v>8.9919585839187896E-2</v>
      </c>
      <c r="G559" s="90"/>
      <c r="N559" s="89">
        <v>45371</v>
      </c>
      <c r="O559" s="88">
        <v>96.391999999999996</v>
      </c>
      <c r="R559" s="87">
        <f t="shared" si="33"/>
        <v>45370</v>
      </c>
      <c r="S559" s="86">
        <f t="shared" si="35"/>
        <v>95.926000000000002</v>
      </c>
      <c r="T559" s="86"/>
    </row>
    <row r="560" spans="1:20" x14ac:dyDescent="0.25">
      <c r="A560" s="89">
        <v>45372</v>
      </c>
      <c r="B560" s="91">
        <v>8.8617987870979409E-2</v>
      </c>
      <c r="E560" s="87">
        <f t="shared" si="32"/>
        <v>45371</v>
      </c>
      <c r="F560" s="90">
        <f t="shared" si="34"/>
        <v>8.8032748880172901E-2</v>
      </c>
      <c r="G560" s="90"/>
      <c r="N560" s="89">
        <v>45372</v>
      </c>
      <c r="O560" s="88">
        <v>96.251000000000005</v>
      </c>
      <c r="R560" s="87">
        <f t="shared" si="33"/>
        <v>45371</v>
      </c>
      <c r="S560" s="86">
        <f t="shared" si="35"/>
        <v>96.391999999999996</v>
      </c>
      <c r="T560" s="86"/>
    </row>
    <row r="561" spans="1:20" x14ac:dyDescent="0.25">
      <c r="A561" s="89">
        <v>45373</v>
      </c>
      <c r="B561" s="91">
        <v>8.8087736228080096E-2</v>
      </c>
      <c r="E561" s="87">
        <f t="shared" si="32"/>
        <v>45372</v>
      </c>
      <c r="F561" s="90">
        <f t="shared" si="34"/>
        <v>8.8617987870979409E-2</v>
      </c>
      <c r="G561" s="90"/>
      <c r="N561" s="89">
        <v>45373</v>
      </c>
      <c r="O561" s="88">
        <v>96.384</v>
      </c>
      <c r="R561" s="87">
        <f t="shared" si="33"/>
        <v>45372</v>
      </c>
      <c r="S561" s="86">
        <f t="shared" si="35"/>
        <v>96.251000000000005</v>
      </c>
      <c r="T561" s="86"/>
    </row>
    <row r="562" spans="1:20" x14ac:dyDescent="0.25">
      <c r="A562" s="89">
        <v>45376</v>
      </c>
      <c r="B562" s="91">
        <v>8.8673285221413711E-2</v>
      </c>
      <c r="E562" s="87">
        <f t="shared" si="32"/>
        <v>45373</v>
      </c>
      <c r="F562" s="90">
        <f t="shared" si="34"/>
        <v>8.8087736228080096E-2</v>
      </c>
      <c r="G562" s="90"/>
      <c r="N562" s="89">
        <v>45376</v>
      </c>
      <c r="O562" s="88">
        <v>96.248999999999995</v>
      </c>
      <c r="R562" s="87">
        <f t="shared" si="33"/>
        <v>45373</v>
      </c>
      <c r="S562" s="86">
        <f t="shared" si="35"/>
        <v>96.384</v>
      </c>
      <c r="T562" s="86"/>
    </row>
    <row r="563" spans="1:20" x14ac:dyDescent="0.25">
      <c r="A563" s="89">
        <v>45377</v>
      </c>
      <c r="B563" s="91">
        <v>8.8239415525148412E-2</v>
      </c>
      <c r="E563" s="87">
        <f t="shared" si="32"/>
        <v>45376</v>
      </c>
      <c r="F563" s="90">
        <f t="shared" si="34"/>
        <v>8.8673285221413711E-2</v>
      </c>
      <c r="G563" s="90"/>
      <c r="N563" s="89">
        <v>45377</v>
      </c>
      <c r="O563" s="88">
        <v>96.358000000000004</v>
      </c>
      <c r="R563" s="87">
        <f t="shared" si="33"/>
        <v>45376</v>
      </c>
      <c r="S563" s="86">
        <f t="shared" si="35"/>
        <v>96.248999999999995</v>
      </c>
      <c r="T563" s="86"/>
    </row>
    <row r="564" spans="1:20" x14ac:dyDescent="0.25">
      <c r="A564" s="89">
        <v>45378</v>
      </c>
      <c r="B564" s="91">
        <v>8.6802260485715793E-2</v>
      </c>
      <c r="E564" s="87">
        <f t="shared" si="32"/>
        <v>45377</v>
      </c>
      <c r="F564" s="90">
        <f t="shared" si="34"/>
        <v>8.8239415525148412E-2</v>
      </c>
      <c r="G564" s="90"/>
      <c r="N564" s="89">
        <v>45378</v>
      </c>
      <c r="O564" s="88">
        <v>96.712999999999994</v>
      </c>
      <c r="R564" s="87">
        <f t="shared" si="33"/>
        <v>45377</v>
      </c>
      <c r="S564" s="86">
        <f t="shared" si="35"/>
        <v>96.358000000000004</v>
      </c>
      <c r="T564" s="86"/>
    </row>
    <row r="565" spans="1:20" x14ac:dyDescent="0.25">
      <c r="A565" s="89">
        <v>45379</v>
      </c>
      <c r="B565" s="91">
        <v>8.7012360845945907E-2</v>
      </c>
      <c r="E565" s="87">
        <f t="shared" si="32"/>
        <v>45378</v>
      </c>
      <c r="F565" s="90">
        <f t="shared" si="34"/>
        <v>8.6802260485715793E-2</v>
      </c>
      <c r="G565" s="90"/>
      <c r="N565" s="89">
        <v>45379</v>
      </c>
      <c r="O565" s="88">
        <v>96.664000000000001</v>
      </c>
      <c r="R565" s="87">
        <f t="shared" si="33"/>
        <v>45378</v>
      </c>
      <c r="S565" s="86">
        <f t="shared" si="35"/>
        <v>96.712999999999994</v>
      </c>
      <c r="T565" s="86"/>
    </row>
    <row r="566" spans="1:20" x14ac:dyDescent="0.25">
      <c r="A566" s="89">
        <v>45383</v>
      </c>
      <c r="B566" s="91">
        <v>8.8297618467241601E-2</v>
      </c>
      <c r="E566" s="87">
        <f t="shared" si="32"/>
        <v>45379</v>
      </c>
      <c r="F566" s="90">
        <f t="shared" si="34"/>
        <v>8.7012360845945907E-2</v>
      </c>
      <c r="G566" s="90"/>
      <c r="N566" s="89">
        <v>45383</v>
      </c>
      <c r="O566" s="88">
        <v>96.358000000000004</v>
      </c>
      <c r="R566" s="87">
        <f t="shared" si="33"/>
        <v>45379</v>
      </c>
      <c r="S566" s="86">
        <f t="shared" si="35"/>
        <v>96.664000000000001</v>
      </c>
      <c r="T566" s="86"/>
    </row>
    <row r="567" spans="1:20" x14ac:dyDescent="0.25">
      <c r="A567" s="89">
        <v>45384</v>
      </c>
      <c r="B567" s="91">
        <v>8.7132632271264596E-2</v>
      </c>
      <c r="E567" s="87">
        <f t="shared" si="32"/>
        <v>45383</v>
      </c>
      <c r="F567" s="90">
        <f t="shared" si="34"/>
        <v>8.8297618467241601E-2</v>
      </c>
      <c r="G567" s="90"/>
      <c r="N567" s="89">
        <v>45384</v>
      </c>
      <c r="O567" s="88">
        <v>96.644999999999996</v>
      </c>
      <c r="R567" s="87">
        <f t="shared" si="33"/>
        <v>45383</v>
      </c>
      <c r="S567" s="86">
        <f t="shared" si="35"/>
        <v>96.358000000000004</v>
      </c>
      <c r="T567" s="86"/>
    </row>
    <row r="568" spans="1:20" x14ac:dyDescent="0.25">
      <c r="A568" s="89">
        <v>45385</v>
      </c>
      <c r="B568" s="91">
        <v>8.6901848232183207E-2</v>
      </c>
      <c r="E568" s="87">
        <f t="shared" si="32"/>
        <v>45384</v>
      </c>
      <c r="F568" s="90">
        <f t="shared" si="34"/>
        <v>8.7132632271264596E-2</v>
      </c>
      <c r="G568" s="90"/>
      <c r="N568" s="89">
        <v>45385</v>
      </c>
      <c r="O568" s="88">
        <v>96.703999999999994</v>
      </c>
      <c r="R568" s="87">
        <f t="shared" si="33"/>
        <v>45384</v>
      </c>
      <c r="S568" s="86">
        <f t="shared" si="35"/>
        <v>96.644999999999996</v>
      </c>
      <c r="T568" s="86"/>
    </row>
    <row r="569" spans="1:20" x14ac:dyDescent="0.25">
      <c r="A569" s="89">
        <v>45386</v>
      </c>
      <c r="B569" s="91">
        <v>8.6625846028614201E-2</v>
      </c>
      <c r="E569" s="87">
        <f t="shared" si="32"/>
        <v>45385</v>
      </c>
      <c r="F569" s="90">
        <f t="shared" si="34"/>
        <v>8.6901848232183207E-2</v>
      </c>
      <c r="G569" s="90"/>
      <c r="N569" s="89">
        <v>45386</v>
      </c>
      <c r="O569" s="88">
        <v>96.774000000000001</v>
      </c>
      <c r="R569" s="87">
        <f t="shared" si="33"/>
        <v>45385</v>
      </c>
      <c r="S569" s="86">
        <f t="shared" si="35"/>
        <v>96.703999999999994</v>
      </c>
      <c r="T569" s="86"/>
    </row>
    <row r="570" spans="1:20" x14ac:dyDescent="0.25">
      <c r="A570" s="89">
        <v>45387</v>
      </c>
      <c r="B570" s="91">
        <v>8.8089710753253794E-2</v>
      </c>
      <c r="E570" s="87">
        <f t="shared" si="32"/>
        <v>45386</v>
      </c>
      <c r="F570" s="90">
        <f t="shared" si="34"/>
        <v>8.6625846028614201E-2</v>
      </c>
      <c r="G570" s="90"/>
      <c r="N570" s="89">
        <v>45387</v>
      </c>
      <c r="O570" s="88">
        <v>96.42</v>
      </c>
      <c r="R570" s="87">
        <f t="shared" si="33"/>
        <v>45386</v>
      </c>
      <c r="S570" s="86">
        <f t="shared" si="35"/>
        <v>96.774000000000001</v>
      </c>
      <c r="T570" s="86"/>
    </row>
    <row r="571" spans="1:20" x14ac:dyDescent="0.25">
      <c r="A571" s="89">
        <v>45390</v>
      </c>
      <c r="B571" s="91">
        <v>8.8624611552392998E-2</v>
      </c>
      <c r="E571" s="87">
        <f t="shared" si="32"/>
        <v>45387</v>
      </c>
      <c r="F571" s="90">
        <f t="shared" si="34"/>
        <v>8.8089710753253794E-2</v>
      </c>
      <c r="G571" s="90"/>
      <c r="N571" s="89">
        <v>45390</v>
      </c>
      <c r="O571" s="88">
        <v>96.299000000000007</v>
      </c>
      <c r="R571" s="87">
        <f t="shared" si="33"/>
        <v>45387</v>
      </c>
      <c r="S571" s="86">
        <f t="shared" si="35"/>
        <v>96.42</v>
      </c>
      <c r="T571" s="86"/>
    </row>
    <row r="572" spans="1:20" x14ac:dyDescent="0.25">
      <c r="A572" s="89">
        <v>45391</v>
      </c>
      <c r="B572" s="91">
        <v>8.7835543897589602E-2</v>
      </c>
      <c r="E572" s="87">
        <f t="shared" si="32"/>
        <v>45390</v>
      </c>
      <c r="F572" s="90">
        <f t="shared" si="34"/>
        <v>8.8624611552392998E-2</v>
      </c>
      <c r="G572" s="90"/>
      <c r="N572" s="89">
        <v>45391</v>
      </c>
      <c r="O572" s="88">
        <v>96.492999999999995</v>
      </c>
      <c r="R572" s="87">
        <f t="shared" si="33"/>
        <v>45390</v>
      </c>
      <c r="S572" s="86">
        <f t="shared" si="35"/>
        <v>96.299000000000007</v>
      </c>
      <c r="T572" s="86"/>
    </row>
    <row r="573" spans="1:20" x14ac:dyDescent="0.25">
      <c r="A573" s="89">
        <v>45392</v>
      </c>
      <c r="B573" s="91">
        <v>8.6084763851084101E-2</v>
      </c>
      <c r="E573" s="87">
        <f t="shared" si="32"/>
        <v>45391</v>
      </c>
      <c r="F573" s="90">
        <f t="shared" si="34"/>
        <v>8.7835543897589602E-2</v>
      </c>
      <c r="G573" s="90"/>
      <c r="N573" s="89">
        <v>45392</v>
      </c>
      <c r="O573" s="88">
        <v>96.921000000000006</v>
      </c>
      <c r="R573" s="87">
        <f t="shared" si="33"/>
        <v>45391</v>
      </c>
      <c r="S573" s="86">
        <f t="shared" si="35"/>
        <v>96.492999999999995</v>
      </c>
      <c r="T573" s="86"/>
    </row>
    <row r="574" spans="1:20" x14ac:dyDescent="0.25">
      <c r="A574" s="89">
        <v>45393</v>
      </c>
      <c r="B574" s="91">
        <v>8.5930541883733488E-2</v>
      </c>
      <c r="E574" s="87">
        <f t="shared" si="32"/>
        <v>45392</v>
      </c>
      <c r="F574" s="90">
        <f t="shared" si="34"/>
        <v>8.6084763851084101E-2</v>
      </c>
      <c r="G574" s="90"/>
      <c r="N574" s="89">
        <v>45393</v>
      </c>
      <c r="O574" s="88">
        <v>96.960999999999999</v>
      </c>
      <c r="R574" s="87">
        <f t="shared" si="33"/>
        <v>45392</v>
      </c>
      <c r="S574" s="86">
        <f t="shared" si="35"/>
        <v>96.921000000000006</v>
      </c>
      <c r="T574" s="86"/>
    </row>
    <row r="575" spans="1:20" x14ac:dyDescent="0.25">
      <c r="A575" s="89">
        <v>45394</v>
      </c>
      <c r="B575" s="91">
        <v>8.6920617512037099E-2</v>
      </c>
      <c r="E575" s="87">
        <f t="shared" si="32"/>
        <v>45393</v>
      </c>
      <c r="F575" s="90">
        <f t="shared" si="34"/>
        <v>8.5930541883733488E-2</v>
      </c>
      <c r="G575" s="90"/>
      <c r="N575" s="89">
        <v>45394</v>
      </c>
      <c r="O575" s="88">
        <v>96.722999999999999</v>
      </c>
      <c r="R575" s="87">
        <f t="shared" si="33"/>
        <v>45393</v>
      </c>
      <c r="S575" s="86">
        <f t="shared" si="35"/>
        <v>96.960999999999999</v>
      </c>
      <c r="T575" s="86"/>
    </row>
    <row r="576" spans="1:20" x14ac:dyDescent="0.25">
      <c r="A576" s="89">
        <v>45397</v>
      </c>
      <c r="B576" s="91">
        <v>8.5410767098228493E-2</v>
      </c>
      <c r="E576" s="87">
        <f t="shared" si="32"/>
        <v>45394</v>
      </c>
      <c r="F576" s="90">
        <f t="shared" si="34"/>
        <v>8.6920617512037099E-2</v>
      </c>
      <c r="G576" s="90"/>
      <c r="N576" s="89">
        <v>45397</v>
      </c>
      <c r="O576" s="88">
        <v>97.096999999999994</v>
      </c>
      <c r="R576" s="87">
        <f t="shared" si="33"/>
        <v>45394</v>
      </c>
      <c r="S576" s="86">
        <f t="shared" si="35"/>
        <v>96.722999999999999</v>
      </c>
      <c r="T576" s="86"/>
    </row>
    <row r="577" spans="1:20" x14ac:dyDescent="0.25">
      <c r="A577" s="89">
        <v>45398</v>
      </c>
      <c r="B577" s="91">
        <v>8.7072205112801393E-2</v>
      </c>
      <c r="E577" s="87">
        <f t="shared" si="32"/>
        <v>45397</v>
      </c>
      <c r="F577" s="90">
        <f t="shared" si="34"/>
        <v>8.5410767098228493E-2</v>
      </c>
      <c r="G577" s="90"/>
      <c r="N577" s="89">
        <v>45398</v>
      </c>
      <c r="O577" s="88">
        <v>96.697000000000003</v>
      </c>
      <c r="R577" s="87">
        <f t="shared" si="33"/>
        <v>45397</v>
      </c>
      <c r="S577" s="86">
        <f t="shared" si="35"/>
        <v>97.096999999999994</v>
      </c>
      <c r="T577" s="86"/>
    </row>
    <row r="578" spans="1:20" x14ac:dyDescent="0.25">
      <c r="A578" s="89">
        <v>45399</v>
      </c>
      <c r="B578" s="91">
        <v>8.7510465640545293E-2</v>
      </c>
      <c r="E578" s="87">
        <f t="shared" si="32"/>
        <v>45398</v>
      </c>
      <c r="F578" s="90">
        <f t="shared" si="34"/>
        <v>8.7072205112801393E-2</v>
      </c>
      <c r="G578" s="90"/>
      <c r="N578" s="89">
        <v>45399</v>
      </c>
      <c r="O578" s="88">
        <v>96.593999999999994</v>
      </c>
      <c r="R578" s="87">
        <f t="shared" si="33"/>
        <v>45398</v>
      </c>
      <c r="S578" s="86">
        <f t="shared" si="35"/>
        <v>96.697000000000003</v>
      </c>
      <c r="T578" s="86"/>
    </row>
    <row r="579" spans="1:20" x14ac:dyDescent="0.25">
      <c r="A579" s="89">
        <v>45400</v>
      </c>
      <c r="B579" s="91">
        <v>8.7401667459948693E-2</v>
      </c>
      <c r="E579" s="87">
        <f t="shared" si="32"/>
        <v>45399</v>
      </c>
      <c r="F579" s="90">
        <f t="shared" si="34"/>
        <v>8.7510465640545293E-2</v>
      </c>
      <c r="G579" s="90"/>
      <c r="N579" s="89">
        <v>45400</v>
      </c>
      <c r="O579" s="88">
        <v>96.623000000000005</v>
      </c>
      <c r="R579" s="87">
        <f t="shared" si="33"/>
        <v>45399</v>
      </c>
      <c r="S579" s="86">
        <f t="shared" si="35"/>
        <v>96.593999999999994</v>
      </c>
      <c r="T579" s="86"/>
    </row>
    <row r="580" spans="1:20" x14ac:dyDescent="0.25">
      <c r="A580" s="89">
        <v>45401</v>
      </c>
      <c r="B580" s="91">
        <v>8.678229661145441E-2</v>
      </c>
      <c r="E580" s="87">
        <f t="shared" ref="E580:E643" si="36">A579</f>
        <v>45400</v>
      </c>
      <c r="F580" s="90">
        <f t="shared" si="34"/>
        <v>8.7401667459948693E-2</v>
      </c>
      <c r="G580" s="90"/>
      <c r="N580" s="89">
        <v>45401</v>
      </c>
      <c r="O580" s="88">
        <v>96.775000000000006</v>
      </c>
      <c r="R580" s="87">
        <f t="shared" ref="R580:R643" si="37">N579</f>
        <v>45400</v>
      </c>
      <c r="S580" s="86">
        <f t="shared" si="35"/>
        <v>96.623000000000005</v>
      </c>
      <c r="T580" s="86"/>
    </row>
    <row r="581" spans="1:20" x14ac:dyDescent="0.25">
      <c r="A581" s="89">
        <v>45404</v>
      </c>
      <c r="B581" s="91">
        <v>8.6798886169063505E-2</v>
      </c>
      <c r="E581" s="87">
        <f t="shared" si="36"/>
        <v>45401</v>
      </c>
      <c r="F581" s="90">
        <f t="shared" ref="F581:F644" si="38">B580</f>
        <v>8.678229661145441E-2</v>
      </c>
      <c r="G581" s="90"/>
      <c r="N581" s="89">
        <v>45404</v>
      </c>
      <c r="O581" s="88">
        <v>96.778999999999996</v>
      </c>
      <c r="R581" s="87">
        <f t="shared" si="37"/>
        <v>45401</v>
      </c>
      <c r="S581" s="86">
        <f t="shared" ref="S581:S644" si="39">O580</f>
        <v>96.775000000000006</v>
      </c>
      <c r="T581" s="86"/>
    </row>
    <row r="582" spans="1:20" x14ac:dyDescent="0.25">
      <c r="A582" s="89">
        <v>45405</v>
      </c>
      <c r="B582" s="91">
        <v>8.73139221429243E-2</v>
      </c>
      <c r="E582" s="87">
        <f t="shared" si="36"/>
        <v>45404</v>
      </c>
      <c r="F582" s="90">
        <f t="shared" si="38"/>
        <v>8.6798886169063505E-2</v>
      </c>
      <c r="G582" s="90"/>
      <c r="N582" s="89">
        <v>45405</v>
      </c>
      <c r="O582" s="88">
        <v>96.658000000000001</v>
      </c>
      <c r="R582" s="87">
        <f t="shared" si="37"/>
        <v>45404</v>
      </c>
      <c r="S582" s="86">
        <f t="shared" si="39"/>
        <v>96.778999999999996</v>
      </c>
      <c r="T582" s="86"/>
    </row>
    <row r="583" spans="1:20" x14ac:dyDescent="0.25">
      <c r="A583" s="89">
        <v>45406</v>
      </c>
      <c r="B583" s="91">
        <v>8.6796225140212513E-2</v>
      </c>
      <c r="E583" s="87">
        <f t="shared" si="36"/>
        <v>45405</v>
      </c>
      <c r="F583" s="90">
        <f t="shared" si="38"/>
        <v>8.73139221429243E-2</v>
      </c>
      <c r="G583" s="90"/>
      <c r="N583" s="89">
        <v>45406</v>
      </c>
      <c r="O583" s="88">
        <v>96.784999999999997</v>
      </c>
      <c r="R583" s="87">
        <f t="shared" si="37"/>
        <v>45405</v>
      </c>
      <c r="S583" s="86">
        <f t="shared" si="39"/>
        <v>96.658000000000001</v>
      </c>
      <c r="T583" s="86"/>
    </row>
    <row r="584" spans="1:20" x14ac:dyDescent="0.25">
      <c r="A584" s="89">
        <v>45407</v>
      </c>
      <c r="B584" s="91">
        <v>8.6778253519185902E-2</v>
      </c>
      <c r="E584" s="87">
        <f t="shared" si="36"/>
        <v>45406</v>
      </c>
      <c r="F584" s="90">
        <f t="shared" si="38"/>
        <v>8.6796225140212513E-2</v>
      </c>
      <c r="G584" s="90"/>
      <c r="N584" s="89">
        <v>45407</v>
      </c>
      <c r="O584" s="88">
        <v>96.792000000000002</v>
      </c>
      <c r="R584" s="87">
        <f t="shared" si="37"/>
        <v>45406</v>
      </c>
      <c r="S584" s="86">
        <f t="shared" si="39"/>
        <v>96.784999999999997</v>
      </c>
      <c r="T584" s="86"/>
    </row>
    <row r="585" spans="1:20" x14ac:dyDescent="0.25">
      <c r="A585" s="89">
        <v>45408</v>
      </c>
      <c r="B585" s="91">
        <v>8.8114560133766201E-2</v>
      </c>
      <c r="E585" s="87">
        <f t="shared" si="36"/>
        <v>45407</v>
      </c>
      <c r="F585" s="90">
        <f t="shared" si="38"/>
        <v>8.6778253519185902E-2</v>
      </c>
      <c r="G585" s="90"/>
      <c r="N585" s="89">
        <v>45408</v>
      </c>
      <c r="O585" s="88">
        <v>96.474999999999994</v>
      </c>
      <c r="R585" s="87">
        <f t="shared" si="37"/>
        <v>45407</v>
      </c>
      <c r="S585" s="86">
        <f t="shared" si="39"/>
        <v>96.792000000000002</v>
      </c>
      <c r="T585" s="86"/>
    </row>
    <row r="586" spans="1:20" x14ac:dyDescent="0.25">
      <c r="A586" s="89">
        <v>45411</v>
      </c>
      <c r="B586" s="91">
        <v>8.8005066714279698E-2</v>
      </c>
      <c r="E586" s="87">
        <f t="shared" si="36"/>
        <v>45408</v>
      </c>
      <c r="F586" s="90">
        <f t="shared" si="38"/>
        <v>8.8114560133766201E-2</v>
      </c>
      <c r="G586" s="90"/>
      <c r="N586" s="89">
        <v>45411</v>
      </c>
      <c r="O586" s="88">
        <v>96.51</v>
      </c>
      <c r="R586" s="87">
        <f t="shared" si="37"/>
        <v>45408</v>
      </c>
      <c r="S586" s="86">
        <f t="shared" si="39"/>
        <v>96.474999999999994</v>
      </c>
      <c r="T586" s="86"/>
    </row>
    <row r="587" spans="1:20" x14ac:dyDescent="0.25">
      <c r="A587" s="89">
        <v>45412</v>
      </c>
      <c r="B587" s="91">
        <v>8.7287239104616193E-2</v>
      </c>
      <c r="E587" s="87">
        <f t="shared" si="36"/>
        <v>45411</v>
      </c>
      <c r="F587" s="90">
        <f t="shared" si="38"/>
        <v>8.8005066714279698E-2</v>
      </c>
      <c r="G587" s="90"/>
      <c r="N587" s="89">
        <v>45412</v>
      </c>
      <c r="O587" s="88">
        <v>96.683999999999997</v>
      </c>
      <c r="R587" s="87">
        <f t="shared" si="37"/>
        <v>45411</v>
      </c>
      <c r="S587" s="86">
        <f t="shared" si="39"/>
        <v>96.51</v>
      </c>
      <c r="T587" s="86"/>
    </row>
    <row r="588" spans="1:20" x14ac:dyDescent="0.25">
      <c r="A588" s="89">
        <v>45413</v>
      </c>
      <c r="B588" s="91">
        <v>8.7429182514148801E-2</v>
      </c>
      <c r="E588" s="87">
        <f t="shared" si="36"/>
        <v>45412</v>
      </c>
      <c r="F588" s="90">
        <f t="shared" si="38"/>
        <v>8.7287239104616193E-2</v>
      </c>
      <c r="G588" s="90"/>
      <c r="N588" s="89">
        <v>45413</v>
      </c>
      <c r="O588" s="88">
        <v>96.653000000000006</v>
      </c>
      <c r="R588" s="87">
        <f t="shared" si="37"/>
        <v>45412</v>
      </c>
      <c r="S588" s="86">
        <f t="shared" si="39"/>
        <v>96.683999999999997</v>
      </c>
      <c r="T588" s="86"/>
    </row>
    <row r="589" spans="1:20" x14ac:dyDescent="0.25">
      <c r="A589" s="89">
        <v>45414</v>
      </c>
      <c r="B589" s="91">
        <v>8.5518370020260998E-2</v>
      </c>
      <c r="E589" s="87">
        <f t="shared" si="36"/>
        <v>45413</v>
      </c>
      <c r="F589" s="90">
        <f t="shared" si="38"/>
        <v>8.7429182514148801E-2</v>
      </c>
      <c r="G589" s="90"/>
      <c r="N589" s="89">
        <v>45414</v>
      </c>
      <c r="O589" s="88">
        <v>97.111999999999995</v>
      </c>
      <c r="R589" s="87">
        <f t="shared" si="37"/>
        <v>45413</v>
      </c>
      <c r="S589" s="86">
        <f t="shared" si="39"/>
        <v>96.653000000000006</v>
      </c>
      <c r="T589" s="86"/>
    </row>
    <row r="590" spans="1:20" x14ac:dyDescent="0.25">
      <c r="A590" s="89">
        <v>45415</v>
      </c>
      <c r="B590" s="91">
        <v>8.7314484013411894E-2</v>
      </c>
      <c r="E590" s="87">
        <f t="shared" si="36"/>
        <v>45414</v>
      </c>
      <c r="F590" s="90">
        <f t="shared" si="38"/>
        <v>8.5518370020260998E-2</v>
      </c>
      <c r="G590" s="90"/>
      <c r="N590" s="89">
        <v>45415</v>
      </c>
      <c r="O590" s="88">
        <v>96.686000000000007</v>
      </c>
      <c r="R590" s="87">
        <f t="shared" si="37"/>
        <v>45414</v>
      </c>
      <c r="S590" s="86">
        <f t="shared" si="39"/>
        <v>97.111999999999995</v>
      </c>
      <c r="T590" s="86"/>
    </row>
    <row r="591" spans="1:20" x14ac:dyDescent="0.25">
      <c r="A591" s="89">
        <v>45418</v>
      </c>
      <c r="B591" s="91">
        <v>8.8131187969949398E-2</v>
      </c>
      <c r="E591" s="87">
        <f t="shared" si="36"/>
        <v>45415</v>
      </c>
      <c r="F591" s="90">
        <f t="shared" si="38"/>
        <v>8.7314484013411894E-2</v>
      </c>
      <c r="G591" s="90"/>
      <c r="N591" s="89">
        <v>45418</v>
      </c>
      <c r="O591" s="88">
        <v>96.501000000000005</v>
      </c>
      <c r="R591" s="87">
        <f t="shared" si="37"/>
        <v>45415</v>
      </c>
      <c r="S591" s="86">
        <f t="shared" si="39"/>
        <v>96.686000000000007</v>
      </c>
      <c r="T591" s="86"/>
    </row>
    <row r="592" spans="1:20" x14ac:dyDescent="0.25">
      <c r="A592" s="89">
        <v>45419</v>
      </c>
      <c r="B592" s="91">
        <v>8.7033720429207498E-2</v>
      </c>
      <c r="E592" s="87">
        <f t="shared" si="36"/>
        <v>45418</v>
      </c>
      <c r="F592" s="90">
        <f t="shared" si="38"/>
        <v>8.8131187969949398E-2</v>
      </c>
      <c r="G592" s="90"/>
      <c r="N592" s="89">
        <v>45419</v>
      </c>
      <c r="O592" s="88">
        <v>96.763999999999996</v>
      </c>
      <c r="R592" s="87">
        <f t="shared" si="37"/>
        <v>45418</v>
      </c>
      <c r="S592" s="86">
        <f t="shared" si="39"/>
        <v>96.501000000000005</v>
      </c>
      <c r="T592" s="86"/>
    </row>
    <row r="593" spans="1:20" x14ac:dyDescent="0.25">
      <c r="A593" s="89">
        <v>45420</v>
      </c>
      <c r="B593" s="91">
        <v>8.6013720577614305E-2</v>
      </c>
      <c r="E593" s="87">
        <f t="shared" si="36"/>
        <v>45419</v>
      </c>
      <c r="F593" s="90">
        <f t="shared" si="38"/>
        <v>8.7033720429207498E-2</v>
      </c>
      <c r="G593" s="90"/>
      <c r="N593" s="89">
        <v>45420</v>
      </c>
      <c r="O593" s="88">
        <v>97.009</v>
      </c>
      <c r="R593" s="87">
        <f t="shared" si="37"/>
        <v>45419</v>
      </c>
      <c r="S593" s="86">
        <f t="shared" si="39"/>
        <v>96.763999999999996</v>
      </c>
      <c r="T593" s="86"/>
    </row>
    <row r="594" spans="1:20" x14ac:dyDescent="0.25">
      <c r="A594" s="89">
        <v>45421</v>
      </c>
      <c r="B594" s="91">
        <v>8.5625082508852299E-2</v>
      </c>
      <c r="E594" s="87">
        <f t="shared" si="36"/>
        <v>45420</v>
      </c>
      <c r="F594" s="90">
        <f t="shared" si="38"/>
        <v>8.6013720577614305E-2</v>
      </c>
      <c r="G594" s="90"/>
      <c r="N594" s="89">
        <v>45421</v>
      </c>
      <c r="O594" s="88">
        <v>97.103999999999999</v>
      </c>
      <c r="R594" s="87">
        <f t="shared" si="37"/>
        <v>45420</v>
      </c>
      <c r="S594" s="86">
        <f t="shared" si="39"/>
        <v>97.009</v>
      </c>
      <c r="T594" s="86"/>
    </row>
    <row r="595" spans="1:20" x14ac:dyDescent="0.25">
      <c r="A595" s="89">
        <v>45422</v>
      </c>
      <c r="B595" s="91">
        <v>8.6060950848966408E-2</v>
      </c>
      <c r="E595" s="87">
        <f t="shared" si="36"/>
        <v>45421</v>
      </c>
      <c r="F595" s="90">
        <f t="shared" si="38"/>
        <v>8.5625082508852299E-2</v>
      </c>
      <c r="G595" s="90"/>
      <c r="N595" s="89">
        <v>45422</v>
      </c>
      <c r="O595" s="88">
        <v>97.003</v>
      </c>
      <c r="R595" s="87">
        <f t="shared" si="37"/>
        <v>45421</v>
      </c>
      <c r="S595" s="86">
        <f t="shared" si="39"/>
        <v>97.103999999999999</v>
      </c>
      <c r="T595" s="86"/>
    </row>
    <row r="596" spans="1:20" x14ac:dyDescent="0.25">
      <c r="A596" s="89">
        <v>45425</v>
      </c>
      <c r="B596" s="91">
        <v>8.6030907723096406E-2</v>
      </c>
      <c r="E596" s="87">
        <f t="shared" si="36"/>
        <v>45422</v>
      </c>
      <c r="F596" s="90">
        <f t="shared" si="38"/>
        <v>8.6060950848966408E-2</v>
      </c>
      <c r="G596" s="90"/>
      <c r="N596" s="89">
        <v>45425</v>
      </c>
      <c r="O596" s="88">
        <v>97.018000000000001</v>
      </c>
      <c r="R596" s="87">
        <f t="shared" si="37"/>
        <v>45422</v>
      </c>
      <c r="S596" s="86">
        <f t="shared" si="39"/>
        <v>97.003</v>
      </c>
      <c r="T596" s="86"/>
    </row>
    <row r="597" spans="1:20" x14ac:dyDescent="0.25">
      <c r="A597" s="89">
        <v>45426</v>
      </c>
      <c r="B597" s="91">
        <v>8.5695568609505307E-2</v>
      </c>
      <c r="E597" s="87">
        <f t="shared" si="36"/>
        <v>45425</v>
      </c>
      <c r="F597" s="90">
        <f t="shared" si="38"/>
        <v>8.6030907723096406E-2</v>
      </c>
      <c r="G597" s="90"/>
      <c r="N597" s="89">
        <v>45426</v>
      </c>
      <c r="O597" s="88">
        <v>97.1</v>
      </c>
      <c r="R597" s="87">
        <f t="shared" si="37"/>
        <v>45425</v>
      </c>
      <c r="S597" s="86">
        <f t="shared" si="39"/>
        <v>97.018000000000001</v>
      </c>
      <c r="T597" s="86"/>
    </row>
    <row r="598" spans="1:20" x14ac:dyDescent="0.25">
      <c r="A598" s="89">
        <v>45427</v>
      </c>
      <c r="B598" s="91">
        <v>8.5157386719860104E-2</v>
      </c>
      <c r="E598" s="87">
        <f t="shared" si="36"/>
        <v>45426</v>
      </c>
      <c r="F598" s="90">
        <f t="shared" si="38"/>
        <v>8.5695568609505307E-2</v>
      </c>
      <c r="G598" s="90"/>
      <c r="N598" s="89">
        <v>45427</v>
      </c>
      <c r="O598" s="88">
        <v>97.23</v>
      </c>
      <c r="R598" s="87">
        <f t="shared" si="37"/>
        <v>45426</v>
      </c>
      <c r="S598" s="86">
        <f t="shared" si="39"/>
        <v>97.1</v>
      </c>
      <c r="T598" s="86"/>
    </row>
    <row r="599" spans="1:20" x14ac:dyDescent="0.25">
      <c r="A599" s="89">
        <v>45428</v>
      </c>
      <c r="B599" s="91">
        <v>8.6772479049698606E-2</v>
      </c>
      <c r="E599" s="87">
        <f t="shared" si="36"/>
        <v>45427</v>
      </c>
      <c r="F599" s="90">
        <f t="shared" si="38"/>
        <v>8.5157386719860104E-2</v>
      </c>
      <c r="G599" s="90"/>
      <c r="N599" s="89">
        <v>45428</v>
      </c>
      <c r="O599" s="88">
        <v>96.850999999999999</v>
      </c>
      <c r="R599" s="87">
        <f t="shared" si="37"/>
        <v>45427</v>
      </c>
      <c r="S599" s="86">
        <f t="shared" si="39"/>
        <v>97.23</v>
      </c>
      <c r="T599" s="86"/>
    </row>
    <row r="600" spans="1:20" x14ac:dyDescent="0.25">
      <c r="A600" s="89">
        <v>45429</v>
      </c>
      <c r="B600" s="91">
        <v>8.6589030565714611E-2</v>
      </c>
      <c r="E600" s="87">
        <f t="shared" si="36"/>
        <v>45428</v>
      </c>
      <c r="F600" s="90">
        <f t="shared" si="38"/>
        <v>8.6772479049698606E-2</v>
      </c>
      <c r="G600" s="90"/>
      <c r="N600" s="89">
        <v>45429</v>
      </c>
      <c r="O600" s="88">
        <v>96.897000000000006</v>
      </c>
      <c r="R600" s="87">
        <f t="shared" si="37"/>
        <v>45428</v>
      </c>
      <c r="S600" s="86">
        <f t="shared" si="39"/>
        <v>96.850999999999999</v>
      </c>
      <c r="T600" s="86"/>
    </row>
    <row r="601" spans="1:20" x14ac:dyDescent="0.25">
      <c r="A601" s="89">
        <v>45432</v>
      </c>
      <c r="B601" s="91">
        <v>8.6326609806528704E-2</v>
      </c>
      <c r="E601" s="87">
        <f t="shared" si="36"/>
        <v>45429</v>
      </c>
      <c r="F601" s="90">
        <f t="shared" si="38"/>
        <v>8.6589030565714611E-2</v>
      </c>
      <c r="G601" s="90"/>
      <c r="N601" s="89">
        <v>45432</v>
      </c>
      <c r="O601" s="88">
        <v>96.966999999999999</v>
      </c>
      <c r="R601" s="87">
        <f t="shared" si="37"/>
        <v>45429</v>
      </c>
      <c r="S601" s="86">
        <f t="shared" si="39"/>
        <v>96.897000000000006</v>
      </c>
      <c r="T601" s="86"/>
    </row>
    <row r="602" spans="1:20" x14ac:dyDescent="0.25">
      <c r="A602" s="89">
        <v>45433</v>
      </c>
      <c r="B602" s="91">
        <v>8.5921272583102101E-2</v>
      </c>
      <c r="E602" s="87">
        <f t="shared" si="36"/>
        <v>45432</v>
      </c>
      <c r="F602" s="90">
        <f t="shared" si="38"/>
        <v>8.6326609806528704E-2</v>
      </c>
      <c r="G602" s="90"/>
      <c r="N602" s="89">
        <v>45433</v>
      </c>
      <c r="O602" s="88">
        <v>97.064999999999998</v>
      </c>
      <c r="R602" s="87">
        <f t="shared" si="37"/>
        <v>45432</v>
      </c>
      <c r="S602" s="86">
        <f t="shared" si="39"/>
        <v>96.966999999999999</v>
      </c>
      <c r="T602" s="86"/>
    </row>
    <row r="603" spans="1:20" x14ac:dyDescent="0.25">
      <c r="A603" s="89">
        <v>45434</v>
      </c>
      <c r="B603" s="91">
        <v>8.6217848486907001E-2</v>
      </c>
      <c r="E603" s="87">
        <f t="shared" si="36"/>
        <v>45433</v>
      </c>
      <c r="F603" s="90">
        <f t="shared" si="38"/>
        <v>8.5921272583102101E-2</v>
      </c>
      <c r="G603" s="90"/>
      <c r="N603" s="89">
        <v>45434</v>
      </c>
      <c r="O603" s="88">
        <v>96.998000000000005</v>
      </c>
      <c r="R603" s="87">
        <f t="shared" si="37"/>
        <v>45433</v>
      </c>
      <c r="S603" s="86">
        <f t="shared" si="39"/>
        <v>97.064999999999998</v>
      </c>
      <c r="T603" s="86"/>
    </row>
    <row r="604" spans="1:20" x14ac:dyDescent="0.25">
      <c r="A604" s="89">
        <v>45435</v>
      </c>
      <c r="B604" s="91">
        <v>8.6826903248331408E-2</v>
      </c>
      <c r="E604" s="87">
        <f t="shared" si="36"/>
        <v>45434</v>
      </c>
      <c r="F604" s="90">
        <f t="shared" si="38"/>
        <v>8.6217848486907001E-2</v>
      </c>
      <c r="G604" s="90"/>
      <c r="N604" s="89">
        <v>45435</v>
      </c>
      <c r="O604" s="88">
        <v>96.858000000000004</v>
      </c>
      <c r="R604" s="87">
        <f t="shared" si="37"/>
        <v>45434</v>
      </c>
      <c r="S604" s="86">
        <f t="shared" si="39"/>
        <v>96.998000000000005</v>
      </c>
      <c r="T604" s="86"/>
    </row>
    <row r="605" spans="1:20" x14ac:dyDescent="0.25">
      <c r="A605" s="89">
        <v>45436</v>
      </c>
      <c r="B605" s="91">
        <v>8.6326462218164507E-2</v>
      </c>
      <c r="E605" s="87">
        <f t="shared" si="36"/>
        <v>45435</v>
      </c>
      <c r="F605" s="90">
        <f t="shared" si="38"/>
        <v>8.6826903248331408E-2</v>
      </c>
      <c r="G605" s="90"/>
      <c r="N605" s="89">
        <v>45436</v>
      </c>
      <c r="O605" s="88">
        <v>96.977999999999994</v>
      </c>
      <c r="R605" s="87">
        <f t="shared" si="37"/>
        <v>45435</v>
      </c>
      <c r="S605" s="86">
        <f t="shared" si="39"/>
        <v>96.858000000000004</v>
      </c>
      <c r="T605" s="86"/>
    </row>
    <row r="606" spans="1:20" x14ac:dyDescent="0.25">
      <c r="A606" s="89">
        <v>45440</v>
      </c>
      <c r="B606" s="91">
        <v>8.666529502104639E-2</v>
      </c>
      <c r="E606" s="87">
        <f t="shared" si="36"/>
        <v>45436</v>
      </c>
      <c r="F606" s="90">
        <f t="shared" si="38"/>
        <v>8.6326462218164507E-2</v>
      </c>
      <c r="G606" s="90"/>
      <c r="N606" s="89">
        <v>45440</v>
      </c>
      <c r="O606" s="88">
        <v>96.91</v>
      </c>
      <c r="R606" s="87">
        <f t="shared" si="37"/>
        <v>45436</v>
      </c>
      <c r="S606" s="86">
        <f t="shared" si="39"/>
        <v>96.977999999999994</v>
      </c>
      <c r="T606" s="86"/>
    </row>
    <row r="607" spans="1:20" x14ac:dyDescent="0.25">
      <c r="A607" s="89">
        <v>45441</v>
      </c>
      <c r="B607" s="91">
        <v>8.6398631644861099E-2</v>
      </c>
      <c r="E607" s="87">
        <f t="shared" si="36"/>
        <v>45440</v>
      </c>
      <c r="F607" s="90">
        <f t="shared" si="38"/>
        <v>8.666529502104639E-2</v>
      </c>
      <c r="G607" s="90"/>
      <c r="N607" s="89">
        <v>45441</v>
      </c>
      <c r="O607" s="88">
        <v>96.974999999999994</v>
      </c>
      <c r="R607" s="87">
        <f t="shared" si="37"/>
        <v>45440</v>
      </c>
      <c r="S607" s="86">
        <f t="shared" si="39"/>
        <v>96.91</v>
      </c>
      <c r="T607" s="86"/>
    </row>
    <row r="608" spans="1:20" x14ac:dyDescent="0.25">
      <c r="A608" s="89">
        <v>45442</v>
      </c>
      <c r="B608" s="91">
        <v>8.5827333152690796E-2</v>
      </c>
      <c r="E608" s="87">
        <f t="shared" si="36"/>
        <v>45441</v>
      </c>
      <c r="F608" s="90">
        <f t="shared" si="38"/>
        <v>8.6398631644861099E-2</v>
      </c>
      <c r="G608" s="90"/>
      <c r="N608" s="89">
        <v>45442</v>
      </c>
      <c r="O608" s="88">
        <v>97.111000000000004</v>
      </c>
      <c r="R608" s="87">
        <f t="shared" si="37"/>
        <v>45441</v>
      </c>
      <c r="S608" s="86">
        <f t="shared" si="39"/>
        <v>96.974999999999994</v>
      </c>
      <c r="T608" s="86"/>
    </row>
    <row r="609" spans="1:20" x14ac:dyDescent="0.25">
      <c r="A609" s="89">
        <v>45443</v>
      </c>
      <c r="B609" s="91">
        <v>8.5379880949570594E-2</v>
      </c>
      <c r="E609" s="87">
        <f t="shared" si="36"/>
        <v>45442</v>
      </c>
      <c r="F609" s="90">
        <f t="shared" si="38"/>
        <v>8.5827333152690796E-2</v>
      </c>
      <c r="G609" s="90"/>
      <c r="N609" s="89">
        <v>45443</v>
      </c>
      <c r="O609" s="88">
        <v>97.194999999999993</v>
      </c>
      <c r="R609" s="87">
        <f t="shared" si="37"/>
        <v>45442</v>
      </c>
      <c r="S609" s="86">
        <f t="shared" si="39"/>
        <v>97.111000000000004</v>
      </c>
      <c r="T609" s="86"/>
    </row>
    <row r="610" spans="1:20" x14ac:dyDescent="0.25">
      <c r="A610" s="89">
        <v>45446</v>
      </c>
      <c r="B610" s="91">
        <v>8.5492625454418006E-2</v>
      </c>
      <c r="E610" s="87">
        <f t="shared" si="36"/>
        <v>45443</v>
      </c>
      <c r="F610" s="90">
        <f t="shared" si="38"/>
        <v>8.5379880949570594E-2</v>
      </c>
      <c r="G610" s="90"/>
      <c r="N610" s="89">
        <v>45446</v>
      </c>
      <c r="O610" s="88">
        <v>97.197000000000003</v>
      </c>
      <c r="R610" s="87">
        <f t="shared" si="37"/>
        <v>45443</v>
      </c>
      <c r="S610" s="86">
        <f t="shared" si="39"/>
        <v>97.194999999999993</v>
      </c>
      <c r="T610" s="86"/>
    </row>
    <row r="611" spans="1:20" x14ac:dyDescent="0.25">
      <c r="A611" s="89">
        <v>45447</v>
      </c>
      <c r="B611" s="91">
        <v>8.5529701304717209E-2</v>
      </c>
      <c r="E611" s="87">
        <f t="shared" si="36"/>
        <v>45446</v>
      </c>
      <c r="F611" s="90">
        <f t="shared" si="38"/>
        <v>8.5492625454418006E-2</v>
      </c>
      <c r="G611" s="90"/>
      <c r="N611" s="89">
        <v>45447</v>
      </c>
      <c r="O611" s="88">
        <v>97.191000000000003</v>
      </c>
      <c r="R611" s="87">
        <f t="shared" si="37"/>
        <v>45446</v>
      </c>
      <c r="S611" s="86">
        <f t="shared" si="39"/>
        <v>97.197000000000003</v>
      </c>
      <c r="T611" s="86"/>
    </row>
    <row r="612" spans="1:20" x14ac:dyDescent="0.25">
      <c r="A612" s="89">
        <v>45448</v>
      </c>
      <c r="B612" s="91">
        <v>8.5485156508343096E-2</v>
      </c>
      <c r="E612" s="87">
        <f t="shared" si="36"/>
        <v>45447</v>
      </c>
      <c r="F612" s="90">
        <f t="shared" si="38"/>
        <v>8.5529701304717209E-2</v>
      </c>
      <c r="G612" s="90"/>
      <c r="N612" s="89">
        <v>45448</v>
      </c>
      <c r="O612" s="88">
        <v>97.203999999999994</v>
      </c>
      <c r="R612" s="87">
        <f t="shared" si="37"/>
        <v>45447</v>
      </c>
      <c r="S612" s="86">
        <f t="shared" si="39"/>
        <v>97.191000000000003</v>
      </c>
      <c r="T612" s="86"/>
    </row>
    <row r="613" spans="1:20" x14ac:dyDescent="0.25">
      <c r="A613" s="89">
        <v>45449</v>
      </c>
      <c r="B613" s="91">
        <v>8.6052228204670497E-2</v>
      </c>
      <c r="E613" s="87">
        <f t="shared" si="36"/>
        <v>45448</v>
      </c>
      <c r="F613" s="90">
        <f t="shared" si="38"/>
        <v>8.5485156508343096E-2</v>
      </c>
      <c r="G613" s="90"/>
      <c r="N613" s="89">
        <v>45449</v>
      </c>
      <c r="O613" s="88">
        <v>97.075000000000003</v>
      </c>
      <c r="R613" s="87">
        <f t="shared" si="37"/>
        <v>45448</v>
      </c>
      <c r="S613" s="86">
        <f t="shared" si="39"/>
        <v>97.203999999999994</v>
      </c>
      <c r="T613" s="86"/>
    </row>
    <row r="614" spans="1:20" x14ac:dyDescent="0.25">
      <c r="A614" s="89">
        <v>45450</v>
      </c>
      <c r="B614" s="91">
        <v>8.7751429458848798E-2</v>
      </c>
      <c r="E614" s="87">
        <f t="shared" si="36"/>
        <v>45449</v>
      </c>
      <c r="F614" s="90">
        <f t="shared" si="38"/>
        <v>8.6052228204670497E-2</v>
      </c>
      <c r="G614" s="90"/>
      <c r="N614" s="89">
        <v>45450</v>
      </c>
      <c r="O614" s="88">
        <v>96.685000000000002</v>
      </c>
      <c r="R614" s="87">
        <f t="shared" si="37"/>
        <v>45449</v>
      </c>
      <c r="S614" s="86">
        <f t="shared" si="39"/>
        <v>97.075000000000003</v>
      </c>
      <c r="T614" s="86"/>
    </row>
    <row r="615" spans="1:20" x14ac:dyDescent="0.25">
      <c r="A615" s="89">
        <v>45453</v>
      </c>
      <c r="B615" s="91">
        <v>8.63512992227808E-2</v>
      </c>
      <c r="E615" s="87">
        <f t="shared" si="36"/>
        <v>45450</v>
      </c>
      <c r="F615" s="90">
        <f t="shared" si="38"/>
        <v>8.7751429458848798E-2</v>
      </c>
      <c r="G615" s="90"/>
      <c r="N615" s="89">
        <v>45453</v>
      </c>
      <c r="O615" s="88">
        <v>97.016999999999996</v>
      </c>
      <c r="R615" s="87">
        <f t="shared" si="37"/>
        <v>45450</v>
      </c>
      <c r="S615" s="86">
        <f t="shared" si="39"/>
        <v>96.685000000000002</v>
      </c>
      <c r="T615" s="86"/>
    </row>
    <row r="616" spans="1:20" x14ac:dyDescent="0.25">
      <c r="A616" s="89">
        <v>45454</v>
      </c>
      <c r="B616" s="91">
        <v>8.5965049701297702E-2</v>
      </c>
      <c r="E616" s="87">
        <f t="shared" si="36"/>
        <v>45453</v>
      </c>
      <c r="F616" s="90">
        <f t="shared" si="38"/>
        <v>8.63512992227808E-2</v>
      </c>
      <c r="G616" s="90"/>
      <c r="N616" s="89">
        <v>45454</v>
      </c>
      <c r="O616" s="88">
        <v>97.108999999999995</v>
      </c>
      <c r="R616" s="87">
        <f t="shared" si="37"/>
        <v>45453</v>
      </c>
      <c r="S616" s="86">
        <f t="shared" si="39"/>
        <v>97.016999999999996</v>
      </c>
      <c r="T616" s="86"/>
    </row>
    <row r="617" spans="1:20" x14ac:dyDescent="0.25">
      <c r="A617" s="89">
        <v>45455</v>
      </c>
      <c r="B617" s="91">
        <v>8.5517960451781394E-2</v>
      </c>
      <c r="E617" s="87">
        <f t="shared" si="36"/>
        <v>45454</v>
      </c>
      <c r="F617" s="90">
        <f t="shared" si="38"/>
        <v>8.5965049701297702E-2</v>
      </c>
      <c r="G617" s="90"/>
      <c r="N617" s="89">
        <v>45455</v>
      </c>
      <c r="O617" s="88">
        <v>97.215000000000003</v>
      </c>
      <c r="R617" s="87">
        <f t="shared" si="37"/>
        <v>45454</v>
      </c>
      <c r="S617" s="86">
        <f t="shared" si="39"/>
        <v>97.108999999999995</v>
      </c>
      <c r="T617" s="86"/>
    </row>
    <row r="618" spans="1:20" x14ac:dyDescent="0.25">
      <c r="A618" s="89">
        <v>45456</v>
      </c>
      <c r="B618" s="91">
        <v>8.544294716580611E-2</v>
      </c>
      <c r="E618" s="87">
        <f t="shared" si="36"/>
        <v>45455</v>
      </c>
      <c r="F618" s="90">
        <f t="shared" si="38"/>
        <v>8.5517960451781394E-2</v>
      </c>
      <c r="G618" s="90"/>
      <c r="N618" s="89">
        <v>45456</v>
      </c>
      <c r="O618" s="88">
        <v>97.234999999999999</v>
      </c>
      <c r="R618" s="87">
        <f t="shared" si="37"/>
        <v>45455</v>
      </c>
      <c r="S618" s="86">
        <f t="shared" si="39"/>
        <v>97.215000000000003</v>
      </c>
      <c r="T618" s="86"/>
    </row>
    <row r="619" spans="1:20" x14ac:dyDescent="0.25">
      <c r="A619" s="89">
        <v>45457</v>
      </c>
      <c r="B619" s="91">
        <v>8.6627104336051197E-2</v>
      </c>
      <c r="E619" s="87">
        <f t="shared" si="36"/>
        <v>45456</v>
      </c>
      <c r="F619" s="90">
        <f t="shared" si="38"/>
        <v>8.544294716580611E-2</v>
      </c>
      <c r="G619" s="90"/>
      <c r="N619" s="89">
        <v>45457</v>
      </c>
      <c r="O619" s="88">
        <v>96.965000000000003</v>
      </c>
      <c r="R619" s="87">
        <f t="shared" si="37"/>
        <v>45456</v>
      </c>
      <c r="S619" s="86">
        <f t="shared" si="39"/>
        <v>97.234999999999999</v>
      </c>
      <c r="T619" s="86"/>
    </row>
    <row r="620" spans="1:20" x14ac:dyDescent="0.25">
      <c r="A620" s="89">
        <v>45460</v>
      </c>
      <c r="B620" s="91">
        <v>8.7001602692948307E-2</v>
      </c>
      <c r="E620" s="87">
        <f t="shared" si="36"/>
        <v>45457</v>
      </c>
      <c r="F620" s="90">
        <f t="shared" si="38"/>
        <v>8.6627104336051197E-2</v>
      </c>
      <c r="G620" s="90"/>
      <c r="N620" s="89">
        <v>45460</v>
      </c>
      <c r="O620" s="88">
        <v>96.888000000000005</v>
      </c>
      <c r="R620" s="87">
        <f t="shared" si="37"/>
        <v>45457</v>
      </c>
      <c r="S620" s="86">
        <f t="shared" si="39"/>
        <v>96.965000000000003</v>
      </c>
      <c r="T620" s="86"/>
    </row>
    <row r="621" spans="1:20" x14ac:dyDescent="0.25">
      <c r="A621" s="89">
        <v>45461</v>
      </c>
      <c r="B621" s="91">
        <v>8.5810451093885298E-2</v>
      </c>
      <c r="E621" s="87">
        <f t="shared" si="36"/>
        <v>45460</v>
      </c>
      <c r="F621" s="90">
        <f t="shared" si="38"/>
        <v>8.7001602692948307E-2</v>
      </c>
      <c r="G621" s="90"/>
      <c r="N621" s="89">
        <v>45461</v>
      </c>
      <c r="O621" s="88">
        <v>97.164000000000001</v>
      </c>
      <c r="R621" s="87">
        <f t="shared" si="37"/>
        <v>45460</v>
      </c>
      <c r="S621" s="86">
        <f t="shared" si="39"/>
        <v>96.888000000000005</v>
      </c>
      <c r="T621" s="86"/>
    </row>
    <row r="622" spans="1:20" x14ac:dyDescent="0.25">
      <c r="A622" s="89">
        <v>45463</v>
      </c>
      <c r="B622" s="91">
        <v>8.63981729964199E-2</v>
      </c>
      <c r="E622" s="87">
        <f t="shared" si="36"/>
        <v>45461</v>
      </c>
      <c r="F622" s="90">
        <f t="shared" si="38"/>
        <v>8.5810451093885298E-2</v>
      </c>
      <c r="G622" s="90"/>
      <c r="N622" s="89">
        <v>45463</v>
      </c>
      <c r="O622" s="88">
        <v>97.034999999999997</v>
      </c>
      <c r="R622" s="87">
        <f t="shared" si="37"/>
        <v>45461</v>
      </c>
      <c r="S622" s="86">
        <f t="shared" si="39"/>
        <v>97.164000000000001</v>
      </c>
      <c r="T622" s="86"/>
    </row>
    <row r="623" spans="1:20" x14ac:dyDescent="0.25">
      <c r="A623" s="89">
        <v>45464</v>
      </c>
      <c r="B623" s="91">
        <v>8.6384663356673788E-2</v>
      </c>
      <c r="E623" s="87">
        <f t="shared" si="36"/>
        <v>45463</v>
      </c>
      <c r="F623" s="90">
        <f t="shared" si="38"/>
        <v>8.63981729964199E-2</v>
      </c>
      <c r="G623" s="90"/>
      <c r="N623" s="89">
        <v>45464</v>
      </c>
      <c r="O623" s="88">
        <v>97.040999999999997</v>
      </c>
      <c r="R623" s="87">
        <f t="shared" si="37"/>
        <v>45463</v>
      </c>
      <c r="S623" s="86">
        <f t="shared" si="39"/>
        <v>97.034999999999997</v>
      </c>
      <c r="T623" s="86"/>
    </row>
    <row r="624" spans="1:20" x14ac:dyDescent="0.25">
      <c r="A624" s="89">
        <v>45467</v>
      </c>
      <c r="B624" s="91">
        <v>8.64274962799432E-2</v>
      </c>
      <c r="E624" s="87">
        <f t="shared" si="36"/>
        <v>45464</v>
      </c>
      <c r="F624" s="90">
        <f t="shared" si="38"/>
        <v>8.6384663356673788E-2</v>
      </c>
      <c r="G624" s="90"/>
      <c r="N624" s="89">
        <v>45467</v>
      </c>
      <c r="O624" s="88">
        <v>97.04</v>
      </c>
      <c r="R624" s="87">
        <f t="shared" si="37"/>
        <v>45464</v>
      </c>
      <c r="S624" s="86">
        <f t="shared" si="39"/>
        <v>97.040999999999997</v>
      </c>
      <c r="T624" s="86"/>
    </row>
    <row r="625" spans="1:20" x14ac:dyDescent="0.25">
      <c r="A625" s="89">
        <v>45468</v>
      </c>
      <c r="B625" s="91">
        <v>8.6532665066992198E-2</v>
      </c>
      <c r="E625" s="87">
        <f t="shared" si="36"/>
        <v>45467</v>
      </c>
      <c r="F625" s="90">
        <f t="shared" si="38"/>
        <v>8.64274962799432E-2</v>
      </c>
      <c r="G625" s="90"/>
      <c r="N625" s="89">
        <v>45468</v>
      </c>
      <c r="O625" s="88">
        <v>97.019000000000005</v>
      </c>
      <c r="R625" s="87">
        <f t="shared" si="37"/>
        <v>45467</v>
      </c>
      <c r="S625" s="86">
        <f t="shared" si="39"/>
        <v>97.04</v>
      </c>
      <c r="T625" s="86"/>
    </row>
    <row r="626" spans="1:20" x14ac:dyDescent="0.25">
      <c r="A626" s="89">
        <v>45469</v>
      </c>
      <c r="B626" s="91">
        <v>8.6765682151079812E-2</v>
      </c>
      <c r="E626" s="87">
        <f t="shared" si="36"/>
        <v>45468</v>
      </c>
      <c r="F626" s="90">
        <f t="shared" si="38"/>
        <v>8.6532665066992198E-2</v>
      </c>
      <c r="G626" s="90"/>
      <c r="N626" s="89">
        <v>45469</v>
      </c>
      <c r="O626" s="88">
        <v>96.968999999999994</v>
      </c>
      <c r="R626" s="87">
        <f t="shared" si="37"/>
        <v>45468</v>
      </c>
      <c r="S626" s="86">
        <f t="shared" si="39"/>
        <v>97.019000000000005</v>
      </c>
      <c r="T626" s="86"/>
    </row>
    <row r="627" spans="1:20" x14ac:dyDescent="0.25">
      <c r="A627" s="89">
        <v>45470</v>
      </c>
      <c r="B627" s="91">
        <v>8.6167259744174593E-2</v>
      </c>
      <c r="E627" s="87">
        <f t="shared" si="36"/>
        <v>45469</v>
      </c>
      <c r="F627" s="90">
        <f t="shared" si="38"/>
        <v>8.6765682151079812E-2</v>
      </c>
      <c r="G627" s="90"/>
      <c r="N627" s="89">
        <v>45470</v>
      </c>
      <c r="O627" s="88">
        <v>97.108000000000004</v>
      </c>
      <c r="R627" s="87">
        <f t="shared" si="37"/>
        <v>45469</v>
      </c>
      <c r="S627" s="86">
        <f t="shared" si="39"/>
        <v>96.968999999999994</v>
      </c>
      <c r="T627" s="86"/>
    </row>
    <row r="628" spans="1:20" x14ac:dyDescent="0.25">
      <c r="A628" s="89">
        <v>45471</v>
      </c>
      <c r="B628" s="91">
        <v>8.1151262386409503E-2</v>
      </c>
      <c r="E628" s="87">
        <f t="shared" si="36"/>
        <v>45470</v>
      </c>
      <c r="F628" s="90">
        <f t="shared" si="38"/>
        <v>8.6167259744174593E-2</v>
      </c>
      <c r="G628" s="90"/>
      <c r="N628" s="89">
        <v>45471</v>
      </c>
      <c r="O628" s="88">
        <v>98.259</v>
      </c>
      <c r="R628" s="87">
        <f t="shared" si="37"/>
        <v>45470</v>
      </c>
      <c r="S628" s="86">
        <f t="shared" si="39"/>
        <v>97.108000000000004</v>
      </c>
      <c r="T628" s="86"/>
    </row>
    <row r="629" spans="1:20" x14ac:dyDescent="0.25">
      <c r="A629" s="89">
        <v>45474</v>
      </c>
      <c r="B629" s="91">
        <v>8.1170802333068101E-2</v>
      </c>
      <c r="E629" s="87">
        <f t="shared" si="36"/>
        <v>45471</v>
      </c>
      <c r="F629" s="90">
        <f t="shared" si="38"/>
        <v>8.1151262386409503E-2</v>
      </c>
      <c r="G629" s="90"/>
      <c r="N629" s="89">
        <v>45474</v>
      </c>
      <c r="O629" s="88">
        <v>98.26</v>
      </c>
      <c r="R629" s="87">
        <f t="shared" si="37"/>
        <v>45471</v>
      </c>
      <c r="S629" s="86">
        <f t="shared" si="39"/>
        <v>98.259</v>
      </c>
      <c r="T629" s="86"/>
    </row>
    <row r="630" spans="1:20" x14ac:dyDescent="0.25">
      <c r="A630" s="89">
        <v>45475</v>
      </c>
      <c r="B630" s="91">
        <v>8.1235440413435112E-2</v>
      </c>
      <c r="E630" s="87">
        <f t="shared" si="36"/>
        <v>45474</v>
      </c>
      <c r="F630" s="90">
        <f t="shared" si="38"/>
        <v>8.1170802333068101E-2</v>
      </c>
      <c r="G630" s="90"/>
      <c r="N630" s="89">
        <v>45475</v>
      </c>
      <c r="O630" s="88">
        <v>98.247</v>
      </c>
      <c r="R630" s="87">
        <f t="shared" si="37"/>
        <v>45474</v>
      </c>
      <c r="S630" s="86">
        <f t="shared" si="39"/>
        <v>98.26</v>
      </c>
      <c r="T630" s="86"/>
    </row>
    <row r="631" spans="1:20" x14ac:dyDescent="0.25">
      <c r="A631" s="89">
        <v>45476</v>
      </c>
      <c r="B631" s="91">
        <v>8.0564253553684698E-2</v>
      </c>
      <c r="E631" s="87">
        <f t="shared" si="36"/>
        <v>45475</v>
      </c>
      <c r="F631" s="90">
        <f t="shared" si="38"/>
        <v>8.1235440413435112E-2</v>
      </c>
      <c r="G631" s="90"/>
      <c r="N631" s="89">
        <v>45476</v>
      </c>
      <c r="O631" s="88">
        <v>98.403000000000006</v>
      </c>
      <c r="R631" s="87">
        <f t="shared" si="37"/>
        <v>45475</v>
      </c>
      <c r="S631" s="86">
        <f t="shared" si="39"/>
        <v>98.247</v>
      </c>
      <c r="T631" s="86"/>
    </row>
    <row r="632" spans="1:20" x14ac:dyDescent="0.25">
      <c r="A632" s="89">
        <v>45478</v>
      </c>
      <c r="B632" s="91">
        <v>8.1246825514379992E-2</v>
      </c>
      <c r="E632" s="87">
        <f t="shared" si="36"/>
        <v>45476</v>
      </c>
      <c r="F632" s="90">
        <f t="shared" si="38"/>
        <v>8.0564253553684698E-2</v>
      </c>
      <c r="G632" s="90"/>
      <c r="N632" s="89">
        <v>45478</v>
      </c>
      <c r="O632" s="88">
        <v>98.25</v>
      </c>
      <c r="R632" s="87">
        <f t="shared" si="37"/>
        <v>45476</v>
      </c>
      <c r="S632" s="86">
        <f t="shared" si="39"/>
        <v>98.403000000000006</v>
      </c>
      <c r="T632" s="86"/>
    </row>
    <row r="633" spans="1:20" x14ac:dyDescent="0.25">
      <c r="A633" s="89">
        <v>45481</v>
      </c>
      <c r="B633" s="91">
        <v>8.1306655029998398E-2</v>
      </c>
      <c r="E633" s="87">
        <f t="shared" si="36"/>
        <v>45478</v>
      </c>
      <c r="F633" s="90">
        <f t="shared" si="38"/>
        <v>8.1246825514379992E-2</v>
      </c>
      <c r="G633" s="90"/>
      <c r="N633" s="89">
        <v>45481</v>
      </c>
      <c r="O633" s="88">
        <v>98.242000000000004</v>
      </c>
      <c r="R633" s="87">
        <f t="shared" si="37"/>
        <v>45478</v>
      </c>
      <c r="S633" s="86">
        <f t="shared" si="39"/>
        <v>98.25</v>
      </c>
      <c r="T633" s="86"/>
    </row>
    <row r="634" spans="1:20" x14ac:dyDescent="0.25">
      <c r="A634" s="89">
        <v>45482</v>
      </c>
      <c r="B634" s="91">
        <v>8.1279949621504491E-2</v>
      </c>
      <c r="E634" s="87">
        <f t="shared" si="36"/>
        <v>45481</v>
      </c>
      <c r="F634" s="90">
        <f t="shared" si="38"/>
        <v>8.1306655029998398E-2</v>
      </c>
      <c r="G634" s="90"/>
      <c r="N634" s="89">
        <v>45482</v>
      </c>
      <c r="O634" s="88">
        <v>98.25</v>
      </c>
      <c r="R634" s="87">
        <f t="shared" si="37"/>
        <v>45481</v>
      </c>
      <c r="S634" s="86">
        <f t="shared" si="39"/>
        <v>98.242000000000004</v>
      </c>
      <c r="T634" s="86"/>
    </row>
    <row r="635" spans="1:20" x14ac:dyDescent="0.25">
      <c r="A635" s="89">
        <v>45483</v>
      </c>
      <c r="B635" s="91">
        <v>8.1257604968516403E-2</v>
      </c>
      <c r="E635" s="87">
        <f t="shared" si="36"/>
        <v>45482</v>
      </c>
      <c r="F635" s="90">
        <f t="shared" si="38"/>
        <v>8.1279949621504491E-2</v>
      </c>
      <c r="G635" s="90"/>
      <c r="N635" s="89">
        <v>45483</v>
      </c>
      <c r="O635" s="88">
        <v>98.257000000000005</v>
      </c>
      <c r="R635" s="87">
        <f t="shared" si="37"/>
        <v>45482</v>
      </c>
      <c r="S635" s="86">
        <f t="shared" si="39"/>
        <v>98.25</v>
      </c>
      <c r="T635" s="86"/>
    </row>
    <row r="636" spans="1:20" x14ac:dyDescent="0.25">
      <c r="A636" s="89">
        <v>45484</v>
      </c>
      <c r="B636" s="91">
        <v>8.1287953074415609E-2</v>
      </c>
      <c r="E636" s="87">
        <f t="shared" si="36"/>
        <v>45483</v>
      </c>
      <c r="F636" s="90">
        <f t="shared" si="38"/>
        <v>8.1257604968516403E-2</v>
      </c>
      <c r="G636" s="90"/>
      <c r="N636" s="89">
        <v>45484</v>
      </c>
      <c r="O636" s="88">
        <v>98.251999999999995</v>
      </c>
      <c r="R636" s="87">
        <f t="shared" si="37"/>
        <v>45483</v>
      </c>
      <c r="S636" s="86">
        <f t="shared" si="39"/>
        <v>98.257000000000005</v>
      </c>
      <c r="T636" s="86"/>
    </row>
    <row r="637" spans="1:20" x14ac:dyDescent="0.25">
      <c r="A637" s="89">
        <v>45485</v>
      </c>
      <c r="B637" s="91">
        <v>8.1252425224679389E-2</v>
      </c>
      <c r="E637" s="87">
        <f t="shared" si="36"/>
        <v>45484</v>
      </c>
      <c r="F637" s="90">
        <f t="shared" si="38"/>
        <v>8.1287953074415609E-2</v>
      </c>
      <c r="G637" s="90"/>
      <c r="N637" s="89">
        <v>45485</v>
      </c>
      <c r="O637" s="88">
        <v>98.262</v>
      </c>
      <c r="R637" s="87">
        <f t="shared" si="37"/>
        <v>45484</v>
      </c>
      <c r="S637" s="86">
        <f t="shared" si="39"/>
        <v>98.251999999999995</v>
      </c>
      <c r="T637" s="86"/>
    </row>
    <row r="638" spans="1:20" x14ac:dyDescent="0.25">
      <c r="A638" s="89">
        <v>45488</v>
      </c>
      <c r="B638" s="91">
        <v>8.1291085456095896E-2</v>
      </c>
      <c r="E638" s="87">
        <f t="shared" si="36"/>
        <v>45485</v>
      </c>
      <c r="F638" s="90">
        <f t="shared" si="38"/>
        <v>8.1252425224679389E-2</v>
      </c>
      <c r="G638" s="90"/>
      <c r="N638" s="89">
        <v>45488</v>
      </c>
      <c r="O638" s="88">
        <v>98.259</v>
      </c>
      <c r="R638" s="87">
        <f t="shared" si="37"/>
        <v>45485</v>
      </c>
      <c r="S638" s="86">
        <f t="shared" si="39"/>
        <v>98.262</v>
      </c>
      <c r="T638" s="86"/>
    </row>
    <row r="639" spans="1:20" x14ac:dyDescent="0.25">
      <c r="A639" s="89">
        <v>45489</v>
      </c>
      <c r="B639" s="91">
        <v>8.1334970680914498E-2</v>
      </c>
      <c r="E639" s="87">
        <f t="shared" si="36"/>
        <v>45488</v>
      </c>
      <c r="F639" s="90">
        <f t="shared" si="38"/>
        <v>8.1291085456095896E-2</v>
      </c>
      <c r="G639" s="90"/>
      <c r="N639" s="89">
        <v>45489</v>
      </c>
      <c r="O639" s="88">
        <v>98.251000000000005</v>
      </c>
      <c r="R639" s="87">
        <f t="shared" si="37"/>
        <v>45488</v>
      </c>
      <c r="S639" s="86">
        <f t="shared" si="39"/>
        <v>98.259</v>
      </c>
      <c r="T639" s="86"/>
    </row>
    <row r="640" spans="1:20" x14ac:dyDescent="0.25">
      <c r="A640" s="89">
        <v>45490</v>
      </c>
      <c r="B640" s="91">
        <v>8.1343611832411095E-2</v>
      </c>
      <c r="E640" s="87">
        <f t="shared" si="36"/>
        <v>45489</v>
      </c>
      <c r="F640" s="90">
        <f t="shared" si="38"/>
        <v>8.1334970680914498E-2</v>
      </c>
      <c r="G640" s="90"/>
      <c r="N640" s="89">
        <v>45490</v>
      </c>
      <c r="O640" s="88">
        <v>98.251000000000005</v>
      </c>
      <c r="R640" s="87">
        <f t="shared" si="37"/>
        <v>45489</v>
      </c>
      <c r="S640" s="86">
        <f t="shared" si="39"/>
        <v>98.251000000000005</v>
      </c>
      <c r="T640" s="86"/>
    </row>
    <row r="641" spans="1:20" x14ac:dyDescent="0.25">
      <c r="A641" s="89">
        <v>45491</v>
      </c>
      <c r="B641" s="91">
        <v>8.1325750089318388E-2</v>
      </c>
      <c r="E641" s="87">
        <f t="shared" si="36"/>
        <v>45490</v>
      </c>
      <c r="F641" s="90">
        <f t="shared" si="38"/>
        <v>8.1343611832411095E-2</v>
      </c>
      <c r="G641" s="90"/>
      <c r="N641" s="89">
        <v>45491</v>
      </c>
      <c r="O641" s="88">
        <v>98.257000000000005</v>
      </c>
      <c r="R641" s="87">
        <f t="shared" si="37"/>
        <v>45490</v>
      </c>
      <c r="S641" s="86">
        <f t="shared" si="39"/>
        <v>98.251000000000005</v>
      </c>
      <c r="T641" s="86"/>
    </row>
    <row r="642" spans="1:20" x14ac:dyDescent="0.25">
      <c r="A642" s="89">
        <v>45492</v>
      </c>
      <c r="B642" s="91">
        <v>8.1352155036338802E-2</v>
      </c>
      <c r="E642" s="87">
        <f t="shared" si="36"/>
        <v>45491</v>
      </c>
      <c r="F642" s="90">
        <f t="shared" si="38"/>
        <v>8.1325750089318388E-2</v>
      </c>
      <c r="G642" s="90"/>
      <c r="N642" s="89">
        <v>45492</v>
      </c>
      <c r="O642" s="88">
        <v>98.253</v>
      </c>
      <c r="R642" s="87">
        <f t="shared" si="37"/>
        <v>45491</v>
      </c>
      <c r="S642" s="86">
        <f t="shared" si="39"/>
        <v>98.257000000000005</v>
      </c>
      <c r="T642" s="86"/>
    </row>
    <row r="643" spans="1:20" x14ac:dyDescent="0.25">
      <c r="A643" s="89">
        <v>45495</v>
      </c>
      <c r="B643" s="91">
        <v>8.1382964544560898E-2</v>
      </c>
      <c r="E643" s="87">
        <f t="shared" si="36"/>
        <v>45492</v>
      </c>
      <c r="F643" s="90">
        <f t="shared" si="38"/>
        <v>8.1352155036338802E-2</v>
      </c>
      <c r="G643" s="90"/>
      <c r="N643" s="89">
        <v>45495</v>
      </c>
      <c r="O643" s="88">
        <v>98.251999999999995</v>
      </c>
      <c r="R643" s="87">
        <f t="shared" si="37"/>
        <v>45492</v>
      </c>
      <c r="S643" s="86">
        <f t="shared" si="39"/>
        <v>98.253</v>
      </c>
      <c r="T643" s="86"/>
    </row>
    <row r="644" spans="1:20" x14ac:dyDescent="0.25">
      <c r="A644" s="89">
        <v>45496</v>
      </c>
      <c r="B644" s="91">
        <v>8.1445194151684497E-2</v>
      </c>
      <c r="E644" s="87">
        <f t="shared" ref="E644:E660" si="40">A643</f>
        <v>45495</v>
      </c>
      <c r="F644" s="90">
        <f t="shared" si="38"/>
        <v>8.1382964544560898E-2</v>
      </c>
      <c r="G644" s="90"/>
      <c r="N644" s="89">
        <v>45496</v>
      </c>
      <c r="O644" s="88">
        <v>98.24</v>
      </c>
      <c r="R644" s="87">
        <f t="shared" ref="R644:R661" si="41">N643</f>
        <v>45495</v>
      </c>
      <c r="S644" s="86">
        <f t="shared" si="39"/>
        <v>98.251999999999995</v>
      </c>
      <c r="T644" s="86"/>
    </row>
    <row r="645" spans="1:20" x14ac:dyDescent="0.25">
      <c r="A645" s="89">
        <v>45497</v>
      </c>
      <c r="B645" s="91">
        <v>8.1538744131674404E-2</v>
      </c>
      <c r="E645" s="87">
        <f t="shared" si="40"/>
        <v>45496</v>
      </c>
      <c r="F645" s="90">
        <f t="shared" ref="F645:F660" si="42">B644</f>
        <v>8.1445194151684497E-2</v>
      </c>
      <c r="G645" s="90"/>
      <c r="N645" s="89">
        <v>45497</v>
      </c>
      <c r="O645" s="88">
        <v>98.221000000000004</v>
      </c>
      <c r="R645" s="87">
        <f t="shared" si="41"/>
        <v>45496</v>
      </c>
      <c r="S645" s="86">
        <f t="shared" ref="S645:S661" si="43">O644</f>
        <v>98.24</v>
      </c>
      <c r="T645" s="86"/>
    </row>
    <row r="646" spans="1:20" x14ac:dyDescent="0.25">
      <c r="A646" s="89">
        <v>45498</v>
      </c>
      <c r="B646" s="91">
        <v>8.1387428945906407E-2</v>
      </c>
      <c r="E646" s="87">
        <f t="shared" si="40"/>
        <v>45497</v>
      </c>
      <c r="F646" s="90">
        <f t="shared" si="42"/>
        <v>8.1538744131674404E-2</v>
      </c>
      <c r="G646" s="90"/>
      <c r="N646" s="89">
        <v>45498</v>
      </c>
      <c r="O646" s="88">
        <v>98.257000000000005</v>
      </c>
      <c r="R646" s="87">
        <f t="shared" si="41"/>
        <v>45497</v>
      </c>
      <c r="S646" s="86">
        <f t="shared" si="43"/>
        <v>98.221000000000004</v>
      </c>
      <c r="T646" s="86"/>
    </row>
    <row r="647" spans="1:20" x14ac:dyDescent="0.25">
      <c r="A647" s="89">
        <v>45499</v>
      </c>
      <c r="B647" s="91">
        <v>8.1440994788055998E-2</v>
      </c>
      <c r="E647" s="87">
        <f t="shared" si="40"/>
        <v>45498</v>
      </c>
      <c r="F647" s="90">
        <f t="shared" si="42"/>
        <v>8.1387428945906407E-2</v>
      </c>
      <c r="G647" s="90"/>
      <c r="N647" s="89">
        <v>45499</v>
      </c>
      <c r="O647" s="88">
        <v>98.247</v>
      </c>
      <c r="R647" s="87">
        <f t="shared" si="41"/>
        <v>45498</v>
      </c>
      <c r="S647" s="86">
        <f t="shared" si="43"/>
        <v>98.257000000000005</v>
      </c>
      <c r="T647" s="86"/>
    </row>
    <row r="648" spans="1:20" x14ac:dyDescent="0.25">
      <c r="A648" s="89">
        <v>45502</v>
      </c>
      <c r="B648" s="91">
        <v>8.15040732454511E-2</v>
      </c>
      <c r="E648" s="87">
        <f t="shared" si="40"/>
        <v>45499</v>
      </c>
      <c r="F648" s="90">
        <f t="shared" si="42"/>
        <v>8.1440994788055998E-2</v>
      </c>
      <c r="G648" s="90"/>
      <c r="N648" s="89">
        <v>45502</v>
      </c>
      <c r="O648" s="88">
        <v>98.239000000000004</v>
      </c>
      <c r="R648" s="87">
        <f t="shared" si="41"/>
        <v>45499</v>
      </c>
      <c r="S648" s="86">
        <f t="shared" si="43"/>
        <v>98.247</v>
      </c>
      <c r="T648" s="86"/>
    </row>
    <row r="649" spans="1:20" x14ac:dyDescent="0.25">
      <c r="A649" s="89">
        <v>45503</v>
      </c>
      <c r="B649" s="91">
        <v>7.8854251230319597E-2</v>
      </c>
      <c r="E649" s="87">
        <f t="shared" si="40"/>
        <v>45502</v>
      </c>
      <c r="F649" s="90">
        <f t="shared" si="42"/>
        <v>8.15040732454511E-2</v>
      </c>
      <c r="G649" s="90"/>
      <c r="N649" s="89">
        <v>45503</v>
      </c>
      <c r="O649" s="88">
        <v>98.834999999999994</v>
      </c>
      <c r="R649" s="87">
        <f t="shared" si="41"/>
        <v>45502</v>
      </c>
      <c r="S649" s="86">
        <f t="shared" si="43"/>
        <v>98.239000000000004</v>
      </c>
      <c r="T649" s="86"/>
    </row>
    <row r="650" spans="1:20" x14ac:dyDescent="0.25">
      <c r="A650" s="89">
        <v>45504</v>
      </c>
      <c r="B650" s="91">
        <v>7.8483386732735E-2</v>
      </c>
      <c r="E650" s="87">
        <f t="shared" si="40"/>
        <v>45503</v>
      </c>
      <c r="F650" s="90">
        <f t="shared" si="42"/>
        <v>7.8854251230319597E-2</v>
      </c>
      <c r="G650" s="90"/>
      <c r="N650" s="89">
        <v>45504</v>
      </c>
      <c r="O650" s="88">
        <v>98.897999999999996</v>
      </c>
      <c r="R650" s="87">
        <f t="shared" si="41"/>
        <v>45503</v>
      </c>
      <c r="S650" s="86">
        <f t="shared" si="43"/>
        <v>98.834999999999994</v>
      </c>
      <c r="T650" s="86"/>
    </row>
    <row r="651" spans="1:20" x14ac:dyDescent="0.25">
      <c r="A651" s="89">
        <v>45505</v>
      </c>
      <c r="B651" s="91">
        <v>7.8829653064765207E-2</v>
      </c>
      <c r="E651" s="87">
        <f t="shared" si="40"/>
        <v>45504</v>
      </c>
      <c r="F651" s="90">
        <f t="shared" si="42"/>
        <v>7.8483386732735E-2</v>
      </c>
      <c r="G651" s="90"/>
      <c r="N651" s="89">
        <v>45505</v>
      </c>
      <c r="O651" s="88">
        <v>98.841999999999999</v>
      </c>
      <c r="R651" s="87">
        <f t="shared" si="41"/>
        <v>45504</v>
      </c>
      <c r="S651" s="86">
        <f t="shared" si="43"/>
        <v>98.897999999999996</v>
      </c>
      <c r="T651" s="86"/>
    </row>
    <row r="652" spans="1:20" x14ac:dyDescent="0.25">
      <c r="A652" s="89">
        <v>45506</v>
      </c>
      <c r="B652" s="91">
        <v>7.9156980822839604E-2</v>
      </c>
      <c r="E652" s="87">
        <f t="shared" si="40"/>
        <v>45505</v>
      </c>
      <c r="F652" s="90">
        <f t="shared" si="42"/>
        <v>7.8829653064765207E-2</v>
      </c>
      <c r="G652" s="90"/>
      <c r="N652" s="89">
        <v>45506</v>
      </c>
      <c r="O652" s="88">
        <v>98.77</v>
      </c>
      <c r="R652" s="87">
        <f t="shared" si="41"/>
        <v>45505</v>
      </c>
      <c r="S652" s="86">
        <f t="shared" si="43"/>
        <v>98.841999999999999</v>
      </c>
      <c r="T652" s="86"/>
    </row>
    <row r="653" spans="1:20" x14ac:dyDescent="0.25">
      <c r="A653" s="89">
        <v>45509</v>
      </c>
      <c r="B653" s="91">
        <v>7.9177813179018605E-2</v>
      </c>
      <c r="E653" s="87">
        <f t="shared" si="40"/>
        <v>45506</v>
      </c>
      <c r="F653" s="90">
        <f t="shared" si="42"/>
        <v>7.9156980822839604E-2</v>
      </c>
      <c r="G653" s="90"/>
      <c r="N653" s="89">
        <v>45509</v>
      </c>
      <c r="O653" s="88">
        <v>98.77</v>
      </c>
      <c r="R653" s="87">
        <f t="shared" si="41"/>
        <v>45506</v>
      </c>
      <c r="S653" s="86">
        <f t="shared" si="43"/>
        <v>98.77</v>
      </c>
      <c r="T653" s="86"/>
    </row>
    <row r="654" spans="1:20" x14ac:dyDescent="0.25">
      <c r="A654" s="89">
        <v>45510</v>
      </c>
      <c r="B654" s="91">
        <v>7.9184828090453796E-2</v>
      </c>
      <c r="E654" s="87">
        <f t="shared" si="40"/>
        <v>45509</v>
      </c>
      <c r="F654" s="90">
        <f t="shared" si="42"/>
        <v>7.9177813179018605E-2</v>
      </c>
      <c r="G654" s="90"/>
      <c r="N654" s="89">
        <v>45510</v>
      </c>
      <c r="O654" s="88">
        <v>98.77</v>
      </c>
      <c r="R654" s="87">
        <f t="shared" si="41"/>
        <v>45509</v>
      </c>
      <c r="S654" s="86">
        <f t="shared" si="43"/>
        <v>98.77</v>
      </c>
      <c r="T654" s="86"/>
    </row>
    <row r="655" spans="1:20" x14ac:dyDescent="0.25">
      <c r="A655" s="89">
        <v>45511</v>
      </c>
      <c r="B655" s="91">
        <v>7.9191878603304997E-2</v>
      </c>
      <c r="E655" s="87">
        <f t="shared" si="40"/>
        <v>45510</v>
      </c>
      <c r="F655" s="90">
        <f t="shared" si="42"/>
        <v>7.9184828090453796E-2</v>
      </c>
      <c r="G655" s="90"/>
      <c r="N655" s="89">
        <v>45511</v>
      </c>
      <c r="O655" s="88">
        <v>98.77</v>
      </c>
      <c r="R655" s="87">
        <f t="shared" si="41"/>
        <v>45510</v>
      </c>
      <c r="S655" s="86">
        <f t="shared" si="43"/>
        <v>98.77</v>
      </c>
      <c r="T655" s="86"/>
    </row>
    <row r="656" spans="1:20" x14ac:dyDescent="0.25">
      <c r="A656" s="89">
        <v>45512</v>
      </c>
      <c r="B656" s="91">
        <v>7.9198964841525998E-2</v>
      </c>
      <c r="E656" s="87">
        <f t="shared" si="40"/>
        <v>45511</v>
      </c>
      <c r="F656" s="90">
        <f t="shared" si="42"/>
        <v>7.9191878603304997E-2</v>
      </c>
      <c r="G656" s="90"/>
      <c r="N656" s="89">
        <v>45512</v>
      </c>
      <c r="O656" s="88">
        <v>98.77</v>
      </c>
      <c r="R656" s="87">
        <f t="shared" si="41"/>
        <v>45511</v>
      </c>
      <c r="S656" s="86">
        <f t="shared" si="43"/>
        <v>98.77</v>
      </c>
      <c r="T656" s="86"/>
    </row>
    <row r="657" spans="1:20" x14ac:dyDescent="0.25">
      <c r="A657" s="89">
        <v>45513</v>
      </c>
      <c r="B657" s="91">
        <v>7.9206086929685796E-2</v>
      </c>
      <c r="E657" s="87">
        <f t="shared" si="40"/>
        <v>45512</v>
      </c>
      <c r="F657" s="90">
        <f t="shared" si="42"/>
        <v>7.9198964841525998E-2</v>
      </c>
      <c r="G657" s="90"/>
      <c r="N657" s="89">
        <v>45513</v>
      </c>
      <c r="O657" s="88">
        <v>98.77</v>
      </c>
      <c r="R657" s="87">
        <f t="shared" si="41"/>
        <v>45512</v>
      </c>
      <c r="S657" s="86">
        <f t="shared" si="43"/>
        <v>98.77</v>
      </c>
      <c r="T657" s="86"/>
    </row>
    <row r="658" spans="1:20" x14ac:dyDescent="0.25">
      <c r="A658" s="89">
        <v>45516</v>
      </c>
      <c r="B658" s="91">
        <v>7.9227669548811802E-2</v>
      </c>
      <c r="E658" s="87">
        <f t="shared" si="40"/>
        <v>45513</v>
      </c>
      <c r="F658" s="90">
        <f t="shared" si="42"/>
        <v>7.9206086929685796E-2</v>
      </c>
      <c r="G658" s="90"/>
      <c r="N658" s="89">
        <v>45516</v>
      </c>
      <c r="O658" s="88">
        <v>98.77</v>
      </c>
      <c r="R658" s="87">
        <f t="shared" si="41"/>
        <v>45513</v>
      </c>
      <c r="S658" s="86">
        <f t="shared" si="43"/>
        <v>98.77</v>
      </c>
      <c r="T658" s="86"/>
    </row>
    <row r="659" spans="1:20" x14ac:dyDescent="0.25">
      <c r="A659" s="89">
        <v>45517</v>
      </c>
      <c r="B659" s="91">
        <v>7.9234936294873493E-2</v>
      </c>
      <c r="E659" s="87">
        <f t="shared" si="40"/>
        <v>45516</v>
      </c>
      <c r="F659" s="90">
        <f t="shared" si="42"/>
        <v>7.9227669548811802E-2</v>
      </c>
      <c r="G659" s="90"/>
      <c r="N659" s="89">
        <v>45517</v>
      </c>
      <c r="O659" s="88">
        <v>98.77</v>
      </c>
      <c r="R659" s="87">
        <f t="shared" si="41"/>
        <v>45516</v>
      </c>
      <c r="S659" s="86">
        <f t="shared" si="43"/>
        <v>98.77</v>
      </c>
      <c r="T659" s="86"/>
    </row>
    <row r="660" spans="1:20" x14ac:dyDescent="0.25">
      <c r="A660" s="89">
        <v>45518</v>
      </c>
      <c r="B660" s="91">
        <v>7.9242239523094699E-2</v>
      </c>
      <c r="E660" s="87">
        <f t="shared" si="40"/>
        <v>45517</v>
      </c>
      <c r="F660" s="90">
        <f t="shared" si="42"/>
        <v>7.9234936294873493E-2</v>
      </c>
      <c r="G660" s="90"/>
      <c r="N660" s="89">
        <v>45518</v>
      </c>
      <c r="O660" s="88">
        <v>98.77</v>
      </c>
      <c r="R660" s="87">
        <f t="shared" si="41"/>
        <v>45517</v>
      </c>
      <c r="S660" s="86">
        <f t="shared" si="43"/>
        <v>98.77</v>
      </c>
      <c r="T660" s="86"/>
    </row>
    <row r="661" spans="1:20" x14ac:dyDescent="0.25">
      <c r="A661" s="89">
        <v>45519</v>
      </c>
      <c r="B661" s="91">
        <v>7.9249579361821101E-2</v>
      </c>
      <c r="E661" s="87">
        <f t="shared" ref="E661:E684" si="44">A660</f>
        <v>45518</v>
      </c>
      <c r="F661" s="90">
        <f t="shared" ref="F661:F684" si="45">B660</f>
        <v>7.9242239523094699E-2</v>
      </c>
      <c r="N661" s="85">
        <v>45519</v>
      </c>
      <c r="O661" s="85">
        <v>98.77</v>
      </c>
      <c r="R661" s="87">
        <f t="shared" si="41"/>
        <v>45518</v>
      </c>
      <c r="S661" s="86">
        <f t="shared" si="43"/>
        <v>98.77</v>
      </c>
      <c r="T661" s="86"/>
    </row>
    <row r="662" spans="1:20" x14ac:dyDescent="0.25">
      <c r="A662" s="89">
        <v>45520</v>
      </c>
      <c r="B662" s="91">
        <v>7.8547681664896202E-2</v>
      </c>
      <c r="E662" s="87">
        <f t="shared" si="44"/>
        <v>45519</v>
      </c>
      <c r="F662" s="90">
        <f t="shared" si="45"/>
        <v>7.9249579361821101E-2</v>
      </c>
      <c r="N662" s="85">
        <v>45520</v>
      </c>
      <c r="O662" s="85">
        <v>98.927000000000007</v>
      </c>
      <c r="R662" s="87">
        <f t="shared" ref="R662:R686" si="46">N661</f>
        <v>45519</v>
      </c>
      <c r="S662" s="86">
        <f t="shared" ref="S662:S686" si="47">O661</f>
        <v>98.77</v>
      </c>
      <c r="T662" s="86"/>
    </row>
    <row r="663" spans="1:20" x14ac:dyDescent="0.25">
      <c r="A663" s="89">
        <v>45523</v>
      </c>
      <c r="B663" s="91">
        <v>7.8557082753291707E-2</v>
      </c>
      <c r="E663" s="87">
        <f t="shared" si="44"/>
        <v>45520</v>
      </c>
      <c r="F663" s="90">
        <f t="shared" si="45"/>
        <v>7.8547681664896202E-2</v>
      </c>
      <c r="N663" s="85">
        <v>45523</v>
      </c>
      <c r="O663" s="85">
        <v>98.927000000000007</v>
      </c>
      <c r="R663" s="87">
        <f t="shared" si="46"/>
        <v>45520</v>
      </c>
      <c r="S663" s="86">
        <f t="shared" si="47"/>
        <v>98.927000000000007</v>
      </c>
    </row>
    <row r="664" spans="1:20" x14ac:dyDescent="0.25">
      <c r="A664" s="89">
        <v>45524</v>
      </c>
      <c r="B664" s="91">
        <v>7.8560269930212104E-2</v>
      </c>
      <c r="E664" s="87">
        <f t="shared" si="44"/>
        <v>45523</v>
      </c>
      <c r="F664" s="90">
        <f t="shared" si="45"/>
        <v>7.8557082753291707E-2</v>
      </c>
      <c r="N664" s="85">
        <v>45524</v>
      </c>
      <c r="O664" s="85">
        <v>98.927000000000007</v>
      </c>
      <c r="R664" s="87">
        <f t="shared" si="46"/>
        <v>45523</v>
      </c>
      <c r="S664" s="86">
        <f t="shared" si="47"/>
        <v>98.927000000000007</v>
      </c>
    </row>
    <row r="665" spans="1:20" x14ac:dyDescent="0.25">
      <c r="A665" s="89">
        <v>45525</v>
      </c>
      <c r="B665" s="91">
        <v>7.8563483994983002E-2</v>
      </c>
      <c r="E665" s="87">
        <f t="shared" si="44"/>
        <v>45524</v>
      </c>
      <c r="F665" s="90">
        <f t="shared" si="45"/>
        <v>7.8560269930212104E-2</v>
      </c>
      <c r="N665" s="85">
        <v>45525</v>
      </c>
      <c r="O665" s="85">
        <v>98.927000000000007</v>
      </c>
      <c r="R665" s="87">
        <f t="shared" si="46"/>
        <v>45524</v>
      </c>
      <c r="S665" s="86">
        <f t="shared" si="47"/>
        <v>98.927000000000007</v>
      </c>
    </row>
    <row r="666" spans="1:20" x14ac:dyDescent="0.25">
      <c r="A666" s="89">
        <v>45526</v>
      </c>
      <c r="B666" s="91">
        <v>7.85667250367246E-2</v>
      </c>
      <c r="E666" s="87">
        <f t="shared" si="44"/>
        <v>45525</v>
      </c>
      <c r="F666" s="90">
        <f t="shared" si="45"/>
        <v>7.8563483994983002E-2</v>
      </c>
      <c r="N666" s="85">
        <v>45526</v>
      </c>
      <c r="O666" s="85">
        <v>98.927000000000007</v>
      </c>
      <c r="R666" s="87">
        <f t="shared" si="46"/>
        <v>45525</v>
      </c>
      <c r="S666" s="86">
        <f t="shared" si="47"/>
        <v>98.927000000000007</v>
      </c>
    </row>
    <row r="667" spans="1:20" x14ac:dyDescent="0.25">
      <c r="A667" s="89">
        <v>45527</v>
      </c>
      <c r="B667" s="91">
        <v>7.85699931449928E-2</v>
      </c>
      <c r="E667" s="87">
        <f t="shared" si="44"/>
        <v>45526</v>
      </c>
      <c r="F667" s="90">
        <f t="shared" si="45"/>
        <v>7.85667250367246E-2</v>
      </c>
      <c r="N667" s="85">
        <v>45527</v>
      </c>
      <c r="O667" s="85">
        <v>98.927000000000007</v>
      </c>
      <c r="R667" s="87">
        <f t="shared" si="46"/>
        <v>45526</v>
      </c>
      <c r="S667" s="86">
        <f t="shared" si="47"/>
        <v>98.927000000000007</v>
      </c>
    </row>
    <row r="668" spans="1:20" x14ac:dyDescent="0.25">
      <c r="A668" s="89">
        <v>45530</v>
      </c>
      <c r="B668" s="91">
        <v>7.8579960771100008E-2</v>
      </c>
      <c r="E668" s="87">
        <f t="shared" si="44"/>
        <v>45527</v>
      </c>
      <c r="F668" s="90">
        <f t="shared" si="45"/>
        <v>7.85699931449928E-2</v>
      </c>
      <c r="N668" s="85">
        <v>45530</v>
      </c>
      <c r="O668" s="85">
        <v>98.927000000000007</v>
      </c>
      <c r="R668" s="87">
        <f t="shared" si="46"/>
        <v>45527</v>
      </c>
      <c r="S668" s="86">
        <f t="shared" si="47"/>
        <v>98.927000000000007</v>
      </c>
    </row>
    <row r="669" spans="1:20" x14ac:dyDescent="0.25">
      <c r="A669" s="89">
        <v>45531</v>
      </c>
      <c r="B669" s="91">
        <v>7.8583338049831503E-2</v>
      </c>
      <c r="E669" s="87">
        <f t="shared" si="44"/>
        <v>45530</v>
      </c>
      <c r="F669" s="90">
        <f t="shared" si="45"/>
        <v>7.8579960771100008E-2</v>
      </c>
      <c r="N669" s="85">
        <v>45531</v>
      </c>
      <c r="O669" s="85">
        <v>98.927000000000007</v>
      </c>
      <c r="R669" s="87">
        <f t="shared" si="46"/>
        <v>45530</v>
      </c>
      <c r="S669" s="86">
        <f t="shared" si="47"/>
        <v>98.927000000000007</v>
      </c>
    </row>
    <row r="670" spans="1:20" x14ac:dyDescent="0.25">
      <c r="A670" s="89">
        <v>45532</v>
      </c>
      <c r="B670" s="91">
        <v>7.8586742849490493E-2</v>
      </c>
      <c r="E670" s="87">
        <f t="shared" si="44"/>
        <v>45531</v>
      </c>
      <c r="F670" s="90">
        <f t="shared" si="45"/>
        <v>7.8583338049831503E-2</v>
      </c>
      <c r="N670" s="85">
        <v>45532</v>
      </c>
      <c r="O670" s="85">
        <v>98.927000000000007</v>
      </c>
      <c r="R670" s="87">
        <f t="shared" si="46"/>
        <v>45531</v>
      </c>
      <c r="S670" s="86">
        <f t="shared" si="47"/>
        <v>98.927000000000007</v>
      </c>
    </row>
    <row r="671" spans="1:20" x14ac:dyDescent="0.25">
      <c r="A671" s="89">
        <v>45533</v>
      </c>
      <c r="B671" s="91">
        <v>7.859017526230079E-2</v>
      </c>
      <c r="E671" s="87">
        <f t="shared" si="44"/>
        <v>45532</v>
      </c>
      <c r="F671" s="90">
        <f t="shared" si="45"/>
        <v>7.8586742849490493E-2</v>
      </c>
      <c r="N671" s="85">
        <v>45533</v>
      </c>
      <c r="O671" s="85">
        <v>98.927000000000007</v>
      </c>
      <c r="R671" s="87">
        <f t="shared" si="46"/>
        <v>45532</v>
      </c>
      <c r="S671" s="86">
        <f t="shared" si="47"/>
        <v>98.927000000000007</v>
      </c>
    </row>
    <row r="672" spans="1:20" x14ac:dyDescent="0.25">
      <c r="A672" s="89">
        <v>45534</v>
      </c>
      <c r="B672" s="91">
        <v>7.8593635380939594E-2</v>
      </c>
      <c r="E672" s="87">
        <f t="shared" si="44"/>
        <v>45533</v>
      </c>
      <c r="F672" s="90">
        <f t="shared" si="45"/>
        <v>7.859017526230079E-2</v>
      </c>
      <c r="N672" s="85">
        <v>45534</v>
      </c>
      <c r="O672" s="85">
        <v>98.927000000000007</v>
      </c>
      <c r="R672" s="87">
        <f t="shared" si="46"/>
        <v>45533</v>
      </c>
      <c r="S672" s="86">
        <f t="shared" si="47"/>
        <v>98.927000000000007</v>
      </c>
    </row>
    <row r="673" spans="1:19" x14ac:dyDescent="0.25">
      <c r="A673" s="89">
        <v>45538</v>
      </c>
      <c r="B673" s="91">
        <v>7.8604182905470402E-2</v>
      </c>
      <c r="E673" s="87">
        <f t="shared" si="44"/>
        <v>45534</v>
      </c>
      <c r="F673" s="90">
        <f t="shared" si="45"/>
        <v>7.8593635380939594E-2</v>
      </c>
      <c r="N673" s="85">
        <v>45538</v>
      </c>
      <c r="O673" s="85">
        <v>98.927000000000007</v>
      </c>
      <c r="R673" s="87">
        <f t="shared" si="46"/>
        <v>45534</v>
      </c>
      <c r="S673" s="86">
        <f t="shared" si="47"/>
        <v>98.927000000000007</v>
      </c>
    </row>
    <row r="674" spans="1:19" x14ac:dyDescent="0.25">
      <c r="A674" s="89">
        <v>45539</v>
      </c>
      <c r="B674" s="91">
        <v>7.5747086218863696E-2</v>
      </c>
      <c r="E674" s="87">
        <f t="shared" si="44"/>
        <v>45538</v>
      </c>
      <c r="F674" s="90">
        <f t="shared" si="45"/>
        <v>7.8604182905470402E-2</v>
      </c>
      <c r="N674" s="85">
        <v>45539</v>
      </c>
      <c r="O674" s="85">
        <v>99.552000000000007</v>
      </c>
      <c r="R674" s="87">
        <f t="shared" si="46"/>
        <v>45538</v>
      </c>
      <c r="S674" s="86">
        <f t="shared" si="47"/>
        <v>98.927000000000007</v>
      </c>
    </row>
    <row r="675" spans="1:19" x14ac:dyDescent="0.25">
      <c r="A675" s="89">
        <v>45540</v>
      </c>
      <c r="B675" s="91">
        <v>7.5747779188122297E-2</v>
      </c>
      <c r="E675" s="87">
        <f t="shared" si="44"/>
        <v>45539</v>
      </c>
      <c r="F675" s="90">
        <f t="shared" si="45"/>
        <v>7.5747086218863696E-2</v>
      </c>
      <c r="N675" s="85">
        <v>45540</v>
      </c>
      <c r="O675" s="85">
        <v>99.552000000000007</v>
      </c>
      <c r="R675" s="87">
        <f t="shared" si="46"/>
        <v>45539</v>
      </c>
      <c r="S675" s="86">
        <f t="shared" si="47"/>
        <v>99.552000000000007</v>
      </c>
    </row>
    <row r="676" spans="1:19" x14ac:dyDescent="0.25">
      <c r="A676" s="89">
        <v>45541</v>
      </c>
      <c r="B676" s="91">
        <v>7.5748493038740997E-2</v>
      </c>
      <c r="E676" s="87">
        <f t="shared" si="44"/>
        <v>45540</v>
      </c>
      <c r="F676" s="90">
        <f t="shared" si="45"/>
        <v>7.5747779188122297E-2</v>
      </c>
      <c r="N676" s="85">
        <v>45541</v>
      </c>
      <c r="O676" s="85">
        <v>99.552000000000007</v>
      </c>
      <c r="R676" s="87">
        <f t="shared" si="46"/>
        <v>45540</v>
      </c>
      <c r="S676" s="86">
        <f t="shared" si="47"/>
        <v>99.552000000000007</v>
      </c>
    </row>
    <row r="677" spans="1:19" x14ac:dyDescent="0.25">
      <c r="A677" s="89">
        <v>45544</v>
      </c>
      <c r="B677" s="91">
        <v>7.5750760568552802E-2</v>
      </c>
      <c r="E677" s="87">
        <f t="shared" si="44"/>
        <v>45541</v>
      </c>
      <c r="F677" s="90">
        <f t="shared" si="45"/>
        <v>7.5748493038740997E-2</v>
      </c>
      <c r="N677" s="85">
        <v>45544</v>
      </c>
      <c r="O677" s="85">
        <v>99.552000000000007</v>
      </c>
      <c r="R677" s="87">
        <f t="shared" si="46"/>
        <v>45541</v>
      </c>
      <c r="S677" s="86">
        <f t="shared" si="47"/>
        <v>99.552000000000007</v>
      </c>
    </row>
    <row r="678" spans="1:19" x14ac:dyDescent="0.25">
      <c r="A678" s="89">
        <v>45545</v>
      </c>
      <c r="B678" s="91">
        <v>7.5751558636129299E-2</v>
      </c>
      <c r="E678" s="87">
        <f t="shared" si="44"/>
        <v>45544</v>
      </c>
      <c r="F678" s="90">
        <f t="shared" si="45"/>
        <v>7.5750760568552802E-2</v>
      </c>
      <c r="N678" s="85">
        <v>45545</v>
      </c>
      <c r="O678" s="85">
        <v>99.552000000000007</v>
      </c>
      <c r="R678" s="87">
        <f t="shared" si="46"/>
        <v>45544</v>
      </c>
      <c r="S678" s="86">
        <f t="shared" si="47"/>
        <v>99.552000000000007</v>
      </c>
    </row>
    <row r="679" spans="1:19" x14ac:dyDescent="0.25">
      <c r="A679" s="89">
        <v>45546</v>
      </c>
      <c r="B679" s="91">
        <v>7.5752377932555001E-2</v>
      </c>
      <c r="E679" s="87">
        <f t="shared" si="44"/>
        <v>45545</v>
      </c>
      <c r="F679" s="90">
        <f t="shared" si="45"/>
        <v>7.5751558636129299E-2</v>
      </c>
      <c r="N679" s="85">
        <v>45546</v>
      </c>
      <c r="O679" s="85">
        <v>99.552000000000007</v>
      </c>
      <c r="R679" s="87">
        <f t="shared" si="46"/>
        <v>45545</v>
      </c>
      <c r="S679" s="86">
        <f t="shared" si="47"/>
        <v>99.552000000000007</v>
      </c>
    </row>
    <row r="680" spans="1:19" x14ac:dyDescent="0.25">
      <c r="A680" s="89">
        <v>45547</v>
      </c>
      <c r="B680" s="91">
        <v>7.5753218528372301E-2</v>
      </c>
      <c r="E680" s="87">
        <f t="shared" si="44"/>
        <v>45546</v>
      </c>
      <c r="F680" s="90">
        <f t="shared" si="45"/>
        <v>7.5752377932555001E-2</v>
      </c>
      <c r="N680" s="85">
        <v>45547</v>
      </c>
      <c r="O680" s="85">
        <v>99.552000000000007</v>
      </c>
      <c r="R680" s="87">
        <f t="shared" si="46"/>
        <v>45546</v>
      </c>
      <c r="S680" s="86">
        <f t="shared" si="47"/>
        <v>99.552000000000007</v>
      </c>
    </row>
    <row r="681" spans="1:19" x14ac:dyDescent="0.25">
      <c r="A681" s="89">
        <v>45548</v>
      </c>
      <c r="B681" s="91">
        <v>7.5754080494478598E-2</v>
      </c>
      <c r="E681" s="87">
        <f t="shared" si="44"/>
        <v>45547</v>
      </c>
      <c r="F681" s="90">
        <f t="shared" si="45"/>
        <v>7.5753218528372301E-2</v>
      </c>
      <c r="N681" s="85">
        <v>45548</v>
      </c>
      <c r="O681" s="85">
        <v>99.552000000000007</v>
      </c>
      <c r="R681" s="87">
        <f t="shared" si="46"/>
        <v>45547</v>
      </c>
      <c r="S681" s="86">
        <f t="shared" si="47"/>
        <v>99.552000000000007</v>
      </c>
    </row>
    <row r="682" spans="1:19" x14ac:dyDescent="0.25">
      <c r="A682" s="89">
        <v>45551</v>
      </c>
      <c r="B682" s="91">
        <v>7.5756795328844509E-2</v>
      </c>
      <c r="E682" s="87">
        <f t="shared" si="44"/>
        <v>45548</v>
      </c>
      <c r="F682" s="90">
        <f t="shared" si="45"/>
        <v>7.5754080494478598E-2</v>
      </c>
      <c r="N682" s="85">
        <v>45551</v>
      </c>
      <c r="O682" s="85">
        <v>99.552000000000007</v>
      </c>
      <c r="R682" s="87">
        <f t="shared" si="46"/>
        <v>45548</v>
      </c>
      <c r="S682" s="86">
        <f t="shared" si="47"/>
        <v>99.552000000000007</v>
      </c>
    </row>
    <row r="683" spans="1:19" x14ac:dyDescent="0.25">
      <c r="A683" s="89">
        <v>45552</v>
      </c>
      <c r="B683" s="91">
        <v>7.5905616608711798E-2</v>
      </c>
      <c r="E683" s="87">
        <f t="shared" si="44"/>
        <v>45551</v>
      </c>
      <c r="F683" s="90">
        <f t="shared" si="45"/>
        <v>7.5756795328844509E-2</v>
      </c>
      <c r="N683" s="85">
        <v>45552</v>
      </c>
      <c r="O683" s="85">
        <v>99.52</v>
      </c>
      <c r="R683" s="87">
        <f t="shared" si="46"/>
        <v>45551</v>
      </c>
      <c r="S683" s="86">
        <f t="shared" si="47"/>
        <v>99.552000000000007</v>
      </c>
    </row>
    <row r="684" spans="1:19" x14ac:dyDescent="0.25">
      <c r="A684" s="89">
        <v>45553</v>
      </c>
      <c r="B684" s="91">
        <v>7.5301136526722198E-2</v>
      </c>
      <c r="E684" s="87">
        <f t="shared" si="44"/>
        <v>45552</v>
      </c>
      <c r="F684" s="90">
        <f t="shared" si="45"/>
        <v>7.5905616608711798E-2</v>
      </c>
      <c r="N684" s="85">
        <v>45553</v>
      </c>
      <c r="O684" s="85">
        <v>99.650999999999996</v>
      </c>
      <c r="R684" s="87">
        <f t="shared" si="46"/>
        <v>45552</v>
      </c>
      <c r="S684" s="86">
        <f t="shared" si="47"/>
        <v>99.52</v>
      </c>
    </row>
    <row r="685" spans="1:19" x14ac:dyDescent="0.25">
      <c r="A685" s="89">
        <v>45554</v>
      </c>
      <c r="B685" s="91">
        <v>7.5241547781788598E-2</v>
      </c>
      <c r="E685" s="87">
        <f t="shared" ref="E685:E686" si="48">A684</f>
        <v>45553</v>
      </c>
      <c r="F685" s="90">
        <f t="shared" ref="F685:F686" si="49">B684</f>
        <v>7.5301136526722198E-2</v>
      </c>
      <c r="N685" s="85">
        <v>45554</v>
      </c>
      <c r="O685" s="85">
        <v>99.650999999999996</v>
      </c>
      <c r="R685" s="87">
        <f t="shared" si="46"/>
        <v>45553</v>
      </c>
      <c r="S685" s="86">
        <f t="shared" si="47"/>
        <v>99.650999999999996</v>
      </c>
    </row>
    <row r="686" spans="1:19" x14ac:dyDescent="0.25">
      <c r="A686" s="89">
        <v>45555</v>
      </c>
      <c r="B686" s="91">
        <v>7.5242022800510802E-2</v>
      </c>
      <c r="E686" s="87">
        <f t="shared" si="48"/>
        <v>45554</v>
      </c>
      <c r="F686" s="90">
        <f t="shared" si="49"/>
        <v>7.5241547781788598E-2</v>
      </c>
      <c r="R686" s="87">
        <f t="shared" si="46"/>
        <v>45554</v>
      </c>
      <c r="S686" s="86">
        <f t="shared" si="47"/>
        <v>99.650999999999996</v>
      </c>
    </row>
    <row r="687" spans="1:19" x14ac:dyDescent="0.25">
      <c r="A687" s="89">
        <v>45558</v>
      </c>
      <c r="B687" s="91">
        <v>7.5160017458074699E-2</v>
      </c>
      <c r="E687" s="87">
        <f t="shared" ref="E687:E701" si="50">A686</f>
        <v>45555</v>
      </c>
      <c r="F687" s="90">
        <f t="shared" ref="F687:F701" si="51">B686</f>
        <v>7.5242022800510802E-2</v>
      </c>
    </row>
    <row r="688" spans="1:19" x14ac:dyDescent="0.25">
      <c r="A688" s="89">
        <v>45559</v>
      </c>
      <c r="B688" s="91">
        <v>7.50722202780678E-2</v>
      </c>
      <c r="E688" s="87">
        <f t="shared" si="50"/>
        <v>45558</v>
      </c>
      <c r="F688" s="90">
        <f t="shared" si="51"/>
        <v>7.5160017458074699E-2</v>
      </c>
    </row>
    <row r="689" spans="5:6" x14ac:dyDescent="0.25">
      <c r="E689" s="87">
        <f t="shared" si="50"/>
        <v>45559</v>
      </c>
      <c r="F689" s="90">
        <f t="shared" si="51"/>
        <v>7.50722202780678E-2</v>
      </c>
    </row>
    <row r="690" spans="5:6" x14ac:dyDescent="0.25">
      <c r="E690" s="87"/>
      <c r="F690" s="90"/>
    </row>
    <row r="691" spans="5:6" x14ac:dyDescent="0.25">
      <c r="E691" s="87"/>
      <c r="F691" s="90"/>
    </row>
    <row r="692" spans="5:6" x14ac:dyDescent="0.25">
      <c r="E692" s="87"/>
      <c r="F692" s="90"/>
    </row>
    <row r="693" spans="5:6" x14ac:dyDescent="0.25">
      <c r="E693" s="87"/>
      <c r="F693" s="90"/>
    </row>
    <row r="694" spans="5:6" x14ac:dyDescent="0.25">
      <c r="E694" s="87"/>
      <c r="F694" s="90"/>
    </row>
    <row r="695" spans="5:6" x14ac:dyDescent="0.25">
      <c r="E695" s="87"/>
      <c r="F695" s="90"/>
    </row>
    <row r="696" spans="5:6" x14ac:dyDescent="0.25">
      <c r="E696" s="87"/>
      <c r="F696" s="90"/>
    </row>
    <row r="697" spans="5:6" x14ac:dyDescent="0.25">
      <c r="E697" s="87"/>
      <c r="F697" s="90"/>
    </row>
    <row r="698" spans="5:6" x14ac:dyDescent="0.25">
      <c r="E698" s="87"/>
      <c r="F698" s="90"/>
    </row>
    <row r="699" spans="5:6" x14ac:dyDescent="0.25">
      <c r="E699" s="87"/>
      <c r="F699" s="90"/>
    </row>
    <row r="700" spans="5:6" x14ac:dyDescent="0.25">
      <c r="E700" s="87"/>
      <c r="F700" s="90"/>
    </row>
    <row r="701" spans="5:6" x14ac:dyDescent="0.25">
      <c r="E701" s="87"/>
      <c r="F701" s="9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1387-2EC2-41AA-9D77-1CCE0DFBA763}">
  <dimension ref="A2:AJ33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K1" sqref="AK1"/>
    </sheetView>
  </sheetViews>
  <sheetFormatPr defaultRowHeight="12.75" x14ac:dyDescent="0.2"/>
  <cols>
    <col min="1" max="1" width="2.85546875" style="146" customWidth="1"/>
    <col min="2" max="2" width="3.5703125" style="146" customWidth="1"/>
    <col min="3" max="3" width="27.85546875" bestFit="1" customWidth="1"/>
  </cols>
  <sheetData>
    <row r="2" spans="3:36" ht="27" customHeight="1" thickBot="1" x14ac:dyDescent="0.35">
      <c r="C2" s="102" t="s">
        <v>87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3:36" ht="13.5" thickTop="1" x14ac:dyDescent="0.2"/>
    <row r="4" spans="3:36" ht="15" x14ac:dyDescent="0.3">
      <c r="C4" s="104" t="s">
        <v>261</v>
      </c>
      <c r="D4" s="104">
        <v>1998</v>
      </c>
      <c r="E4" s="104">
        <f>D4+1</f>
        <v>1999</v>
      </c>
      <c r="F4" s="104">
        <f t="shared" ref="F4:U4" si="0">E4+1</f>
        <v>2000</v>
      </c>
      <c r="G4" s="104">
        <f t="shared" si="0"/>
        <v>2001</v>
      </c>
      <c r="H4" s="104">
        <f t="shared" si="0"/>
        <v>2002</v>
      </c>
      <c r="I4" s="104">
        <f t="shared" si="0"/>
        <v>2003</v>
      </c>
      <c r="J4" s="104">
        <f t="shared" si="0"/>
        <v>2004</v>
      </c>
      <c r="K4" s="104">
        <f t="shared" si="0"/>
        <v>2005</v>
      </c>
      <c r="L4" s="104">
        <f t="shared" si="0"/>
        <v>2006</v>
      </c>
      <c r="M4" s="104">
        <f t="shared" si="0"/>
        <v>2007</v>
      </c>
      <c r="N4" s="104">
        <f t="shared" si="0"/>
        <v>2008</v>
      </c>
      <c r="O4" s="104">
        <f t="shared" si="0"/>
        <v>2009</v>
      </c>
      <c r="P4" s="104">
        <f t="shared" si="0"/>
        <v>2010</v>
      </c>
      <c r="Q4" s="104">
        <f t="shared" si="0"/>
        <v>2011</v>
      </c>
      <c r="R4" s="104">
        <f t="shared" si="0"/>
        <v>2012</v>
      </c>
      <c r="S4" s="104">
        <f t="shared" si="0"/>
        <v>2013</v>
      </c>
      <c r="T4" s="104">
        <f t="shared" si="0"/>
        <v>2014</v>
      </c>
      <c r="U4" s="104">
        <f t="shared" si="0"/>
        <v>2015</v>
      </c>
      <c r="V4" s="104">
        <v>2016</v>
      </c>
      <c r="W4" s="104">
        <v>2017</v>
      </c>
      <c r="X4" s="104">
        <v>2018</v>
      </c>
      <c r="Y4" s="104">
        <v>2019</v>
      </c>
      <c r="Z4" s="104">
        <v>2020</v>
      </c>
      <c r="AA4" s="104">
        <v>2021</v>
      </c>
      <c r="AB4" s="104">
        <v>2022</v>
      </c>
      <c r="AC4" s="104">
        <v>2023</v>
      </c>
      <c r="AD4" s="104">
        <v>2024</v>
      </c>
      <c r="AE4" s="104">
        <v>2025</v>
      </c>
      <c r="AF4" s="104">
        <v>2026</v>
      </c>
      <c r="AG4" s="104">
        <v>2027</v>
      </c>
      <c r="AH4" s="104">
        <v>2028</v>
      </c>
      <c r="AI4" s="104">
        <v>2029</v>
      </c>
      <c r="AJ4" s="104">
        <v>2030</v>
      </c>
    </row>
    <row r="5" spans="3:36" x14ac:dyDescent="0.2">
      <c r="C5" t="s">
        <v>262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7"/>
      <c r="Y5" s="107"/>
      <c r="Z5" s="107">
        <f t="shared" ref="Z5:AI5" si="1">AA5</f>
        <v>1.3720000000000001</v>
      </c>
      <c r="AA5" s="107">
        <f t="shared" si="1"/>
        <v>1.3720000000000001</v>
      </c>
      <c r="AB5" s="107">
        <f t="shared" si="1"/>
        <v>1.3720000000000001</v>
      </c>
      <c r="AC5" s="107">
        <f t="shared" si="1"/>
        <v>1.3720000000000001</v>
      </c>
      <c r="AD5" s="107">
        <f t="shared" si="1"/>
        <v>1.3720000000000001</v>
      </c>
      <c r="AE5" s="107">
        <f t="shared" si="1"/>
        <v>1.3720000000000001</v>
      </c>
      <c r="AF5" s="107">
        <f t="shared" si="1"/>
        <v>1.3720000000000001</v>
      </c>
      <c r="AG5" s="107">
        <f t="shared" si="1"/>
        <v>1.3720000000000001</v>
      </c>
      <c r="AH5" s="107">
        <f t="shared" si="1"/>
        <v>1.3720000000000001</v>
      </c>
      <c r="AI5" s="107">
        <f t="shared" si="1"/>
        <v>1.3720000000000001</v>
      </c>
      <c r="AJ5" s="107">
        <f>Valuation!B27</f>
        <v>1.3720000000000001</v>
      </c>
    </row>
    <row r="6" spans="3:36" x14ac:dyDescent="0.2">
      <c r="C6" t="s">
        <v>263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7"/>
      <c r="Y6" s="107"/>
      <c r="Z6" s="107">
        <f t="shared" ref="Z6:AJ6" si="2">Z5</f>
        <v>1.3720000000000001</v>
      </c>
      <c r="AA6" s="107">
        <f t="shared" si="2"/>
        <v>1.3720000000000001</v>
      </c>
      <c r="AB6" s="107">
        <f t="shared" si="2"/>
        <v>1.3720000000000001</v>
      </c>
      <c r="AC6" s="107">
        <f t="shared" si="2"/>
        <v>1.3720000000000001</v>
      </c>
      <c r="AD6" s="107">
        <f t="shared" si="2"/>
        <v>1.3720000000000001</v>
      </c>
      <c r="AE6" s="107">
        <f t="shared" si="2"/>
        <v>1.3720000000000001</v>
      </c>
      <c r="AF6" s="107">
        <f t="shared" si="2"/>
        <v>1.3720000000000001</v>
      </c>
      <c r="AG6" s="107">
        <f t="shared" si="2"/>
        <v>1.3720000000000001</v>
      </c>
      <c r="AH6" s="107">
        <f t="shared" si="2"/>
        <v>1.3720000000000001</v>
      </c>
      <c r="AI6" s="107">
        <f t="shared" si="2"/>
        <v>1.3720000000000001</v>
      </c>
      <c r="AJ6" s="107">
        <f t="shared" si="2"/>
        <v>1.3720000000000001</v>
      </c>
    </row>
    <row r="7" spans="3:36" x14ac:dyDescent="0.2">
      <c r="C7" t="s">
        <v>264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</row>
    <row r="8" spans="3:36" x14ac:dyDescent="0.2">
      <c r="C8" t="s">
        <v>265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</row>
    <row r="9" spans="3:36" x14ac:dyDescent="0.2">
      <c r="C9" t="s">
        <v>266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>
        <f>'BS and debt'!B60</f>
        <v>206.53800000000007</v>
      </c>
      <c r="AA9" s="105">
        <f>'BS and debt'!C60</f>
        <v>149.20699999999999</v>
      </c>
      <c r="AB9" s="105">
        <f>'BS and debt'!D60</f>
        <v>810.22400000000016</v>
      </c>
      <c r="AC9" s="105">
        <f>'BS and debt'!E60</f>
        <v>1385.924</v>
      </c>
      <c r="AD9" s="105">
        <f>'BS and debt'!F60</f>
        <v>1427.9416440035764</v>
      </c>
      <c r="AE9" s="105">
        <f>'BS and debt'!G60</f>
        <v>1443.30542730765</v>
      </c>
      <c r="AF9" s="105">
        <f>'BS and debt'!H60</f>
        <v>1427.4883028733377</v>
      </c>
      <c r="AG9" s="105">
        <f>'BS and debt'!I60</f>
        <v>1391.9358632192848</v>
      </c>
      <c r="AH9" s="105">
        <f>'BS and debt'!J60</f>
        <v>1333.4718938791889</v>
      </c>
      <c r="AI9" s="105">
        <f>'BS and debt'!K60</f>
        <v>1251.6424294786066</v>
      </c>
      <c r="AJ9" s="105">
        <f>'BS and debt'!L60</f>
        <v>1148.7200384760913</v>
      </c>
    </row>
    <row r="10" spans="3:36" x14ac:dyDescent="0.2">
      <c r="C10" t="s">
        <v>267</v>
      </c>
      <c r="D10" s="106"/>
      <c r="E10" s="106"/>
      <c r="F10" s="106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</row>
    <row r="11" spans="3:36" x14ac:dyDescent="0.2">
      <c r="C11" t="s">
        <v>268</v>
      </c>
      <c r="D11" s="106"/>
      <c r="E11" s="106"/>
      <c r="F11" s="106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</row>
    <row r="12" spans="3:36" x14ac:dyDescent="0.2">
      <c r="C12" t="s">
        <v>269</v>
      </c>
      <c r="D12" s="106"/>
      <c r="E12" s="106"/>
      <c r="F12" s="106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</row>
    <row r="13" spans="3:36" x14ac:dyDescent="0.2">
      <c r="C13" t="s">
        <v>270</v>
      </c>
      <c r="D13" s="106"/>
      <c r="E13" s="106"/>
      <c r="F13" s="106"/>
      <c r="G13" s="106"/>
      <c r="H13" s="106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</row>
    <row r="14" spans="3:36" x14ac:dyDescent="0.2">
      <c r="C14" t="s">
        <v>271</v>
      </c>
      <c r="D14" s="106"/>
      <c r="E14" s="106"/>
      <c r="F14" s="106"/>
      <c r="G14" s="106"/>
      <c r="H14" s="106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</row>
    <row r="15" spans="3:36" x14ac:dyDescent="0.2">
      <c r="C15" t="s">
        <v>272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>
        <f>-'Cash flow'!B11/Valuation!$B$27</f>
        <v>11.577988338192419</v>
      </c>
      <c r="AA15" s="107">
        <f>-'Cash flow'!C11/Valuation!$B$27</f>
        <v>25.193877551020407</v>
      </c>
      <c r="AB15" s="107">
        <f>-'Cash flow'!D11/Valuation!$B$27</f>
        <v>8.6166180758017479</v>
      </c>
      <c r="AC15" s="107">
        <f>-'Cash flow'!E11/Valuation!$B$27</f>
        <v>37.086734693877553</v>
      </c>
      <c r="AD15" s="107">
        <f>-'Cash flow'!F11/Valuation!$B$27</f>
        <v>22.716796491370562</v>
      </c>
      <c r="AE15" s="107">
        <f>-'Cash flow'!G11/Valuation!$B$27</f>
        <v>28.842177789223211</v>
      </c>
      <c r="AF15" s="107">
        <f>-'Cash flow'!H11/Valuation!$B$27</f>
        <v>34.900373796679908</v>
      </c>
      <c r="AG15" s="107">
        <f>-'Cash flow'!I11/Valuation!$B$27</f>
        <v>40.770212955832029</v>
      </c>
      <c r="AH15" s="107">
        <f>-'Cash flow'!J11/Valuation!$B$27</f>
        <v>45.512854118984933</v>
      </c>
      <c r="AI15" s="107">
        <f>-'Cash flow'!K11/Valuation!$B$27</f>
        <v>50.832250465403284</v>
      </c>
      <c r="AJ15" s="107">
        <f>-'Cash flow'!L11/Valuation!$B$27</f>
        <v>57.463509114564246</v>
      </c>
    </row>
    <row r="16" spans="3:36" x14ac:dyDescent="0.2">
      <c r="C16" t="s">
        <v>273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</row>
    <row r="17" spans="3:36" x14ac:dyDescent="0.2">
      <c r="C17" t="s">
        <v>274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>
        <f>Z32/Valuation!$B$27</f>
        <v>37.629008746355616</v>
      </c>
      <c r="AA17" s="107">
        <f>AA32/Valuation!$B$27</f>
        <v>63.718658892128254</v>
      </c>
      <c r="AB17" s="107">
        <f>AB32/Valuation!$B$27</f>
        <v>61.278425655976704</v>
      </c>
      <c r="AC17" s="107">
        <f>AC32/Valuation!$B$27</f>
        <v>39.762975218659129</v>
      </c>
      <c r="AD17" s="107">
        <f>AD32/Valuation!$B$27</f>
        <v>52.75746647132064</v>
      </c>
      <c r="AE17" s="107">
        <f>AE32/Valuation!$B$27</f>
        <v>66.983046146178154</v>
      </c>
      <c r="AF17" s="107">
        <f>AF32/Valuation!$B$27</f>
        <v>81.05259476679889</v>
      </c>
      <c r="AG17" s="107">
        <f>AG32/Valuation!$B$27</f>
        <v>94.684703622845163</v>
      </c>
      <c r="AH17" s="107">
        <f>AH32/Valuation!$B$27</f>
        <v>105.69900892973962</v>
      </c>
      <c r="AI17" s="107">
        <f>AI32/Valuation!$B$27</f>
        <v>118.05276992330391</v>
      </c>
      <c r="AJ17" s="107">
        <f>AJ32/Valuation!$B$27</f>
        <v>133.45319867560011</v>
      </c>
    </row>
    <row r="18" spans="3:36" x14ac:dyDescent="0.2">
      <c r="K18" s="108"/>
      <c r="L18" s="108"/>
      <c r="M18" s="108"/>
      <c r="N18" s="108"/>
      <c r="O18" s="108"/>
    </row>
    <row r="19" spans="3:36" ht="15" x14ac:dyDescent="0.3">
      <c r="C19" s="104" t="s">
        <v>275</v>
      </c>
      <c r="D19" s="104">
        <v>1998</v>
      </c>
      <c r="E19" s="104">
        <v>1999</v>
      </c>
      <c r="F19" s="104">
        <v>2000</v>
      </c>
      <c r="G19" s="104">
        <v>2001</v>
      </c>
      <c r="H19" s="104">
        <v>2002</v>
      </c>
      <c r="I19" s="104">
        <v>2003</v>
      </c>
      <c r="J19" s="104">
        <v>2004</v>
      </c>
      <c r="K19" s="104">
        <v>2005</v>
      </c>
      <c r="L19" s="104">
        <v>2006</v>
      </c>
      <c r="M19" s="104">
        <v>2007</v>
      </c>
      <c r="N19" s="104">
        <v>2008</v>
      </c>
      <c r="O19" s="104">
        <v>2009</v>
      </c>
      <c r="P19" s="104">
        <v>2010</v>
      </c>
      <c r="Q19" s="104">
        <v>2011</v>
      </c>
      <c r="R19" s="104">
        <v>2012</v>
      </c>
      <c r="S19" s="104">
        <v>2013</v>
      </c>
      <c r="T19" s="104">
        <v>2014</v>
      </c>
      <c r="U19" s="104">
        <v>2015</v>
      </c>
      <c r="V19" s="104">
        <v>2016</v>
      </c>
      <c r="W19" s="104">
        <v>2017</v>
      </c>
      <c r="X19" s="104">
        <v>2018</v>
      </c>
      <c r="Y19" s="104">
        <v>2019</v>
      </c>
      <c r="Z19" s="104">
        <v>2020</v>
      </c>
      <c r="AA19" s="104">
        <v>2021</v>
      </c>
      <c r="AB19" s="104">
        <v>2022</v>
      </c>
      <c r="AC19" s="104">
        <v>2023</v>
      </c>
      <c r="AD19" s="104">
        <v>2024</v>
      </c>
      <c r="AE19" s="104">
        <v>2025</v>
      </c>
      <c r="AF19" s="104">
        <v>2026</v>
      </c>
      <c r="AG19" s="104">
        <v>2027</v>
      </c>
      <c r="AH19" s="104">
        <v>2028</v>
      </c>
      <c r="AI19" s="104">
        <v>2029</v>
      </c>
      <c r="AJ19" s="104">
        <v>2030</v>
      </c>
    </row>
    <row r="20" spans="3:36" x14ac:dyDescent="0.2">
      <c r="C20" t="s">
        <v>276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>
        <f>'Income statment'!B5</f>
        <v>429.154</v>
      </c>
      <c r="AA20" s="105">
        <f>'Income statment'!C5</f>
        <v>485.85899999999998</v>
      </c>
      <c r="AB20" s="105">
        <f>'Income statment'!D5</f>
        <v>827.51499999999999</v>
      </c>
      <c r="AC20" s="105">
        <f>'Income statment'!E5</f>
        <v>1089.3530000000001</v>
      </c>
      <c r="AD20" s="105">
        <f>'Income statment'!F5</f>
        <v>1238.3225989908276</v>
      </c>
      <c r="AE20" s="105">
        <f>'Income statment'!G5</f>
        <v>1367.6446546173563</v>
      </c>
      <c r="AF20" s="105">
        <f>'Income statment'!H5</f>
        <v>1488.0442548354736</v>
      </c>
      <c r="AG20" s="105">
        <f>'Income statment'!I5</f>
        <v>1600.1385320476368</v>
      </c>
      <c r="AH20" s="105">
        <f>'Income statment'!J5</f>
        <v>1697.9436785991634</v>
      </c>
      <c r="AI20" s="105">
        <f>'Income statment'!K5</f>
        <v>1794.8410470788365</v>
      </c>
      <c r="AJ20" s="105">
        <f>'Income statment'!L5</f>
        <v>1889.8528195120084</v>
      </c>
    </row>
    <row r="21" spans="3:36" x14ac:dyDescent="0.2">
      <c r="C21" t="s">
        <v>399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>
        <f>'Income statment'!B35</f>
        <v>221</v>
      </c>
      <c r="AA21" s="105">
        <f>'Income statment'!C35</f>
        <v>253</v>
      </c>
      <c r="AB21" s="105">
        <f>'Income statment'!D35</f>
        <v>376</v>
      </c>
      <c r="AC21" s="105">
        <f>'Income statment'!E35</f>
        <v>496</v>
      </c>
      <c r="AD21" s="105">
        <f>'Income statment'!F35</f>
        <v>594.39484751559723</v>
      </c>
      <c r="AE21" s="105">
        <f>'Income statment'!G35</f>
        <v>659.88854585287436</v>
      </c>
      <c r="AF21" s="105">
        <f>'Income statment'!H35</f>
        <v>721.7014635952047</v>
      </c>
      <c r="AG21" s="105">
        <f>'Income statment'!I35</f>
        <v>780.06753437322288</v>
      </c>
      <c r="AH21" s="105">
        <f>'Income statment'!J35</f>
        <v>831.99240251359004</v>
      </c>
      <c r="AI21" s="105">
        <f>'Income statment'!K35</f>
        <v>883.95921568632696</v>
      </c>
      <c r="AJ21" s="105">
        <f>'Income statment'!L35</f>
        <v>935.4771456584441</v>
      </c>
    </row>
    <row r="22" spans="3:36" x14ac:dyDescent="0.2">
      <c r="C22" t="s">
        <v>277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>
        <f>-'Income statment'!B18</f>
        <v>113.322</v>
      </c>
      <c r="AA22" s="105">
        <f>-'Income statment'!C18</f>
        <v>112.29900000000001</v>
      </c>
      <c r="AB22" s="105">
        <f>-'Income statment'!D18</f>
        <v>178.48699999999999</v>
      </c>
      <c r="AC22" s="105">
        <f>-'Income statment'!E18</f>
        <v>250.485536</v>
      </c>
      <c r="AD22" s="105">
        <f>-'Income statment'!F18</f>
        <v>291.55</v>
      </c>
      <c r="AE22" s="105">
        <f>-'Income statment'!G18</f>
        <v>324.12700000000001</v>
      </c>
      <c r="AF22" s="105">
        <f>-'Income statment'!H18</f>
        <v>351.95466000000005</v>
      </c>
      <c r="AG22" s="105">
        <f>-'Income statment'!I18</f>
        <v>376.59148620000008</v>
      </c>
      <c r="AH22" s="105">
        <f>-'Income statment'!J18</f>
        <v>399.18697537200006</v>
      </c>
      <c r="AI22" s="105">
        <f>-'Income statment'!K18</f>
        <v>419.14632414060014</v>
      </c>
      <c r="AJ22" s="105">
        <f>-'Income statment'!L18</f>
        <v>435.91217710622414</v>
      </c>
    </row>
    <row r="23" spans="3:36" x14ac:dyDescent="0.2">
      <c r="C23" t="s">
        <v>278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</row>
    <row r="24" spans="3:36" x14ac:dyDescent="0.2">
      <c r="C24" t="s">
        <v>279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>
        <f>Capex!B6</f>
        <v>116</v>
      </c>
      <c r="AA24" s="105">
        <f>Capex!C6</f>
        <v>148</v>
      </c>
      <c r="AB24" s="105">
        <f>Capex!D6</f>
        <v>269</v>
      </c>
      <c r="AC24" s="105">
        <f>Capex!E6</f>
        <v>353</v>
      </c>
      <c r="AD24" s="105">
        <f>Capex!F6</f>
        <v>408.64645766697311</v>
      </c>
      <c r="AE24" s="105">
        <f>Capex!G6</f>
        <v>423.96984293138047</v>
      </c>
      <c r="AF24" s="105">
        <f>Capex!H6</f>
        <v>431.53283390228728</v>
      </c>
      <c r="AG24" s="105">
        <f>Capex!I6</f>
        <v>448.03878897333823</v>
      </c>
      <c r="AH24" s="105">
        <f>Capex!J6</f>
        <v>458.44479322177403</v>
      </c>
      <c r="AI24" s="105">
        <f>Capex!K6</f>
        <v>466.65867224049742</v>
      </c>
      <c r="AJ24" s="105">
        <f>Capex!L6</f>
        <v>472.46320487800199</v>
      </c>
    </row>
    <row r="25" spans="3:36" x14ac:dyDescent="0.2">
      <c r="C25" t="s">
        <v>280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>
        <f>Z21-Z24</f>
        <v>105</v>
      </c>
      <c r="AA25" s="105">
        <f t="shared" ref="AA25:AJ25" si="3">AA21-AA24</f>
        <v>105</v>
      </c>
      <c r="AB25" s="105">
        <f t="shared" si="3"/>
        <v>107</v>
      </c>
      <c r="AC25" s="105">
        <f t="shared" si="3"/>
        <v>143</v>
      </c>
      <c r="AD25" s="105">
        <f t="shared" si="3"/>
        <v>185.74838984862413</v>
      </c>
      <c r="AE25" s="105">
        <f t="shared" si="3"/>
        <v>235.91870292149389</v>
      </c>
      <c r="AF25" s="105">
        <f t="shared" si="3"/>
        <v>290.16862969291742</v>
      </c>
      <c r="AG25" s="105">
        <f t="shared" si="3"/>
        <v>332.02874539988466</v>
      </c>
      <c r="AH25" s="105">
        <f t="shared" si="3"/>
        <v>373.547609291816</v>
      </c>
      <c r="AI25" s="105">
        <f t="shared" si="3"/>
        <v>417.30054344582953</v>
      </c>
      <c r="AJ25" s="105">
        <f t="shared" si="3"/>
        <v>463.01394078044211</v>
      </c>
    </row>
    <row r="26" spans="3:36" x14ac:dyDescent="0.2">
      <c r="C26" s="109" t="s">
        <v>281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49">
        <f>Z25*(1-26%)</f>
        <v>77.7</v>
      </c>
      <c r="AA26" s="149">
        <f t="shared" ref="AA26:AJ26" si="4">AA25*(1-26%)</f>
        <v>77.7</v>
      </c>
      <c r="AB26" s="149">
        <f t="shared" si="4"/>
        <v>79.179999999999993</v>
      </c>
      <c r="AC26" s="149">
        <f t="shared" si="4"/>
        <v>105.82</v>
      </c>
      <c r="AD26" s="149">
        <f t="shared" si="4"/>
        <v>137.45380848798186</v>
      </c>
      <c r="AE26" s="149">
        <f t="shared" si="4"/>
        <v>174.57984016190548</v>
      </c>
      <c r="AF26" s="149">
        <f t="shared" si="4"/>
        <v>214.72478597275889</v>
      </c>
      <c r="AG26" s="149">
        <f t="shared" si="4"/>
        <v>245.70127159591465</v>
      </c>
      <c r="AH26" s="149">
        <f t="shared" si="4"/>
        <v>276.42523087594384</v>
      </c>
      <c r="AI26" s="149">
        <f t="shared" si="4"/>
        <v>308.80240214991386</v>
      </c>
      <c r="AJ26" s="149">
        <f t="shared" si="4"/>
        <v>342.63031617752716</v>
      </c>
    </row>
    <row r="27" spans="3:36" x14ac:dyDescent="0.2">
      <c r="C27" t="s">
        <v>266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>
        <f>'BS and debt'!B60</f>
        <v>206.53800000000007</v>
      </c>
      <c r="AA27" s="105">
        <f>'BS and debt'!C60</f>
        <v>149.20699999999999</v>
      </c>
      <c r="AB27" s="105">
        <f>'BS and debt'!D60</f>
        <v>810.22400000000016</v>
      </c>
      <c r="AC27" s="105">
        <f>'BS and debt'!E60</f>
        <v>1385.924</v>
      </c>
      <c r="AD27" s="105">
        <f>'BS and debt'!F60</f>
        <v>1427.9416440035764</v>
      </c>
      <c r="AE27" s="105">
        <f>'BS and debt'!G60</f>
        <v>1443.30542730765</v>
      </c>
      <c r="AF27" s="105">
        <f>'BS and debt'!H60</f>
        <v>1427.4883028733377</v>
      </c>
      <c r="AG27" s="105">
        <f>'BS and debt'!I60</f>
        <v>1391.9358632192848</v>
      </c>
      <c r="AH27" s="105">
        <f>'BS and debt'!J60</f>
        <v>1333.4718938791889</v>
      </c>
      <c r="AI27" s="105">
        <f>'BS and debt'!K60</f>
        <v>1251.6424294786066</v>
      </c>
      <c r="AJ27" s="105">
        <f>'BS and debt'!L60</f>
        <v>1148.7200384760913</v>
      </c>
    </row>
    <row r="28" spans="3:36" x14ac:dyDescent="0.2">
      <c r="C28" t="s">
        <v>282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</row>
    <row r="29" spans="3:36" x14ac:dyDescent="0.2">
      <c r="C29" t="s">
        <v>283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</row>
    <row r="30" spans="3:36" x14ac:dyDescent="0.2">
      <c r="C30" t="s">
        <v>284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>
        <f>-('Income statment'!B22+'Income statment'!B23)</f>
        <v>39.525999999999996</v>
      </c>
      <c r="AA30" s="105">
        <f>-('Income statment'!C22+'Income statment'!C23)</f>
        <v>32.674999999999997</v>
      </c>
      <c r="AB30" s="105">
        <f>-('Income statment'!D22+'Income statment'!D23)</f>
        <v>97.636999999999986</v>
      </c>
      <c r="AC30" s="105">
        <f>-('Income statment'!E22+'Income statment'!E23)</f>
        <v>156.26618999999999</v>
      </c>
      <c r="AD30" s="105">
        <f>-('Income statment'!F22+'Income statment'!F23)</f>
        <v>172.65335500000003</v>
      </c>
      <c r="AE30" s="105">
        <f>-('Income statment'!G22+'Income statment'!G23)</f>
        <v>173.91388432010731</v>
      </c>
      <c r="AF30" s="105">
        <f>-('Income statment'!H22+'Income statment'!H23)</f>
        <v>174.37479781922951</v>
      </c>
      <c r="AG30" s="105">
        <f>-('Income statment'!I22+'Income statment'!I23)</f>
        <v>173.90028408620014</v>
      </c>
      <c r="AH30" s="105">
        <f>-('Income statment'!J22+'Income statment'!J23)</f>
        <v>172.83371089657857</v>
      </c>
      <c r="AI30" s="105">
        <f>-('Income statment'!K22+'Income statment'!K23)</f>
        <v>171.07979181637569</v>
      </c>
      <c r="AJ30" s="105">
        <f>-('Income statment'!L22+'Income statment'!L23)</f>
        <v>168.62490788435821</v>
      </c>
    </row>
    <row r="31" spans="3:36" x14ac:dyDescent="0.2">
      <c r="C31" t="s">
        <v>285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>
        <f>'Income statment'!B29</f>
        <v>51.62699999999991</v>
      </c>
      <c r="AA31" s="105">
        <f>'Income statment'!C29</f>
        <v>87.421999999999969</v>
      </c>
      <c r="AB31" s="105">
        <f>'Income statment'!D29</f>
        <v>84.074000000000041</v>
      </c>
      <c r="AC31" s="105">
        <f>'Income statment'!E29</f>
        <v>54.554802000000329</v>
      </c>
      <c r="AD31" s="105">
        <f>'Income statment'!F29</f>
        <v>72.38324399865192</v>
      </c>
      <c r="AE31" s="105">
        <f>'Income statment'!G29</f>
        <v>91.900739312556425</v>
      </c>
      <c r="AF31" s="105">
        <f>'Income statment'!H29</f>
        <v>111.20416002004809</v>
      </c>
      <c r="AG31" s="105">
        <f>'Income statment'!I29</f>
        <v>129.90741337054357</v>
      </c>
      <c r="AH31" s="105">
        <f>'Income statment'!J29</f>
        <v>145.01904025160277</v>
      </c>
      <c r="AI31" s="105">
        <f>'Income statment'!K29</f>
        <v>161.96840033477298</v>
      </c>
      <c r="AJ31" s="105">
        <f>'Income statment'!L29</f>
        <v>183.09778858292336</v>
      </c>
    </row>
    <row r="32" spans="3:36" x14ac:dyDescent="0.2">
      <c r="C32" t="s">
        <v>286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>
        <f>Z31</f>
        <v>51.62699999999991</v>
      </c>
      <c r="AA32" s="105">
        <f t="shared" ref="AA32:AJ32" si="5">AA31</f>
        <v>87.421999999999969</v>
      </c>
      <c r="AB32" s="105">
        <f t="shared" si="5"/>
        <v>84.074000000000041</v>
      </c>
      <c r="AC32" s="105">
        <f t="shared" si="5"/>
        <v>54.554802000000329</v>
      </c>
      <c r="AD32" s="105">
        <f t="shared" si="5"/>
        <v>72.38324399865192</v>
      </c>
      <c r="AE32" s="105">
        <f t="shared" si="5"/>
        <v>91.900739312556425</v>
      </c>
      <c r="AF32" s="105">
        <f t="shared" si="5"/>
        <v>111.20416002004809</v>
      </c>
      <c r="AG32" s="105">
        <f t="shared" si="5"/>
        <v>129.90741337054357</v>
      </c>
      <c r="AH32" s="105">
        <f t="shared" si="5"/>
        <v>145.01904025160277</v>
      </c>
      <c r="AI32" s="105">
        <f t="shared" si="5"/>
        <v>161.96840033477298</v>
      </c>
      <c r="AJ32" s="105">
        <f t="shared" si="5"/>
        <v>183.09778858292336</v>
      </c>
    </row>
    <row r="33" spans="3:36" x14ac:dyDescent="0.2">
      <c r="C33" t="s">
        <v>287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>
        <f>Z32-'Income statment'!B18-Capex!B6</f>
        <v>48.948999999999899</v>
      </c>
      <c r="AA33" s="105">
        <f>AA32-'Income statment'!C18-Capex!C6</f>
        <v>51.720999999999975</v>
      </c>
      <c r="AB33" s="105">
        <f>AB32-'Income statment'!D18-Capex!D6</f>
        <v>-6.4389999999999645</v>
      </c>
      <c r="AC33" s="105">
        <f>AC32-'Income statment'!E18-Capex!E6</f>
        <v>-47.959661999999696</v>
      </c>
      <c r="AD33" s="105">
        <f>AD32-'Income statment'!F18-Capex!F6</f>
        <v>-44.713213668321146</v>
      </c>
      <c r="AE33" s="105">
        <f>AE32-'Income statment'!G18-Capex!G6</f>
        <v>-7.942103618824035</v>
      </c>
      <c r="AF33" s="105">
        <f>AF32-'Income statment'!H18-Capex!H6</f>
        <v>31.625986117760874</v>
      </c>
      <c r="AG33" s="105">
        <f>AG32-'Income statment'!I18-Capex!I6</f>
        <v>58.460110597205414</v>
      </c>
      <c r="AH33" s="105">
        <f>AH32-'Income statment'!J18-Capex!J6</f>
        <v>85.761222401828832</v>
      </c>
      <c r="AI33" s="105">
        <f>AI32-'Income statment'!K18-Capex!K6</f>
        <v>114.4560522348757</v>
      </c>
      <c r="AJ33" s="105">
        <f>AJ32-'Income statment'!L18-Capex!L6</f>
        <v>146.54676081114553</v>
      </c>
    </row>
    <row r="34" spans="3:36" x14ac:dyDescent="0.2">
      <c r="C34" t="s">
        <v>288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</row>
    <row r="35" spans="3:36" x14ac:dyDescent="0.2">
      <c r="C35" t="s">
        <v>289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</row>
    <row r="36" spans="3:36" x14ac:dyDescent="0.2">
      <c r="C36" t="s">
        <v>290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</row>
    <row r="37" spans="3:36" x14ac:dyDescent="0.2">
      <c r="C37" t="s">
        <v>291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</row>
    <row r="38" spans="3:36" x14ac:dyDescent="0.2">
      <c r="C38" t="s">
        <v>292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</row>
    <row r="39" spans="3:36" x14ac:dyDescent="0.2">
      <c r="C39" t="s">
        <v>293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</row>
    <row r="40" spans="3:36" x14ac:dyDescent="0.2">
      <c r="C40" t="s">
        <v>294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</row>
    <row r="41" spans="3:36" x14ac:dyDescent="0.2">
      <c r="C41" t="s">
        <v>295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</row>
    <row r="42" spans="3:36" x14ac:dyDescent="0.2">
      <c r="C42" t="s">
        <v>296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</row>
    <row r="43" spans="3:36" x14ac:dyDescent="0.2">
      <c r="C43" t="s">
        <v>297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</row>
    <row r="44" spans="3:36" x14ac:dyDescent="0.2">
      <c r="C44" t="s">
        <v>298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</row>
    <row r="45" spans="3:36" x14ac:dyDescent="0.2">
      <c r="C45" t="s">
        <v>299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</row>
    <row r="46" spans="3:36" x14ac:dyDescent="0.2">
      <c r="C46" t="s">
        <v>300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</row>
    <row r="47" spans="3:36" x14ac:dyDescent="0.2">
      <c r="C47" t="s">
        <v>301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</row>
    <row r="48" spans="3:36" x14ac:dyDescent="0.2">
      <c r="C48" t="s">
        <v>302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</row>
    <row r="49" spans="3:36" x14ac:dyDescent="0.2">
      <c r="C49" t="s">
        <v>303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</row>
    <row r="50" spans="3:36" x14ac:dyDescent="0.2">
      <c r="C50" t="s">
        <v>304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</row>
    <row r="51" spans="3:36" x14ac:dyDescent="0.2">
      <c r="C51" t="s">
        <v>305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</row>
    <row r="52" spans="3:36" x14ac:dyDescent="0.2">
      <c r="C52" t="s">
        <v>306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</row>
    <row r="53" spans="3:36" ht="15" x14ac:dyDescent="0.3">
      <c r="C53" t="s">
        <v>307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10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</row>
    <row r="54" spans="3:36" ht="15" x14ac:dyDescent="0.3">
      <c r="C54" t="s">
        <v>308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11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</row>
    <row r="55" spans="3:36" ht="15" x14ac:dyDescent="0.3">
      <c r="C55" t="s">
        <v>309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11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</row>
    <row r="56" spans="3:36" ht="15" x14ac:dyDescent="0.3">
      <c r="C56" t="s">
        <v>310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11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</row>
    <row r="57" spans="3:36" ht="15" x14ac:dyDescent="0.3">
      <c r="C57" t="s">
        <v>311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10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</row>
    <row r="58" spans="3:36" x14ac:dyDescent="0.2">
      <c r="C58" t="s">
        <v>312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</row>
    <row r="59" spans="3:36" x14ac:dyDescent="0.2">
      <c r="C59" t="s">
        <v>313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</row>
    <row r="60" spans="3:36" x14ac:dyDescent="0.2">
      <c r="C60" t="s">
        <v>314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</row>
    <row r="61" spans="3:36" x14ac:dyDescent="0.2">
      <c r="C61" t="s">
        <v>315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</row>
    <row r="62" spans="3:36" x14ac:dyDescent="0.2">
      <c r="C62" t="s">
        <v>316</v>
      </c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</row>
    <row r="63" spans="3:36" x14ac:dyDescent="0.2">
      <c r="C63" t="s">
        <v>317</v>
      </c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</row>
    <row r="64" spans="3:36" x14ac:dyDescent="0.2">
      <c r="C64" t="s">
        <v>318</v>
      </c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</row>
    <row r="65" spans="3:36" x14ac:dyDescent="0.2">
      <c r="C65" t="s">
        <v>319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</row>
    <row r="66" spans="3:36" x14ac:dyDescent="0.2">
      <c r="C66" t="s">
        <v>320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</row>
    <row r="67" spans="3:36" x14ac:dyDescent="0.2">
      <c r="C67" t="s">
        <v>321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</row>
    <row r="68" spans="3:36" x14ac:dyDescent="0.2">
      <c r="C68" t="s">
        <v>322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</row>
    <row r="69" spans="3:36" x14ac:dyDescent="0.2">
      <c r="C69" t="s">
        <v>323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</row>
    <row r="70" spans="3:36" x14ac:dyDescent="0.2">
      <c r="C70" t="s">
        <v>324</v>
      </c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</row>
    <row r="71" spans="3:36" x14ac:dyDescent="0.2">
      <c r="C71" t="s">
        <v>325</v>
      </c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</row>
    <row r="73" spans="3:36" ht="15" x14ac:dyDescent="0.3">
      <c r="C73" s="104" t="s">
        <v>326</v>
      </c>
      <c r="D73" s="104">
        <v>1998</v>
      </c>
      <c r="E73" s="104">
        <v>1999</v>
      </c>
      <c r="F73" s="104">
        <v>2000</v>
      </c>
      <c r="G73" s="104">
        <v>2001</v>
      </c>
      <c r="H73" s="104">
        <v>2002</v>
      </c>
      <c r="I73" s="104">
        <v>2003</v>
      </c>
      <c r="J73" s="104">
        <v>2004</v>
      </c>
      <c r="K73" s="104">
        <v>2005</v>
      </c>
      <c r="L73" s="104">
        <v>2006</v>
      </c>
      <c r="M73" s="104">
        <v>2007</v>
      </c>
      <c r="N73" s="104">
        <v>2008</v>
      </c>
      <c r="O73" s="104">
        <v>2009</v>
      </c>
      <c r="P73" s="104">
        <v>2010</v>
      </c>
      <c r="Q73" s="104">
        <v>2011</v>
      </c>
      <c r="R73" s="104">
        <v>2012</v>
      </c>
      <c r="S73" s="104">
        <v>2013</v>
      </c>
      <c r="T73" s="104">
        <v>2014</v>
      </c>
      <c r="U73" s="104">
        <v>2015</v>
      </c>
      <c r="V73" s="104">
        <v>2016</v>
      </c>
      <c r="W73" s="104">
        <v>2017</v>
      </c>
      <c r="X73" s="104">
        <v>2018</v>
      </c>
      <c r="Y73" s="104">
        <v>2019</v>
      </c>
      <c r="Z73" s="104">
        <v>2020</v>
      </c>
      <c r="AA73" s="104">
        <v>2021</v>
      </c>
      <c r="AB73" s="104">
        <v>2022</v>
      </c>
      <c r="AC73" s="104">
        <v>2023</v>
      </c>
      <c r="AD73" s="104">
        <v>2024</v>
      </c>
      <c r="AE73" s="104">
        <v>2025</v>
      </c>
      <c r="AF73" s="104">
        <v>2026</v>
      </c>
      <c r="AG73" s="104">
        <v>2027</v>
      </c>
      <c r="AH73" s="104">
        <v>2028</v>
      </c>
      <c r="AI73" s="104">
        <v>2029</v>
      </c>
      <c r="AJ73" s="104">
        <v>2030</v>
      </c>
    </row>
    <row r="74" spans="3:36" ht="15" x14ac:dyDescent="0.3">
      <c r="C74" s="113" t="s">
        <v>327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</row>
    <row r="75" spans="3:36" ht="15" x14ac:dyDescent="0.3">
      <c r="C75" s="113" t="s">
        <v>328</v>
      </c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</row>
    <row r="76" spans="3:36" ht="15" x14ac:dyDescent="0.3">
      <c r="C76" s="113" t="s">
        <v>329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</row>
    <row r="77" spans="3:36" ht="15" x14ac:dyDescent="0.3">
      <c r="C77" s="113" t="s">
        <v>330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</row>
    <row r="78" spans="3:36" ht="15" x14ac:dyDescent="0.3">
      <c r="C78" s="113" t="s">
        <v>331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</row>
    <row r="79" spans="3:36" ht="15" x14ac:dyDescent="0.3">
      <c r="C79" s="113" t="s">
        <v>332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</row>
    <row r="80" spans="3:36" ht="15" x14ac:dyDescent="0.3">
      <c r="C80" s="113" t="s">
        <v>333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</row>
    <row r="81" spans="3:36" ht="15" x14ac:dyDescent="0.3">
      <c r="C81" s="113" t="s">
        <v>334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</row>
    <row r="82" spans="3:36" ht="15" x14ac:dyDescent="0.3">
      <c r="C82" s="113" t="s">
        <v>335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</row>
    <row r="83" spans="3:36" ht="15" x14ac:dyDescent="0.3">
      <c r="C83" s="113" t="s">
        <v>336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</row>
    <row r="84" spans="3:36" ht="15" x14ac:dyDescent="0.3">
      <c r="C84" s="113" t="s">
        <v>337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</row>
    <row r="85" spans="3:36" ht="15" x14ac:dyDescent="0.3">
      <c r="C85" s="113" t="s">
        <v>338</v>
      </c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</row>
    <row r="86" spans="3:36" ht="15" x14ac:dyDescent="0.3">
      <c r="C86" s="113" t="s">
        <v>339</v>
      </c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</row>
    <row r="87" spans="3:36" ht="15" x14ac:dyDescent="0.3">
      <c r="C87" s="113" t="s">
        <v>340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</row>
    <row r="88" spans="3:36" ht="15" x14ac:dyDescent="0.3">
      <c r="C88" s="113" t="s">
        <v>341</v>
      </c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</row>
    <row r="89" spans="3:36" ht="15" x14ac:dyDescent="0.3">
      <c r="C89" s="113" t="s">
        <v>202</v>
      </c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</row>
    <row r="90" spans="3:36" ht="15" x14ac:dyDescent="0.3">
      <c r="C90" s="113" t="s">
        <v>56</v>
      </c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</row>
    <row r="91" spans="3:36" ht="15" x14ac:dyDescent="0.3">
      <c r="C91" s="113" t="s">
        <v>342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</row>
    <row r="92" spans="3:36" ht="15" x14ac:dyDescent="0.3">
      <c r="C92" s="113" t="s">
        <v>343</v>
      </c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</row>
    <row r="93" spans="3:36" ht="15" x14ac:dyDescent="0.3">
      <c r="C93" s="113" t="s">
        <v>344</v>
      </c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</row>
    <row r="94" spans="3:36" ht="15" x14ac:dyDescent="0.3">
      <c r="C94" s="113" t="s">
        <v>345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</row>
    <row r="95" spans="3:36" ht="15" x14ac:dyDescent="0.3">
      <c r="C95" s="113" t="s">
        <v>346</v>
      </c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</row>
    <row r="96" spans="3:36" ht="15" x14ac:dyDescent="0.3">
      <c r="C96" s="113" t="s">
        <v>347</v>
      </c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</row>
    <row r="97" spans="3:36" ht="15" x14ac:dyDescent="0.3">
      <c r="C97" s="113" t="s">
        <v>348</v>
      </c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</row>
    <row r="98" spans="3:36" ht="15" x14ac:dyDescent="0.3">
      <c r="C98" s="113" t="s">
        <v>349</v>
      </c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</row>
    <row r="99" spans="3:36" ht="15" x14ac:dyDescent="0.3">
      <c r="C99" s="113" t="s">
        <v>350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</row>
    <row r="100" spans="3:36" ht="15" x14ac:dyDescent="0.3">
      <c r="C100" s="113" t="s">
        <v>351</v>
      </c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</row>
    <row r="101" spans="3:36" ht="15" x14ac:dyDescent="0.3">
      <c r="C101" s="113" t="s">
        <v>352</v>
      </c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</row>
    <row r="102" spans="3:36" ht="15" x14ac:dyDescent="0.3">
      <c r="C102" s="113" t="s">
        <v>353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</row>
    <row r="103" spans="3:36" ht="15" x14ac:dyDescent="0.3">
      <c r="C103" s="113" t="s">
        <v>354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</row>
    <row r="104" spans="3:36" ht="15" x14ac:dyDescent="0.3">
      <c r="C104" s="113" t="s">
        <v>355</v>
      </c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</row>
    <row r="105" spans="3:36" ht="15" x14ac:dyDescent="0.3">
      <c r="C105" s="113" t="s">
        <v>356</v>
      </c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</row>
    <row r="106" spans="3:36" ht="15" x14ac:dyDescent="0.3">
      <c r="C106" s="113" t="s">
        <v>357</v>
      </c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</row>
    <row r="107" spans="3:36" ht="15" x14ac:dyDescent="0.3">
      <c r="C107" s="113" t="s">
        <v>358</v>
      </c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</row>
    <row r="108" spans="3:36" ht="15" x14ac:dyDescent="0.3">
      <c r="C108" s="113" t="s">
        <v>27</v>
      </c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</row>
    <row r="109" spans="3:36" ht="15" x14ac:dyDescent="0.3">
      <c r="C109" s="114"/>
    </row>
    <row r="110" spans="3:36" ht="15" x14ac:dyDescent="0.3">
      <c r="C110" s="104" t="s">
        <v>111</v>
      </c>
      <c r="D110" s="104">
        <v>1998</v>
      </c>
      <c r="E110" s="104">
        <v>1999</v>
      </c>
      <c r="F110" s="104">
        <v>2000</v>
      </c>
      <c r="G110" s="104">
        <v>2001</v>
      </c>
      <c r="H110" s="104">
        <v>2002</v>
      </c>
      <c r="I110" s="104">
        <v>2003</v>
      </c>
      <c r="J110" s="104">
        <v>2004</v>
      </c>
      <c r="K110" s="104">
        <v>2005</v>
      </c>
      <c r="L110" s="104">
        <v>2006</v>
      </c>
      <c r="M110" s="104">
        <v>2007</v>
      </c>
      <c r="N110" s="104">
        <v>2008</v>
      </c>
      <c r="O110" s="104">
        <v>2009</v>
      </c>
      <c r="P110" s="104">
        <v>2010</v>
      </c>
      <c r="Q110" s="104">
        <v>2011</v>
      </c>
      <c r="R110" s="104">
        <v>2012</v>
      </c>
      <c r="S110" s="104">
        <v>2013</v>
      </c>
      <c r="T110" s="104">
        <v>2014</v>
      </c>
      <c r="U110" s="104">
        <v>2015</v>
      </c>
      <c r="V110" s="104">
        <v>2016</v>
      </c>
      <c r="W110" s="104">
        <v>2017</v>
      </c>
      <c r="X110" s="104">
        <v>2018</v>
      </c>
      <c r="Y110" s="104">
        <v>2019</v>
      </c>
      <c r="Z110" s="104">
        <v>2020</v>
      </c>
      <c r="AA110" s="104">
        <v>2021</v>
      </c>
      <c r="AB110" s="104">
        <v>2022</v>
      </c>
      <c r="AC110" s="104">
        <v>2023</v>
      </c>
      <c r="AD110" s="104">
        <v>2024</v>
      </c>
      <c r="AE110" s="104">
        <v>2025</v>
      </c>
      <c r="AF110" s="104">
        <v>2026</v>
      </c>
      <c r="AG110" s="104">
        <v>2027</v>
      </c>
      <c r="AH110" s="104">
        <v>2028</v>
      </c>
      <c r="AI110" s="104">
        <v>2029</v>
      </c>
      <c r="AJ110" s="104">
        <v>2030</v>
      </c>
    </row>
    <row r="111" spans="3:36" ht="15" x14ac:dyDescent="0.3">
      <c r="C111" s="115" t="s">
        <v>113</v>
      </c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10"/>
      <c r="Z111" s="105">
        <f>'Cash flow'!B5</f>
        <v>105</v>
      </c>
      <c r="AA111" s="105">
        <f>'Cash flow'!C5</f>
        <v>105</v>
      </c>
      <c r="AB111" s="105">
        <f>'Cash flow'!D5</f>
        <v>107</v>
      </c>
      <c r="AC111" s="105">
        <f>'Cash flow'!E5</f>
        <v>143</v>
      </c>
      <c r="AD111" s="105">
        <f>'Cash flow'!F5</f>
        <v>185.74838984862413</v>
      </c>
      <c r="AE111" s="105">
        <f>'Cash flow'!G5</f>
        <v>235.91870292149389</v>
      </c>
      <c r="AF111" s="105">
        <f>'Cash flow'!H5</f>
        <v>290.16862969291742</v>
      </c>
      <c r="AG111" s="105">
        <f>'Cash flow'!I5</f>
        <v>332.02874539988466</v>
      </c>
      <c r="AH111" s="105">
        <f>'Cash flow'!J5</f>
        <v>373.547609291816</v>
      </c>
      <c r="AI111" s="105">
        <f>'Cash flow'!K5</f>
        <v>417.30054344582953</v>
      </c>
      <c r="AJ111" s="105">
        <f>'Cash flow'!L5</f>
        <v>463.01394078044211</v>
      </c>
    </row>
    <row r="112" spans="3:36" ht="15" x14ac:dyDescent="0.3">
      <c r="C112" t="s">
        <v>359</v>
      </c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10"/>
      <c r="Z112" s="105">
        <f>'Cash flow'!B7</f>
        <v>-20.774999999999999</v>
      </c>
      <c r="AA112" s="105">
        <f>'Cash flow'!C7</f>
        <v>-19.994999999999997</v>
      </c>
      <c r="AB112" s="105">
        <f>'Cash flow'!D7</f>
        <v>-53.524000000000001</v>
      </c>
      <c r="AC112" s="105">
        <f>'Cash flow'!E7</f>
        <v>-101.75699999999999</v>
      </c>
      <c r="AD112" s="105">
        <f>'Cash flow'!F7</f>
        <v>-118.144165</v>
      </c>
      <c r="AE112" s="105">
        <f>'Cash flow'!G7</f>
        <v>-119.40469432010728</v>
      </c>
      <c r="AF112" s="105">
        <f>'Cash flow'!H7</f>
        <v>-119.8656078192295</v>
      </c>
      <c r="AG112" s="105">
        <f>'Cash flow'!I7</f>
        <v>-119.39109408620013</v>
      </c>
      <c r="AH112" s="105">
        <f>'Cash flow'!J7</f>
        <v>-118.32452089657853</v>
      </c>
      <c r="AI112" s="105">
        <f>'Cash flow'!K7</f>
        <v>-116.57060181637566</v>
      </c>
      <c r="AJ112" s="105">
        <f>'Cash flow'!L7</f>
        <v>-114.11571788435819</v>
      </c>
    </row>
    <row r="113" spans="3:36" ht="15" x14ac:dyDescent="0.3">
      <c r="C113" t="s">
        <v>360</v>
      </c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10"/>
      <c r="Z113" s="105">
        <f>'Cash flow'!B8</f>
        <v>-22.797999999999998</v>
      </c>
      <c r="AA113" s="105">
        <f>'Cash flow'!C8</f>
        <v>-30.402999999999999</v>
      </c>
      <c r="AB113" s="105">
        <f>'Cash flow'!D8</f>
        <v>-53.247999999999998</v>
      </c>
      <c r="AC113" s="105">
        <f>'Cash flow'!E8</f>
        <v>-43.965000000000003</v>
      </c>
      <c r="AD113" s="105">
        <f>'Cash flow'!F8</f>
        <v>-54.508845532171378</v>
      </c>
      <c r="AE113" s="105">
        <f>'Cash flow'!G8</f>
        <v>-66.05160713636829</v>
      </c>
      <c r="AF113" s="105">
        <f>'Cash flow'!H8</f>
        <v>-77.467763758338066</v>
      </c>
      <c r="AG113" s="105">
        <f>'Cash flow'!I8</f>
        <v>-88.528977872931222</v>
      </c>
      <c r="AH113" s="105">
        <f>'Cash flow'!J8</f>
        <v>-97.466082954000456</v>
      </c>
      <c r="AI113" s="105">
        <f>'Cash flow'!K8</f>
        <v>-107.49003426727921</v>
      </c>
      <c r="AJ113" s="105">
        <f>'Cash flow'!L8</f>
        <v>-119.98607884002564</v>
      </c>
    </row>
    <row r="114" spans="3:36" ht="15" x14ac:dyDescent="0.3">
      <c r="C114" t="s">
        <v>361</v>
      </c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10"/>
      <c r="Z114" s="105">
        <f>'Cash flow'!B9</f>
        <v>-39.748000000000005</v>
      </c>
      <c r="AA114" s="105">
        <f>'Cash flow'!C9</f>
        <v>42.679000000000009</v>
      </c>
      <c r="AB114" s="105">
        <f>'Cash flow'!D9</f>
        <v>9.1950000000000003</v>
      </c>
      <c r="AC114" s="105">
        <f>'Cash flow'!E9</f>
        <v>16.950000000000003</v>
      </c>
      <c r="AD114" s="105">
        <f>'Cash flow'!F9</f>
        <v>19.267921466131298</v>
      </c>
      <c r="AE114" s="105">
        <f>'Cash flow'!G9</f>
        <v>21.280133157722236</v>
      </c>
      <c r="AF114" s="105">
        <f>'Cash flow'!H9</f>
        <v>23.15351416800732</v>
      </c>
      <c r="AG114" s="105">
        <f>'Cash flow'!I9</f>
        <v>24.897666888701316</v>
      </c>
      <c r="AH114" s="105">
        <f>'Cash flow'!J9</f>
        <v>26.419485100106048</v>
      </c>
      <c r="AI114" s="105">
        <f>'Cash flow'!K9</f>
        <v>27.927178561941155</v>
      </c>
      <c r="AJ114" s="105">
        <f>'Cash flow'!L9</f>
        <v>29.405532725139189</v>
      </c>
    </row>
    <row r="115" spans="3:36" ht="15" x14ac:dyDescent="0.3">
      <c r="C115" s="115" t="s">
        <v>362</v>
      </c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10"/>
      <c r="Z115" s="105">
        <f>'Cash flow'!B6</f>
        <v>-3.32</v>
      </c>
      <c r="AA115" s="105">
        <f>'Cash flow'!C6</f>
        <v>-3.48</v>
      </c>
      <c r="AB115" s="105">
        <f>'Cash flow'!D6</f>
        <v>-26.492999999999999</v>
      </c>
      <c r="AC115" s="105">
        <f>'Cash flow'!E6</f>
        <v>-39.284999999999997</v>
      </c>
      <c r="AD115" s="105">
        <f>'Cash flow'!F6</f>
        <v>-43.213499999999996</v>
      </c>
      <c r="AE115" s="105">
        <f>'Cash flow'!G6</f>
        <v>-47.534849999999999</v>
      </c>
      <c r="AF115" s="105">
        <f>'Cash flow'!H6</f>
        <v>-52.288335000000004</v>
      </c>
      <c r="AG115" s="105">
        <f>'Cash flow'!I6</f>
        <v>-57.517168500000011</v>
      </c>
      <c r="AH115" s="105">
        <f>'Cash flow'!J6</f>
        <v>-63.268885350000019</v>
      </c>
      <c r="AI115" s="105">
        <f>'Cash flow'!K6</f>
        <v>-69.595773885000028</v>
      </c>
      <c r="AJ115" s="105">
        <f>'Cash flow'!L6</f>
        <v>-76.555351273500037</v>
      </c>
    </row>
    <row r="116" spans="3:36" ht="15" x14ac:dyDescent="0.3">
      <c r="C116" s="115" t="s">
        <v>363</v>
      </c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10"/>
      <c r="Z116" s="105">
        <f>'Cash flow'!B13</f>
        <v>0</v>
      </c>
      <c r="AA116" s="105">
        <f>'Cash flow'!C13</f>
        <v>31.332999999999998</v>
      </c>
      <c r="AB116" s="105">
        <f>'Cash flow'!D13</f>
        <v>-183.089</v>
      </c>
      <c r="AC116" s="105">
        <f>'Cash flow'!E13</f>
        <v>-63.69399999999996</v>
      </c>
      <c r="AD116" s="105">
        <f>'Cash flow'!F13</f>
        <v>0</v>
      </c>
      <c r="AE116" s="105">
        <f>'Cash flow'!G13</f>
        <v>0</v>
      </c>
      <c r="AF116" s="105">
        <f>'Cash flow'!H13</f>
        <v>0</v>
      </c>
      <c r="AG116" s="105">
        <f>'Cash flow'!I13</f>
        <v>0</v>
      </c>
      <c r="AH116" s="105">
        <f>'Cash flow'!J13</f>
        <v>0</v>
      </c>
      <c r="AI116" s="105">
        <f>'Cash flow'!K13</f>
        <v>0</v>
      </c>
      <c r="AJ116" s="105">
        <f>'Cash flow'!L13</f>
        <v>0</v>
      </c>
    </row>
    <row r="117" spans="3:36" ht="15" x14ac:dyDescent="0.3">
      <c r="C117" t="s">
        <v>364</v>
      </c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10"/>
      <c r="Z117" s="105">
        <f>'Cash flow'!B12</f>
        <v>2.0870000000000002</v>
      </c>
      <c r="AA117" s="105">
        <f>'Cash flow'!C12</f>
        <v>-19.983000000000001</v>
      </c>
      <c r="AB117" s="105">
        <f>'Cash flow'!D12</f>
        <v>-77.793000000000006</v>
      </c>
      <c r="AC117" s="105">
        <f>'Cash flow'!E12</f>
        <v>-47.658999999999999</v>
      </c>
      <c r="AD117" s="105">
        <f>'Cash flow'!F12</f>
        <v>0</v>
      </c>
      <c r="AE117" s="105">
        <f>'Cash flow'!G12</f>
        <v>0</v>
      </c>
      <c r="AF117" s="105">
        <f>'Cash flow'!H12</f>
        <v>0</v>
      </c>
      <c r="AG117" s="105">
        <f>'Cash flow'!I12</f>
        <v>0</v>
      </c>
      <c r="AH117" s="105">
        <f>'Cash flow'!J12</f>
        <v>0</v>
      </c>
      <c r="AI117" s="105">
        <f>'Cash flow'!K12</f>
        <v>0</v>
      </c>
      <c r="AJ117" s="105">
        <f>'Cash flow'!L12</f>
        <v>0</v>
      </c>
    </row>
    <row r="118" spans="3:36" ht="15" x14ac:dyDescent="0.3">
      <c r="C118" s="115" t="s">
        <v>365</v>
      </c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10"/>
      <c r="Z118" s="105">
        <f>'Cash flow'!B11</f>
        <v>-15.885</v>
      </c>
      <c r="AA118" s="105">
        <f>'Cash flow'!C11</f>
        <v>-34.566000000000003</v>
      </c>
      <c r="AB118" s="105">
        <f>'Cash flow'!D11</f>
        <v>-11.821999999999999</v>
      </c>
      <c r="AC118" s="105">
        <f>'Cash flow'!E11</f>
        <v>-50.883000000000003</v>
      </c>
      <c r="AD118" s="105">
        <f>'Cash flow'!F11</f>
        <v>-31.167444786160413</v>
      </c>
      <c r="AE118" s="105">
        <f>'Cash flow'!G11</f>
        <v>-39.57146792681425</v>
      </c>
      <c r="AF118" s="105">
        <f>'Cash flow'!H11</f>
        <v>-47.883312849044835</v>
      </c>
      <c r="AG118" s="105">
        <f>'Cash flow'!I11</f>
        <v>-55.936732175401552</v>
      </c>
      <c r="AH118" s="105">
        <f>'Cash flow'!J11</f>
        <v>-62.443635851247336</v>
      </c>
      <c r="AI118" s="105">
        <f>'Cash flow'!K11</f>
        <v>-69.741847638533315</v>
      </c>
      <c r="AJ118" s="105">
        <f>'Cash flow'!L11</f>
        <v>-78.839934505182157</v>
      </c>
    </row>
    <row r="119" spans="3:36" ht="15" x14ac:dyDescent="0.3">
      <c r="C119" s="115" t="s">
        <v>366</v>
      </c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10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</row>
    <row r="120" spans="3:36" ht="15" x14ac:dyDescent="0.3">
      <c r="C120" s="115" t="s">
        <v>154</v>
      </c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10"/>
      <c r="Z120" s="105">
        <f>'Cash flow'!B14</f>
        <v>4.5609999999999946</v>
      </c>
      <c r="AA120" s="105">
        <f>'Cash flow'!C14</f>
        <v>70.585000000000008</v>
      </c>
      <c r="AB120" s="105">
        <f>'Cash flow'!D14</f>
        <v>-289.774</v>
      </c>
      <c r="AC120" s="105">
        <f>'Cash flow'!E14</f>
        <v>-187.29299999999995</v>
      </c>
      <c r="AD120" s="105">
        <f>'Cash flow'!F14</f>
        <v>-42.017644003576379</v>
      </c>
      <c r="AE120" s="105">
        <f>'Cash flow'!G14</f>
        <v>-15.363783304073703</v>
      </c>
      <c r="AF120" s="105">
        <f>'Cash flow'!H14</f>
        <v>15.817124434312326</v>
      </c>
      <c r="AG120" s="105">
        <f>'Cash flow'!I14</f>
        <v>35.552439654053039</v>
      </c>
      <c r="AH120" s="105">
        <f>'Cash flow'!J14</f>
        <v>58.46396934009573</v>
      </c>
      <c r="AI120" s="105">
        <f>'Cash flow'!K14</f>
        <v>81.829464400582495</v>
      </c>
      <c r="AJ120" s="105">
        <f>'Cash flow'!L14</f>
        <v>102.92239100251524</v>
      </c>
    </row>
    <row r="121" spans="3:36" ht="15" x14ac:dyDescent="0.3">
      <c r="C121" s="115" t="s">
        <v>340</v>
      </c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10"/>
      <c r="Z121" s="105">
        <f>'BS and debt'!B59</f>
        <v>168.53899999999999</v>
      </c>
      <c r="AA121" s="105">
        <f>'BS and debt'!C59</f>
        <v>97.953999999999979</v>
      </c>
      <c r="AB121" s="105">
        <f>'BS and debt'!D59</f>
        <v>387.72800000000001</v>
      </c>
      <c r="AC121" s="105">
        <f>'BS and debt'!E59</f>
        <v>575.02099999999996</v>
      </c>
      <c r="AD121" s="105">
        <f>'BS and debt'!F59</f>
        <v>617.03864400357634</v>
      </c>
      <c r="AE121" s="105">
        <f>'BS and debt'!G59</f>
        <v>632.40242730764999</v>
      </c>
      <c r="AF121" s="105">
        <f>'BS and debt'!H59</f>
        <v>616.5853028733377</v>
      </c>
      <c r="AG121" s="105">
        <f>'BS and debt'!I59</f>
        <v>581.03286321928465</v>
      </c>
      <c r="AH121" s="105">
        <f>'BS and debt'!J59</f>
        <v>522.56889387918886</v>
      </c>
      <c r="AI121" s="105">
        <f>'BS and debt'!K59</f>
        <v>440.73942947860638</v>
      </c>
      <c r="AJ121" s="105">
        <f>'BS and debt'!L59</f>
        <v>337.81703847609117</v>
      </c>
    </row>
    <row r="122" spans="3:36" ht="15" x14ac:dyDescent="0.3">
      <c r="Y122" s="116"/>
      <c r="AA122" s="148">
        <f>Z121-AA120</f>
        <v>97.953999999999979</v>
      </c>
      <c r="AB122" s="148">
        <f t="shared" ref="AB122:AG122" si="6">AA121-AB120</f>
        <v>387.72799999999995</v>
      </c>
      <c r="AC122" s="148">
        <f t="shared" si="6"/>
        <v>575.02099999999996</v>
      </c>
      <c r="AD122" s="148">
        <f t="shared" si="6"/>
        <v>617.03864400357634</v>
      </c>
      <c r="AE122" s="148">
        <f t="shared" si="6"/>
        <v>632.40242730764999</v>
      </c>
      <c r="AF122" s="148">
        <f t="shared" si="6"/>
        <v>616.5853028733377</v>
      </c>
      <c r="AG122" s="148">
        <f t="shared" si="6"/>
        <v>581.03286321928465</v>
      </c>
      <c r="AH122" s="148">
        <f t="shared" ref="AH122" si="7">AG121-AH120</f>
        <v>522.56889387918886</v>
      </c>
      <c r="AI122" s="148">
        <f t="shared" ref="AI122" si="8">AH121-AI120</f>
        <v>440.73942947860638</v>
      </c>
      <c r="AJ122" s="148">
        <f t="shared" ref="AJ122" si="9">AI121-AJ120</f>
        <v>337.81703847609117</v>
      </c>
    </row>
    <row r="123" spans="3:36" ht="15" x14ac:dyDescent="0.3">
      <c r="C123" s="104" t="s">
        <v>367</v>
      </c>
      <c r="D123" s="104">
        <v>1998</v>
      </c>
      <c r="E123" s="104">
        <v>1999</v>
      </c>
      <c r="F123" s="104">
        <v>2000</v>
      </c>
      <c r="G123" s="104">
        <v>2001</v>
      </c>
      <c r="H123" s="104">
        <v>2002</v>
      </c>
      <c r="I123" s="104">
        <v>2003</v>
      </c>
      <c r="J123" s="104">
        <v>2004</v>
      </c>
      <c r="K123" s="104">
        <v>2005</v>
      </c>
      <c r="L123" s="104">
        <v>2006</v>
      </c>
      <c r="M123" s="104">
        <v>2007</v>
      </c>
      <c r="N123" s="104">
        <v>2008</v>
      </c>
      <c r="O123" s="104">
        <v>2009</v>
      </c>
      <c r="P123" s="104">
        <v>2010</v>
      </c>
      <c r="Q123" s="104">
        <v>2011</v>
      </c>
      <c r="R123" s="104">
        <v>2012</v>
      </c>
      <c r="S123" s="104">
        <v>2013</v>
      </c>
      <c r="T123" s="104">
        <v>2014</v>
      </c>
      <c r="U123" s="104">
        <v>2015</v>
      </c>
      <c r="V123" s="104">
        <v>2016</v>
      </c>
      <c r="W123" s="104">
        <v>2017</v>
      </c>
      <c r="X123" s="104">
        <v>2018</v>
      </c>
      <c r="Y123" s="117">
        <v>2019</v>
      </c>
      <c r="Z123" s="104">
        <v>2020</v>
      </c>
      <c r="AA123" s="104">
        <v>2021</v>
      </c>
      <c r="AB123" s="104">
        <v>2022</v>
      </c>
      <c r="AC123" s="104">
        <v>2023</v>
      </c>
      <c r="AD123" s="104">
        <v>2024</v>
      </c>
      <c r="AE123" s="104">
        <v>2025</v>
      </c>
      <c r="AF123" s="104">
        <v>2026</v>
      </c>
      <c r="AG123" s="104">
        <v>2027</v>
      </c>
      <c r="AH123" s="104">
        <v>2028</v>
      </c>
      <c r="AI123" s="104">
        <v>2029</v>
      </c>
      <c r="AJ123" s="104">
        <v>2030</v>
      </c>
    </row>
    <row r="124" spans="3:36" ht="15" x14ac:dyDescent="0.3">
      <c r="C124" t="s">
        <v>368</v>
      </c>
      <c r="D124" s="106"/>
      <c r="E124" s="106"/>
      <c r="F124" s="106"/>
      <c r="G124" s="106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18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</row>
    <row r="125" spans="3:36" ht="15" x14ac:dyDescent="0.3">
      <c r="C125" t="s">
        <v>369</v>
      </c>
      <c r="D125" s="106"/>
      <c r="E125" s="106"/>
      <c r="F125" s="106"/>
      <c r="G125" s="106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18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</row>
    <row r="126" spans="3:36" ht="15" x14ac:dyDescent="0.3">
      <c r="C126" t="s">
        <v>370</v>
      </c>
      <c r="D126" s="106"/>
      <c r="E126" s="106"/>
      <c r="F126" s="106"/>
      <c r="G126" s="106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18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</row>
    <row r="127" spans="3:36" ht="15" x14ac:dyDescent="0.3">
      <c r="C127" t="s">
        <v>371</v>
      </c>
      <c r="D127" s="106"/>
      <c r="E127" s="106"/>
      <c r="F127" s="106"/>
      <c r="G127" s="106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18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</row>
    <row r="128" spans="3:36" ht="15" x14ac:dyDescent="0.3">
      <c r="C128" t="s">
        <v>372</v>
      </c>
      <c r="D128" s="106"/>
      <c r="E128" s="106"/>
      <c r="F128" s="106"/>
      <c r="G128" s="106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18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</row>
    <row r="129" spans="3:36" ht="15" x14ac:dyDescent="0.3">
      <c r="C129" t="s">
        <v>373</v>
      </c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18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</row>
    <row r="130" spans="3:36" ht="15" x14ac:dyDescent="0.3">
      <c r="Y130" s="116"/>
    </row>
    <row r="131" spans="3:36" ht="15" x14ac:dyDescent="0.3">
      <c r="C131" s="104" t="s">
        <v>374</v>
      </c>
      <c r="D131" s="104">
        <v>1998</v>
      </c>
      <c r="E131" s="104">
        <v>1999</v>
      </c>
      <c r="F131" s="104">
        <v>2000</v>
      </c>
      <c r="G131" s="104">
        <v>2001</v>
      </c>
      <c r="H131" s="104">
        <v>2002</v>
      </c>
      <c r="I131" s="104">
        <v>2003</v>
      </c>
      <c r="J131" s="104">
        <v>2004</v>
      </c>
      <c r="K131" s="104">
        <v>2005</v>
      </c>
      <c r="L131" s="104">
        <v>2006</v>
      </c>
      <c r="M131" s="104">
        <v>2007</v>
      </c>
      <c r="N131" s="104">
        <v>2008</v>
      </c>
      <c r="O131" s="104">
        <v>2009</v>
      </c>
      <c r="P131" s="104">
        <v>2010</v>
      </c>
      <c r="Q131" s="104">
        <v>2011</v>
      </c>
      <c r="R131" s="104">
        <v>2012</v>
      </c>
      <c r="S131" s="104">
        <v>2013</v>
      </c>
      <c r="T131" s="104">
        <v>2014</v>
      </c>
      <c r="U131" s="104">
        <v>2015</v>
      </c>
      <c r="V131" s="104">
        <v>2016</v>
      </c>
      <c r="W131" s="104">
        <v>2017</v>
      </c>
      <c r="X131" s="104">
        <v>2018</v>
      </c>
      <c r="Y131" s="117">
        <v>2019</v>
      </c>
      <c r="Z131" s="104">
        <v>2020</v>
      </c>
      <c r="AA131" s="104">
        <v>2021</v>
      </c>
      <c r="AB131" s="104">
        <v>2022</v>
      </c>
      <c r="AC131" s="104">
        <v>2023</v>
      </c>
      <c r="AD131" s="104">
        <v>2024</v>
      </c>
      <c r="AE131" s="104">
        <v>2025</v>
      </c>
      <c r="AF131" s="104">
        <v>2026</v>
      </c>
      <c r="AG131" s="104">
        <v>2027</v>
      </c>
      <c r="AH131" s="104">
        <v>2028</v>
      </c>
      <c r="AI131" s="104">
        <v>2029</v>
      </c>
      <c r="AJ131" s="104">
        <v>2030</v>
      </c>
    </row>
    <row r="132" spans="3:36" ht="15" x14ac:dyDescent="0.3">
      <c r="C132" s="121" t="str">
        <f>Revenue!A10</f>
        <v>Madagascar</v>
      </c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18"/>
      <c r="Z132" s="120"/>
      <c r="AA132" s="120">
        <f>Revenue!C10</f>
        <v>136.04052000000001</v>
      </c>
      <c r="AB132" s="120">
        <f>Revenue!D10</f>
        <v>289.63024999999999</v>
      </c>
      <c r="AC132" s="120">
        <f>Revenue!E10</f>
        <v>326.80590000000001</v>
      </c>
      <c r="AD132" s="120">
        <f>Revenue!F10</f>
        <v>369.11461493073796</v>
      </c>
      <c r="AE132" s="120">
        <f>Revenue!G10</f>
        <v>409.73226836760983</v>
      </c>
      <c r="AF132" s="120">
        <f>Revenue!H10</f>
        <v>447.16035983593537</v>
      </c>
      <c r="AG132" s="120">
        <f>Revenue!I10</f>
        <v>484.50177181645665</v>
      </c>
      <c r="AH132" s="120">
        <f>Revenue!J10</f>
        <v>523.15797613226448</v>
      </c>
      <c r="AI132" s="120">
        <f>Revenue!K10</f>
        <v>563.16662791197803</v>
      </c>
      <c r="AJ132" s="120">
        <f>Revenue!L10</f>
        <v>604.56636257242712</v>
      </c>
    </row>
    <row r="133" spans="3:36" ht="15" x14ac:dyDescent="0.3">
      <c r="C133" s="121" t="str">
        <f>Revenue!A11</f>
        <v>Togo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10"/>
      <c r="Z133" s="120"/>
      <c r="AA133" s="120">
        <f>Revenue!C11</f>
        <v>121.46475</v>
      </c>
      <c r="AB133" s="120">
        <f>Revenue!D11</f>
        <v>182.05330000000001</v>
      </c>
      <c r="AC133" s="120">
        <f>Revenue!E11</f>
        <v>185.19001000000003</v>
      </c>
      <c r="AD133" s="120">
        <f>Revenue!F11</f>
        <v>218.9033856269595</v>
      </c>
      <c r="AE133" s="120">
        <f>Revenue!G11</f>
        <v>253.37231001874099</v>
      </c>
      <c r="AF133" s="120">
        <f>Revenue!H11</f>
        <v>283.4929241842774</v>
      </c>
      <c r="AG133" s="120">
        <f>Revenue!I11</f>
        <v>311.65763522248608</v>
      </c>
      <c r="AH133" s="120">
        <f>Revenue!J11</f>
        <v>336.987417018852</v>
      </c>
      <c r="AI133" s="120">
        <f>Revenue!K11</f>
        <v>362.31719881521792</v>
      </c>
      <c r="AJ133" s="120">
        <f>Revenue!L11</f>
        <v>387.64698061158379</v>
      </c>
    </row>
    <row r="134" spans="3:36" ht="15" x14ac:dyDescent="0.3">
      <c r="C134" s="121" t="str">
        <f>Revenue!A12</f>
        <v>Tanzania</v>
      </c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10"/>
      <c r="Z134" s="120"/>
      <c r="AA134" s="120">
        <f>Revenue!C12</f>
        <v>170.05064999999999</v>
      </c>
      <c r="AB134" s="120">
        <f>Revenue!D12</f>
        <v>281.35509999999999</v>
      </c>
      <c r="AC134" s="120">
        <f>Revenue!E12</f>
        <v>315.91237000000001</v>
      </c>
      <c r="AD134" s="120">
        <f>Revenue!F12</f>
        <v>357.02315343313046</v>
      </c>
      <c r="AE134" s="120">
        <f>Revenue!G12</f>
        <v>400.38793161500581</v>
      </c>
      <c r="AF134" s="120">
        <f>Revenue!H12</f>
        <v>441.55565949846061</v>
      </c>
      <c r="AG134" s="120">
        <f>Revenue!I12</f>
        <v>474.6122686619421</v>
      </c>
      <c r="AH134" s="120">
        <f>Revenue!J12</f>
        <v>495.53730012458715</v>
      </c>
      <c r="AI134" s="120">
        <f>Revenue!K12</f>
        <v>515.05158644218</v>
      </c>
      <c r="AJ134" s="120">
        <f>Revenue!L12</f>
        <v>532.34948325774008</v>
      </c>
    </row>
    <row r="135" spans="3:36" ht="15" x14ac:dyDescent="0.3">
      <c r="C135" s="121" t="str">
        <f>Revenue!A13</f>
        <v>Senegal</v>
      </c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10"/>
      <c r="Z135" s="120"/>
      <c r="AA135" s="120">
        <f>Revenue!C13</f>
        <v>0</v>
      </c>
      <c r="AB135" s="120">
        <f>Revenue!D13</f>
        <v>0</v>
      </c>
      <c r="AC135" s="120">
        <f>Revenue!E13</f>
        <v>130.72236000000001</v>
      </c>
      <c r="AD135" s="120">
        <f>Revenue!F13</f>
        <v>135.32526000000001</v>
      </c>
      <c r="AE135" s="120">
        <f>Revenue!G13</f>
        <v>145.58592193600003</v>
      </c>
      <c r="AF135" s="120">
        <f>Revenue!H13</f>
        <v>156.19542232000001</v>
      </c>
      <c r="AG135" s="120">
        <f>Revenue!I13</f>
        <v>168.33740609280002</v>
      </c>
      <c r="AH135" s="120">
        <f>Revenue!J13</f>
        <v>179.67613280319364</v>
      </c>
      <c r="AI135" s="120">
        <f>Revenue!K13</f>
        <v>190.15008621028767</v>
      </c>
      <c r="AJ135" s="120">
        <f>Revenue!L13</f>
        <v>199.69512014308037</v>
      </c>
    </row>
    <row r="136" spans="3:36" ht="15" x14ac:dyDescent="0.3">
      <c r="C136" s="121" t="str">
        <f>Revenue!A14</f>
        <v>Uganda</v>
      </c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10"/>
      <c r="Z136" s="120"/>
      <c r="AA136" s="120">
        <f>Revenue!C14</f>
        <v>5</v>
      </c>
      <c r="AB136" s="120">
        <f>Revenue!D14</f>
        <v>8.27515</v>
      </c>
      <c r="AC136" s="120">
        <f>Revenue!E14</f>
        <v>10.89353</v>
      </c>
      <c r="AD136" s="120">
        <f>Revenue!F14</f>
        <v>13.072236</v>
      </c>
      <c r="AE136" s="120">
        <f>Revenue!G14</f>
        <v>15.425238479999999</v>
      </c>
      <c r="AF136" s="120">
        <f>Revenue!H14</f>
        <v>17.8932766368</v>
      </c>
      <c r="AG136" s="120">
        <f>Revenue!I14</f>
        <v>20.398335365952001</v>
      </c>
      <c r="AH136" s="120">
        <f>Revenue!J14</f>
        <v>22.846135609866241</v>
      </c>
      <c r="AI136" s="120">
        <f>Revenue!K14</f>
        <v>25.130749170852866</v>
      </c>
      <c r="AJ136" s="120">
        <f>Revenue!L14</f>
        <v>27.141209104521096</v>
      </c>
    </row>
    <row r="137" spans="3:36" ht="15" x14ac:dyDescent="0.3">
      <c r="C137" s="121" t="str">
        <f>Revenue!A15</f>
        <v>Mauritius</v>
      </c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10"/>
      <c r="Z137" s="120"/>
      <c r="AA137" s="120">
        <f>Revenue!C15</f>
        <v>53.444489999999995</v>
      </c>
      <c r="AB137" s="120">
        <f>Revenue!D15</f>
        <v>74.476349999999996</v>
      </c>
      <c r="AC137" s="120">
        <f>Revenue!E15</f>
        <v>10.89353</v>
      </c>
      <c r="AD137" s="120">
        <f>Revenue!F15</f>
        <v>8.7148240000000001</v>
      </c>
      <c r="AE137" s="120">
        <f>Revenue!G15</f>
        <v>6.9718592000000008</v>
      </c>
      <c r="AF137" s="120">
        <f>Revenue!H15</f>
        <v>5.577487360000001</v>
      </c>
      <c r="AG137" s="120">
        <f>Revenue!I15</f>
        <v>4.4619898880000006</v>
      </c>
      <c r="AH137" s="120">
        <f>Revenue!J15</f>
        <v>3.5695919104000007</v>
      </c>
      <c r="AI137" s="120">
        <f>Revenue!K15</f>
        <v>2.8556735283200005</v>
      </c>
      <c r="AJ137" s="120">
        <f>Revenue!L15</f>
        <v>2.2845388226560006</v>
      </c>
    </row>
    <row r="138" spans="3:36" ht="15" x14ac:dyDescent="0.3">
      <c r="C138" s="121" t="str">
        <f>Revenue!A16</f>
        <v>Holdings &amp; adj.</v>
      </c>
      <c r="D138" s="120"/>
      <c r="E138" s="120"/>
      <c r="F138" s="120"/>
      <c r="G138" s="122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10"/>
      <c r="Z138" s="120"/>
      <c r="AA138" s="120">
        <f>Revenue!C16</f>
        <v>-0.14141000000000759</v>
      </c>
      <c r="AB138" s="120">
        <f>Revenue!D16</f>
        <v>-8.2751500000000533</v>
      </c>
      <c r="AC138" s="120">
        <f>Revenue!E16</f>
        <v>108.93529999999987</v>
      </c>
      <c r="AD138" s="120">
        <f>Revenue!F16</f>
        <v>136.16912499999984</v>
      </c>
      <c r="AE138" s="120">
        <f>Revenue!G16</f>
        <v>136.16912499999984</v>
      </c>
      <c r="AF138" s="120">
        <f>Revenue!H16</f>
        <v>136.16912499999984</v>
      </c>
      <c r="AG138" s="120">
        <f>Revenue!I16</f>
        <v>136.16912499999984</v>
      </c>
      <c r="AH138" s="120">
        <f>Revenue!J16</f>
        <v>136.16912499999984</v>
      </c>
      <c r="AI138" s="120">
        <f>Revenue!K16</f>
        <v>136.16912499999984</v>
      </c>
      <c r="AJ138" s="120">
        <f>Revenue!L16</f>
        <v>136.16912499999984</v>
      </c>
    </row>
    <row r="139" spans="3:36" ht="15" x14ac:dyDescent="0.3">
      <c r="C139" s="121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1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</row>
    <row r="140" spans="3:36" ht="15" x14ac:dyDescent="0.3">
      <c r="C140" s="119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18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</row>
    <row r="141" spans="3:36" ht="15" x14ac:dyDescent="0.3">
      <c r="C141" s="121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1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</row>
    <row r="142" spans="3:36" ht="15" x14ac:dyDescent="0.3">
      <c r="C142" s="121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1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</row>
    <row r="143" spans="3:36" ht="15" x14ac:dyDescent="0.3">
      <c r="C143" s="121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1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</row>
    <row r="144" spans="3:36" ht="15" x14ac:dyDescent="0.3">
      <c r="C144" s="121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1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</row>
    <row r="145" spans="3:36" ht="15" x14ac:dyDescent="0.3">
      <c r="C145" s="121" t="s">
        <v>56</v>
      </c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10"/>
      <c r="Z145" s="120">
        <f>'Income statment'!B39</f>
        <v>204.73299999999992</v>
      </c>
      <c r="AA145" s="120">
        <f>'Income statment'!C39</f>
        <v>259.27599999999995</v>
      </c>
      <c r="AB145" s="120">
        <f>'Income statment'!D39</f>
        <v>390.12200000000007</v>
      </c>
      <c r="AC145" s="120">
        <f>'Income statment'!E39</f>
        <v>493.57055900000034</v>
      </c>
      <c r="AD145" s="120">
        <f>'Income statment'!F39</f>
        <v>579.39447553082334</v>
      </c>
      <c r="AE145" s="120">
        <f>'Income statment'!G39</f>
        <v>644.29226176903194</v>
      </c>
      <c r="AF145" s="120">
        <f>'Income statment'!H39</f>
        <v>703.30041259761572</v>
      </c>
      <c r="AG145" s="120">
        <f>'Income statment'!I39</f>
        <v>757.22719252967499</v>
      </c>
      <c r="AH145" s="120">
        <f>'Income statment'!J39</f>
        <v>802.8048404741819</v>
      </c>
      <c r="AI145" s="120">
        <f>'Income statment'!K39</f>
        <v>847.98358155902804</v>
      </c>
      <c r="AJ145" s="120">
        <f>'Income statment'!L39</f>
        <v>895.91998341353133</v>
      </c>
    </row>
    <row r="146" spans="3:36" ht="15" x14ac:dyDescent="0.3">
      <c r="C146" s="121" t="s">
        <v>54</v>
      </c>
      <c r="D146" s="123"/>
      <c r="E146" s="123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10"/>
      <c r="Z146" s="120">
        <f>'Income statment'!B35</f>
        <v>221</v>
      </c>
      <c r="AA146" s="120">
        <f>'Income statment'!C35</f>
        <v>253</v>
      </c>
      <c r="AB146" s="120">
        <f>'Income statment'!D35</f>
        <v>376</v>
      </c>
      <c r="AC146" s="120">
        <f>'Income statment'!E35</f>
        <v>496</v>
      </c>
      <c r="AD146" s="120">
        <f>'Income statment'!F35</f>
        <v>594.39484751559723</v>
      </c>
      <c r="AE146" s="120">
        <f>'Income statment'!G35</f>
        <v>659.88854585287436</v>
      </c>
      <c r="AF146" s="120">
        <f>'Income statment'!H35</f>
        <v>721.7014635952047</v>
      </c>
      <c r="AG146" s="120">
        <f>'Income statment'!I35</f>
        <v>780.06753437322288</v>
      </c>
      <c r="AH146" s="120">
        <f>'Income statment'!J35</f>
        <v>831.99240251359004</v>
      </c>
      <c r="AI146" s="120">
        <f>'Income statment'!K35</f>
        <v>883.95921568632696</v>
      </c>
      <c r="AJ146" s="120">
        <f>'Income statment'!L35</f>
        <v>935.4771456584441</v>
      </c>
    </row>
    <row r="147" spans="3:36" ht="15" x14ac:dyDescent="0.3">
      <c r="C147" s="121" t="s">
        <v>67</v>
      </c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10"/>
      <c r="Z147" s="120">
        <f>'Income statment'!B43</f>
        <v>213.916</v>
      </c>
      <c r="AA147" s="120">
        <f>'Income statment'!C43</f>
        <v>241.47399999999999</v>
      </c>
      <c r="AB147" s="120">
        <f>'Income statment'!D43</f>
        <v>296.911</v>
      </c>
      <c r="AC147" s="120">
        <f>'Income statment'!E43</f>
        <v>366.93</v>
      </c>
      <c r="AD147" s="120">
        <f>'Income statment'!F43</f>
        <v>434.8590625155972</v>
      </c>
      <c r="AE147" s="120">
        <f>'Income statment'!G43</f>
        <v>487.97776085287438</v>
      </c>
      <c r="AF147" s="120">
        <f>'Income statment'!H43</f>
        <v>540.30317859520471</v>
      </c>
      <c r="AG147" s="120">
        <f>'Income statment'!I43</f>
        <v>591.36387437322287</v>
      </c>
      <c r="AH147" s="120">
        <f>'Income statment'!J43</f>
        <v>636.58867001358999</v>
      </c>
      <c r="AI147" s="120">
        <f>'Income statment'!K43</f>
        <v>682.63708581132687</v>
      </c>
      <c r="AJ147" s="120">
        <f>'Income statment'!L43</f>
        <v>729.18356198844413</v>
      </c>
    </row>
    <row r="148" spans="3:36" ht="15" x14ac:dyDescent="0.3">
      <c r="C148" s="119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4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</row>
    <row r="149" spans="3:36" ht="15" x14ac:dyDescent="0.3">
      <c r="C149" s="121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1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</row>
    <row r="150" spans="3:36" ht="15" x14ac:dyDescent="0.3">
      <c r="C150" s="121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1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</row>
    <row r="151" spans="3:36" ht="15" x14ac:dyDescent="0.3">
      <c r="C151" s="121"/>
      <c r="D151" s="120"/>
      <c r="E151" s="120"/>
      <c r="F151" s="123"/>
      <c r="G151" s="123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1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</row>
    <row r="152" spans="3:36" ht="15" x14ac:dyDescent="0.3">
      <c r="C152" s="121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1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</row>
    <row r="153" spans="3:36" ht="15" x14ac:dyDescent="0.3">
      <c r="C153" s="121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1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</row>
    <row r="154" spans="3:36" ht="15" x14ac:dyDescent="0.3">
      <c r="C154" s="121"/>
      <c r="D154" s="123"/>
      <c r="E154" s="123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1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</row>
    <row r="155" spans="3:36" ht="15" x14ac:dyDescent="0.3">
      <c r="C155" s="121"/>
      <c r="D155" s="123"/>
      <c r="E155" s="123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1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</row>
    <row r="156" spans="3:36" ht="15" x14ac:dyDescent="0.3">
      <c r="C156" s="119"/>
      <c r="D156" s="123"/>
      <c r="E156" s="123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18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</row>
    <row r="157" spans="3:36" ht="15" x14ac:dyDescent="0.3">
      <c r="C157" s="121"/>
      <c r="D157" s="123"/>
      <c r="E157" s="123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18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</row>
    <row r="158" spans="3:36" ht="15" x14ac:dyDescent="0.3">
      <c r="C158" s="119" t="s">
        <v>112</v>
      </c>
      <c r="D158" s="123"/>
      <c r="E158" s="123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18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</row>
    <row r="159" spans="3:36" ht="15" x14ac:dyDescent="0.3">
      <c r="C159" s="121" t="s">
        <v>375</v>
      </c>
      <c r="D159" s="123"/>
      <c r="E159" s="123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18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</row>
    <row r="160" spans="3:36" ht="15" x14ac:dyDescent="0.3">
      <c r="C160" s="121" t="s">
        <v>376</v>
      </c>
      <c r="D160" s="123"/>
      <c r="E160" s="123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18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</row>
    <row r="161" spans="1:36" ht="15" x14ac:dyDescent="0.3">
      <c r="C161" s="121" t="s">
        <v>377</v>
      </c>
      <c r="D161" s="123"/>
      <c r="E161" s="123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18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</row>
    <row r="162" spans="1:36" ht="15" x14ac:dyDescent="0.3">
      <c r="C162" s="121" t="s">
        <v>378</v>
      </c>
      <c r="D162" s="123"/>
      <c r="E162" s="123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18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</row>
    <row r="163" spans="1:36" ht="15" x14ac:dyDescent="0.3">
      <c r="C163" s="121" t="s">
        <v>379</v>
      </c>
      <c r="D163" s="123"/>
      <c r="E163" s="123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18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</row>
    <row r="164" spans="1:36" ht="15" x14ac:dyDescent="0.3">
      <c r="C164" t="s">
        <v>380</v>
      </c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18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</row>
    <row r="165" spans="1:36" ht="15" x14ac:dyDescent="0.3">
      <c r="C165" t="s">
        <v>27</v>
      </c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18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</row>
    <row r="166" spans="1:36" ht="15" x14ac:dyDescent="0.3"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18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</row>
    <row r="167" spans="1:36" ht="15" x14ac:dyDescent="0.3"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18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</row>
    <row r="168" spans="1:36" ht="15" x14ac:dyDescent="0.3"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18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</row>
    <row r="169" spans="1:36" ht="15" x14ac:dyDescent="0.3"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18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</row>
    <row r="170" spans="1:36" s="109" customFormat="1" ht="15" x14ac:dyDescent="0.3">
      <c r="A170" s="147"/>
      <c r="B170" s="147"/>
      <c r="C170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18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</row>
    <row r="171" spans="1:36" s="109" customFormat="1" ht="15" x14ac:dyDescent="0.3">
      <c r="A171" s="147"/>
      <c r="B171" s="147"/>
      <c r="C171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18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</row>
    <row r="172" spans="1:36" s="109" customFormat="1" ht="15" x14ac:dyDescent="0.3">
      <c r="A172" s="147"/>
      <c r="B172" s="147"/>
      <c r="C172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16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</row>
    <row r="173" spans="1:36" s="109" customFormat="1" ht="15.75" x14ac:dyDescent="0.35">
      <c r="A173" s="147"/>
      <c r="B173" s="147"/>
      <c r="C173" s="117" t="s">
        <v>381</v>
      </c>
      <c r="D173" s="126">
        <v>1998</v>
      </c>
      <c r="E173" s="126">
        <v>1999</v>
      </c>
      <c r="F173" s="126">
        <v>2000</v>
      </c>
      <c r="G173" s="126">
        <v>2001</v>
      </c>
      <c r="H173" s="126">
        <v>2002</v>
      </c>
      <c r="I173" s="126">
        <v>2003</v>
      </c>
      <c r="J173" s="126">
        <v>2004</v>
      </c>
      <c r="K173" s="104">
        <v>2005</v>
      </c>
      <c r="L173" s="104">
        <v>2006</v>
      </c>
      <c r="M173" s="104">
        <v>2007</v>
      </c>
      <c r="N173" s="104">
        <v>2008</v>
      </c>
      <c r="O173" s="104">
        <v>2009</v>
      </c>
      <c r="P173" s="104">
        <v>2010</v>
      </c>
      <c r="Q173" s="104">
        <v>2011</v>
      </c>
      <c r="R173" s="104">
        <v>2012</v>
      </c>
      <c r="S173" s="104">
        <v>2013</v>
      </c>
      <c r="T173" s="104">
        <v>2014</v>
      </c>
      <c r="U173" s="104">
        <v>2015</v>
      </c>
      <c r="V173" s="104">
        <v>2016</v>
      </c>
      <c r="W173" s="104">
        <v>2017</v>
      </c>
      <c r="X173" s="104">
        <v>2018</v>
      </c>
      <c r="Y173" s="117">
        <v>2019</v>
      </c>
      <c r="Z173" s="104">
        <v>2020</v>
      </c>
      <c r="AA173" s="104">
        <v>2021</v>
      </c>
      <c r="AB173" s="104">
        <v>2022</v>
      </c>
      <c r="AC173" s="104">
        <v>2023</v>
      </c>
      <c r="AD173" s="104">
        <v>2024</v>
      </c>
      <c r="AE173" s="104">
        <v>2025</v>
      </c>
      <c r="AF173" s="104">
        <v>2026</v>
      </c>
      <c r="AG173" s="104">
        <v>2027</v>
      </c>
      <c r="AH173" s="104">
        <v>2028</v>
      </c>
      <c r="AI173" s="104">
        <v>2029</v>
      </c>
      <c r="AJ173" s="104">
        <v>2030</v>
      </c>
    </row>
    <row r="174" spans="1:36" s="109" customFormat="1" ht="15" x14ac:dyDescent="0.3">
      <c r="A174" s="147"/>
      <c r="B174" s="147"/>
      <c r="C174" s="116" t="str">
        <f>Valuation!A5</f>
        <v>NPV FCF</v>
      </c>
      <c r="D174" s="151">
        <f>Valuation!B5</f>
        <v>619.09827675819577</v>
      </c>
      <c r="E174" s="150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18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</row>
    <row r="175" spans="1:36" s="109" customFormat="1" ht="15" x14ac:dyDescent="0.3">
      <c r="A175" s="147"/>
      <c r="B175" s="147"/>
      <c r="C175" s="116" t="str">
        <f>Valuation!A6</f>
        <v>Terminal multiple of FCF</v>
      </c>
      <c r="D175" s="152">
        <f>Valuation!B6</f>
        <v>9.3248787765759023</v>
      </c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18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</row>
    <row r="176" spans="1:36" s="109" customFormat="1" ht="15" x14ac:dyDescent="0.3">
      <c r="A176" s="147"/>
      <c r="B176" s="147"/>
      <c r="C176" s="116" t="str">
        <f>Valuation!A7</f>
        <v>Terminal growth</v>
      </c>
      <c r="D176" s="153">
        <f>Valuation!B7</f>
        <v>1.4999999999999999E-2</v>
      </c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18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</row>
    <row r="177" spans="1:36" s="109" customFormat="1" ht="15" x14ac:dyDescent="0.3">
      <c r="A177" s="147"/>
      <c r="B177" s="147"/>
      <c r="C177" s="116" t="str">
        <f>Valuation!A8</f>
        <v>TV</v>
      </c>
      <c r="D177" s="151">
        <f>Valuation!B8</f>
        <v>2183.6576252338714</v>
      </c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18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</row>
    <row r="178" spans="1:36" s="109" customFormat="1" ht="15" x14ac:dyDescent="0.3">
      <c r="A178" s="147"/>
      <c r="B178" s="147"/>
      <c r="C178" s="116" t="str">
        <f>Valuation!A9</f>
        <v>PV TV</v>
      </c>
      <c r="D178" s="151">
        <f>Valuation!B9</f>
        <v>773.41545939404034</v>
      </c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18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</row>
    <row r="179" spans="1:36" s="109" customFormat="1" ht="15" x14ac:dyDescent="0.3">
      <c r="A179" s="147"/>
      <c r="B179" s="147"/>
      <c r="C179" s="116" t="str">
        <f>Valuation!A10</f>
        <v>EV</v>
      </c>
      <c r="D179" s="154">
        <f>Valuation!B10</f>
        <v>1392.5137361522361</v>
      </c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18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</row>
    <row r="180" spans="1:36" s="109" customFormat="1" ht="15" x14ac:dyDescent="0.3">
      <c r="A180" s="147"/>
      <c r="B180" s="147"/>
      <c r="C180" s="116"/>
      <c r="D180" s="155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18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</row>
    <row r="181" spans="1:36" s="109" customFormat="1" ht="15" x14ac:dyDescent="0.3">
      <c r="A181" s="147"/>
      <c r="B181" s="147"/>
      <c r="C181" s="116" t="str">
        <f>Valuation!A12</f>
        <v>Other</v>
      </c>
      <c r="D181" s="151">
        <f>Valuation!B12</f>
        <v>0</v>
      </c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18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</row>
    <row r="182" spans="1:36" s="109" customFormat="1" ht="15" x14ac:dyDescent="0.3">
      <c r="A182" s="147"/>
      <c r="B182" s="147"/>
      <c r="C182" s="116" t="str">
        <f>Valuation!A13</f>
        <v>EV</v>
      </c>
      <c r="D182" s="154">
        <f>Valuation!B13</f>
        <v>1392.5137361522361</v>
      </c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18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</row>
    <row r="183" spans="1:36" s="109" customFormat="1" ht="15" x14ac:dyDescent="0.3">
      <c r="A183" s="147"/>
      <c r="B183" s="147"/>
      <c r="C183" s="116"/>
      <c r="D183" s="155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18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</row>
    <row r="184" spans="1:36" s="109" customFormat="1" ht="15" x14ac:dyDescent="0.3">
      <c r="A184" s="147"/>
      <c r="B184" s="147"/>
      <c r="C184" s="116"/>
      <c r="D184" s="155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18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</row>
    <row r="185" spans="1:36" s="109" customFormat="1" ht="15" x14ac:dyDescent="0.3">
      <c r="A185" s="147"/>
      <c r="B185" s="147"/>
      <c r="C185" s="116" t="str">
        <f>Valuation!A16</f>
        <v>EV</v>
      </c>
      <c r="D185" s="151">
        <f>Valuation!B16</f>
        <v>1392.5137361522361</v>
      </c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18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</row>
    <row r="186" spans="1:36" s="109" customFormat="1" ht="15" x14ac:dyDescent="0.3">
      <c r="A186" s="147"/>
      <c r="B186" s="147"/>
      <c r="C186" s="116" t="str">
        <f>Valuation!A17</f>
        <v>Less: Net debt (2024E)</v>
      </c>
      <c r="D186" s="151">
        <f>Valuation!B17</f>
        <v>-617.03864400357634</v>
      </c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18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</row>
    <row r="187" spans="1:36" s="109" customFormat="1" ht="15" x14ac:dyDescent="0.3">
      <c r="A187" s="147"/>
      <c r="B187" s="147"/>
      <c r="C187" s="116" t="str">
        <f>Valuation!A18</f>
        <v>Other</v>
      </c>
      <c r="D187" s="151">
        <f>Valuation!B18</f>
        <v>0</v>
      </c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18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</row>
    <row r="188" spans="1:36" s="109" customFormat="1" ht="15" x14ac:dyDescent="0.3">
      <c r="A188" s="147"/>
      <c r="B188" s="147"/>
      <c r="C188" s="116" t="str">
        <f>Valuation!A19</f>
        <v>Equity value</v>
      </c>
      <c r="D188" s="154">
        <f>Valuation!B19</f>
        <v>775.47509214865977</v>
      </c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18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</row>
    <row r="189" spans="1:36" s="109" customFormat="1" ht="15" x14ac:dyDescent="0.3">
      <c r="A189" s="147"/>
      <c r="B189" s="147"/>
      <c r="C189" s="116" t="str">
        <f>Valuation!A20</f>
        <v>As a % of EV</v>
      </c>
      <c r="D189" s="156">
        <f>Valuation!B20</f>
        <v>0.5568886482164519</v>
      </c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18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</row>
    <row r="190" spans="1:36" s="109" customFormat="1" ht="15" x14ac:dyDescent="0.3">
      <c r="A190" s="147"/>
      <c r="B190" s="147"/>
      <c r="C190" s="116"/>
      <c r="D190" s="151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18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</row>
    <row r="191" spans="1:36" s="109" customFormat="1" ht="15" x14ac:dyDescent="0.3">
      <c r="A191" s="147"/>
      <c r="B191" s="147"/>
      <c r="C191" s="116" t="str">
        <f>Valuation!A22</f>
        <v>Asset pre debt</v>
      </c>
      <c r="D191" s="151">
        <f>Valuation!B22</f>
        <v>1392.5137361522361</v>
      </c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18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</row>
    <row r="192" spans="1:36" s="109" customFormat="1" ht="15" x14ac:dyDescent="0.3">
      <c r="A192" s="147"/>
      <c r="B192" s="147"/>
      <c r="C192" s="116" t="str">
        <f>Valuation!A23</f>
        <v>Asset cover</v>
      </c>
      <c r="D192" s="157">
        <f>Valuation!B23</f>
        <v>2.2567690851857978</v>
      </c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18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</row>
    <row r="193" spans="1:36" s="109" customFormat="1" ht="15" x14ac:dyDescent="0.3">
      <c r="A193" s="147"/>
      <c r="B193" s="147"/>
      <c r="C193" s="116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18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</row>
    <row r="194" spans="1:36" s="109" customFormat="1" ht="15" x14ac:dyDescent="0.3">
      <c r="A194" s="147"/>
      <c r="B194" s="147"/>
      <c r="C194" s="116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18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</row>
    <row r="195" spans="1:36" s="109" customFormat="1" ht="15" x14ac:dyDescent="0.3">
      <c r="A195" s="147"/>
      <c r="B195" s="147"/>
      <c r="C195" s="116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18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</row>
    <row r="196" spans="1:36" s="109" customFormat="1" ht="15" x14ac:dyDescent="0.3">
      <c r="A196" s="147"/>
      <c r="B196" s="147"/>
      <c r="C196" s="116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18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</row>
    <row r="197" spans="1:36" s="109" customFormat="1" ht="15" x14ac:dyDescent="0.3">
      <c r="A197" s="147"/>
      <c r="B197" s="147"/>
      <c r="C197" s="116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18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</row>
    <row r="198" spans="1:36" s="109" customFormat="1" ht="15" x14ac:dyDescent="0.3">
      <c r="A198" s="147"/>
      <c r="B198" s="147"/>
      <c r="C198" s="116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18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</row>
    <row r="199" spans="1:36" s="109" customFormat="1" ht="15" x14ac:dyDescent="0.3">
      <c r="A199" s="147"/>
      <c r="B199" s="147"/>
      <c r="C199" s="116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18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</row>
    <row r="200" spans="1:36" s="109" customFormat="1" ht="15" x14ac:dyDescent="0.3">
      <c r="A200" s="147"/>
      <c r="B200" s="147"/>
      <c r="C200" s="116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18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</row>
    <row r="201" spans="1:36" s="109" customFormat="1" ht="15" x14ac:dyDescent="0.3">
      <c r="A201" s="147"/>
      <c r="B201" s="147"/>
      <c r="C201" s="116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18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</row>
    <row r="202" spans="1:36" s="109" customFormat="1" ht="15" x14ac:dyDescent="0.3">
      <c r="A202" s="147"/>
      <c r="B202" s="147"/>
      <c r="C202" s="116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18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</row>
    <row r="203" spans="1:36" s="109" customFormat="1" ht="15" x14ac:dyDescent="0.3">
      <c r="A203" s="147"/>
      <c r="B203" s="147"/>
      <c r="C203" s="116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18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</row>
    <row r="204" spans="1:36" s="109" customFormat="1" ht="15" x14ac:dyDescent="0.3">
      <c r="A204" s="147"/>
      <c r="B204" s="147"/>
      <c r="C204" s="116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18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</row>
    <row r="205" spans="1:36" s="109" customFormat="1" ht="15" x14ac:dyDescent="0.3">
      <c r="A205" s="147"/>
      <c r="B205" s="147"/>
      <c r="C205" s="116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18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</row>
    <row r="206" spans="1:36" s="109" customFormat="1" ht="15" x14ac:dyDescent="0.3">
      <c r="A206" s="147"/>
      <c r="B206" s="147"/>
      <c r="C206" s="116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18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</row>
    <row r="207" spans="1:36" s="109" customFormat="1" ht="15" x14ac:dyDescent="0.3">
      <c r="A207" s="147"/>
      <c r="B207" s="147"/>
      <c r="C207" s="116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18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</row>
    <row r="208" spans="1:36" s="109" customFormat="1" ht="15" x14ac:dyDescent="0.3">
      <c r="A208" s="147"/>
      <c r="B208" s="147"/>
      <c r="C208" s="116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18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</row>
    <row r="209" spans="1:36" s="109" customFormat="1" ht="15" x14ac:dyDescent="0.3">
      <c r="A209" s="147"/>
      <c r="B209" s="147"/>
      <c r="C209" s="116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18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</row>
    <row r="210" spans="1:36" s="109" customFormat="1" ht="15" x14ac:dyDescent="0.3">
      <c r="A210" s="147"/>
      <c r="B210" s="147"/>
      <c r="C210" s="116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18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</row>
    <row r="211" spans="1:36" s="109" customFormat="1" ht="15" x14ac:dyDescent="0.3">
      <c r="A211" s="147"/>
      <c r="B211" s="147"/>
      <c r="C211" s="116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18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</row>
    <row r="212" spans="1:36" s="109" customFormat="1" ht="15" x14ac:dyDescent="0.3">
      <c r="A212" s="147"/>
      <c r="B212" s="147"/>
      <c r="C212" s="116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18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</row>
    <row r="213" spans="1:36" s="109" customFormat="1" ht="15" x14ac:dyDescent="0.3">
      <c r="A213" s="147"/>
      <c r="B213" s="147"/>
      <c r="C213" s="116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18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</row>
    <row r="214" spans="1:36" s="109" customFormat="1" ht="15" x14ac:dyDescent="0.3">
      <c r="A214" s="147"/>
      <c r="B214" s="147"/>
      <c r="C214" s="116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18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</row>
    <row r="215" spans="1:36" s="109" customFormat="1" ht="15" x14ac:dyDescent="0.3">
      <c r="A215" s="147"/>
      <c r="B215" s="147"/>
      <c r="C215" s="116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18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</row>
    <row r="216" spans="1:36" s="109" customFormat="1" ht="15" x14ac:dyDescent="0.3">
      <c r="A216" s="147"/>
      <c r="B216" s="147"/>
      <c r="C216" s="116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18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</row>
    <row r="217" spans="1:36" s="109" customFormat="1" ht="15" x14ac:dyDescent="0.3">
      <c r="A217" s="147"/>
      <c r="B217" s="147"/>
      <c r="C217" s="116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18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</row>
    <row r="218" spans="1:36" s="109" customFormat="1" ht="15" x14ac:dyDescent="0.3">
      <c r="A218" s="147"/>
      <c r="B218" s="147"/>
      <c r="C218" s="116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18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</row>
    <row r="219" spans="1:36" s="109" customFormat="1" ht="15" x14ac:dyDescent="0.3">
      <c r="A219" s="147"/>
      <c r="B219" s="147"/>
      <c r="C219" s="116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18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</row>
    <row r="220" spans="1:36" s="109" customFormat="1" ht="15" x14ac:dyDescent="0.3">
      <c r="A220" s="147"/>
      <c r="B220" s="147"/>
      <c r="C220" s="116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18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</row>
    <row r="221" spans="1:36" s="109" customFormat="1" ht="15" x14ac:dyDescent="0.3">
      <c r="A221" s="147"/>
      <c r="B221" s="147"/>
      <c r="C221" s="116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</row>
    <row r="222" spans="1:36" s="109" customFormat="1" ht="15" x14ac:dyDescent="0.3">
      <c r="A222" s="147"/>
      <c r="B222" s="147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</row>
    <row r="223" spans="1:36" s="109" customFormat="1" ht="15" x14ac:dyDescent="0.3">
      <c r="A223" s="147"/>
      <c r="B223" s="147"/>
      <c r="C223" s="127"/>
      <c r="D223" s="127">
        <v>1998</v>
      </c>
      <c r="E223" s="127">
        <v>1999</v>
      </c>
      <c r="F223" s="127">
        <v>2000</v>
      </c>
      <c r="G223" s="127">
        <v>2001</v>
      </c>
      <c r="H223" s="127">
        <v>2002</v>
      </c>
      <c r="I223" s="127">
        <v>2003</v>
      </c>
      <c r="J223" s="127">
        <v>2004</v>
      </c>
      <c r="K223" s="127">
        <v>2005</v>
      </c>
      <c r="L223" s="127">
        <v>2006</v>
      </c>
      <c r="M223" s="127">
        <v>2007</v>
      </c>
      <c r="N223" s="127">
        <v>2008</v>
      </c>
      <c r="O223" s="127">
        <v>2009</v>
      </c>
      <c r="P223" s="127">
        <v>2010</v>
      </c>
      <c r="Q223" s="127">
        <v>2011</v>
      </c>
      <c r="R223" s="127">
        <v>2012</v>
      </c>
      <c r="S223" s="127">
        <v>2013</v>
      </c>
      <c r="T223" s="127">
        <v>2014</v>
      </c>
      <c r="U223" s="127">
        <v>2015</v>
      </c>
      <c r="V223" s="127">
        <v>2016</v>
      </c>
      <c r="W223" s="127">
        <v>2017</v>
      </c>
      <c r="X223" s="127">
        <v>2018</v>
      </c>
      <c r="Y223" s="127">
        <v>2019</v>
      </c>
      <c r="Z223" s="127">
        <v>2020</v>
      </c>
      <c r="AA223" s="127">
        <v>2021</v>
      </c>
      <c r="AB223" s="127">
        <v>2022</v>
      </c>
      <c r="AC223" s="127">
        <v>2023</v>
      </c>
      <c r="AD223" s="127">
        <v>2024</v>
      </c>
      <c r="AE223" s="127">
        <v>2025</v>
      </c>
      <c r="AF223" s="127">
        <v>2026</v>
      </c>
      <c r="AG223" s="127">
        <v>2027</v>
      </c>
      <c r="AH223" s="127">
        <v>2028</v>
      </c>
      <c r="AI223" s="127">
        <v>2029</v>
      </c>
      <c r="AJ223" s="127">
        <v>2030</v>
      </c>
    </row>
    <row r="224" spans="1:36" s="109" customFormat="1" ht="15" x14ac:dyDescent="0.3">
      <c r="A224" s="147"/>
      <c r="B224" s="147"/>
      <c r="C224" s="128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</row>
    <row r="225" spans="1:36" s="109" customFormat="1" x14ac:dyDescent="0.2">
      <c r="A225" s="147"/>
      <c r="B225" s="147"/>
      <c r="C225" s="130" t="s">
        <v>382</v>
      </c>
      <c r="D225" s="129"/>
      <c r="E225" s="129"/>
      <c r="F225" s="129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2"/>
      <c r="Z225" s="131"/>
      <c r="AA225" s="131"/>
      <c r="AB225" s="131"/>
      <c r="AC225" s="131"/>
      <c r="AD225" s="131"/>
      <c r="AE225" s="131"/>
      <c r="AF225" s="131"/>
      <c r="AG225" s="131"/>
      <c r="AH225" s="131"/>
      <c r="AI225" s="131"/>
      <c r="AJ225" s="131"/>
    </row>
    <row r="226" spans="1:36" s="109" customFormat="1" x14ac:dyDescent="0.2">
      <c r="A226" s="147"/>
      <c r="B226" s="147"/>
      <c r="C226" s="130" t="s">
        <v>383</v>
      </c>
      <c r="D226" s="129"/>
      <c r="E226" s="129"/>
      <c r="F226" s="129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2"/>
      <c r="Z226" s="131"/>
      <c r="AA226" s="131"/>
      <c r="AB226" s="131"/>
      <c r="AC226" s="131"/>
      <c r="AD226" s="131"/>
      <c r="AE226" s="131"/>
      <c r="AF226" s="131"/>
      <c r="AG226" s="131"/>
      <c r="AH226" s="131"/>
      <c r="AI226" s="131"/>
      <c r="AJ226" s="131"/>
    </row>
    <row r="227" spans="1:36" s="109" customFormat="1" x14ac:dyDescent="0.2">
      <c r="A227" s="147"/>
      <c r="B227" s="147"/>
      <c r="C227" s="130" t="s">
        <v>384</v>
      </c>
      <c r="D227" s="133"/>
      <c r="E227" s="133"/>
      <c r="F227" s="133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5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</row>
    <row r="228" spans="1:36" s="109" customFormat="1" x14ac:dyDescent="0.2">
      <c r="A228" s="147"/>
      <c r="B228" s="147"/>
      <c r="C228" s="130" t="s">
        <v>385</v>
      </c>
      <c r="D228" s="136"/>
      <c r="E228" s="136"/>
      <c r="F228" s="136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2"/>
      <c r="Z228" s="131"/>
      <c r="AA228" s="131"/>
      <c r="AB228" s="131"/>
      <c r="AC228" s="131"/>
      <c r="AD228" s="131"/>
      <c r="AE228" s="131"/>
      <c r="AF228" s="131"/>
      <c r="AG228" s="131"/>
      <c r="AH228" s="131"/>
      <c r="AI228" s="131"/>
      <c r="AJ228" s="131"/>
    </row>
    <row r="229" spans="1:36" s="109" customFormat="1" x14ac:dyDescent="0.2">
      <c r="A229" s="147"/>
      <c r="B229" s="147"/>
      <c r="C229" s="130" t="s">
        <v>386</v>
      </c>
      <c r="D229" s="136"/>
      <c r="E229" s="136"/>
      <c r="F229" s="136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2"/>
      <c r="Z229" s="131"/>
      <c r="AA229" s="131"/>
      <c r="AB229" s="131"/>
      <c r="AC229" s="131"/>
      <c r="AD229" s="131"/>
      <c r="AE229" s="131"/>
      <c r="AF229" s="131"/>
      <c r="AG229" s="131"/>
      <c r="AH229" s="131"/>
      <c r="AI229" s="131"/>
      <c r="AJ229" s="131"/>
    </row>
    <row r="230" spans="1:36" s="109" customFormat="1" x14ac:dyDescent="0.2">
      <c r="A230" s="147"/>
      <c r="B230" s="147"/>
      <c r="C230" s="130" t="s">
        <v>56</v>
      </c>
      <c r="D230" s="136"/>
      <c r="E230" s="136"/>
      <c r="F230" s="136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2"/>
      <c r="Z230" s="131"/>
      <c r="AA230" s="131"/>
      <c r="AB230" s="131"/>
      <c r="AC230" s="131"/>
      <c r="AD230" s="131"/>
      <c r="AE230" s="131"/>
      <c r="AF230" s="131"/>
      <c r="AG230" s="131"/>
      <c r="AH230" s="131"/>
      <c r="AI230" s="131"/>
      <c r="AJ230" s="131"/>
    </row>
    <row r="231" spans="1:36" s="109" customFormat="1" x14ac:dyDescent="0.2">
      <c r="A231" s="147"/>
      <c r="B231" s="147"/>
      <c r="C231" s="130" t="s">
        <v>113</v>
      </c>
      <c r="D231" s="136"/>
      <c r="E231" s="136"/>
      <c r="F231" s="136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2"/>
      <c r="Z231" s="131"/>
      <c r="AA231" s="131"/>
      <c r="AB231" s="131"/>
      <c r="AC231" s="131"/>
      <c r="AD231" s="131"/>
      <c r="AE231" s="131"/>
      <c r="AF231" s="131"/>
      <c r="AG231" s="131"/>
      <c r="AH231" s="131"/>
      <c r="AI231" s="131"/>
      <c r="AJ231" s="131"/>
    </row>
    <row r="232" spans="1:36" s="109" customFormat="1" x14ac:dyDescent="0.2">
      <c r="A232" s="147"/>
      <c r="B232" s="147"/>
      <c r="C232" s="130" t="s">
        <v>152</v>
      </c>
      <c r="D232" s="136"/>
      <c r="E232" s="136"/>
      <c r="F232" s="136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2"/>
      <c r="Z232" s="131"/>
      <c r="AA232" s="131"/>
      <c r="AB232" s="131"/>
      <c r="AC232" s="131"/>
      <c r="AD232" s="131"/>
      <c r="AE232" s="131"/>
      <c r="AF232" s="131"/>
      <c r="AG232" s="131"/>
      <c r="AH232" s="131"/>
      <c r="AI232" s="131"/>
      <c r="AJ232" s="131"/>
    </row>
    <row r="233" spans="1:36" s="109" customFormat="1" x14ac:dyDescent="0.2">
      <c r="A233" s="147"/>
      <c r="B233" s="147"/>
      <c r="C233" s="130" t="s">
        <v>387</v>
      </c>
      <c r="D233" s="129"/>
      <c r="E233" s="136"/>
      <c r="F233" s="136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2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</row>
    <row r="234" spans="1:36" s="109" customFormat="1" x14ac:dyDescent="0.2">
      <c r="A234" s="147"/>
      <c r="B234" s="147"/>
      <c r="C234" s="130" t="s">
        <v>388</v>
      </c>
      <c r="D234" s="129"/>
      <c r="E234" s="136"/>
      <c r="F234" s="136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2"/>
      <c r="Z234" s="131"/>
      <c r="AA234" s="131"/>
      <c r="AB234" s="131"/>
      <c r="AC234" s="131"/>
      <c r="AD234" s="131"/>
      <c r="AE234" s="131"/>
      <c r="AF234" s="131"/>
      <c r="AG234" s="131"/>
      <c r="AH234" s="131"/>
      <c r="AI234" s="131"/>
      <c r="AJ234" s="131"/>
    </row>
    <row r="235" spans="1:36" s="109" customFormat="1" x14ac:dyDescent="0.2">
      <c r="A235" s="147"/>
      <c r="B235" s="147"/>
      <c r="C235" s="130" t="s">
        <v>389</v>
      </c>
      <c r="D235" s="129"/>
      <c r="E235" s="136"/>
      <c r="F235" s="136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2"/>
      <c r="Z235" s="131"/>
      <c r="AA235" s="131"/>
      <c r="AB235" s="131"/>
      <c r="AC235" s="131"/>
      <c r="AD235" s="131"/>
      <c r="AE235" s="131"/>
      <c r="AF235" s="131"/>
      <c r="AG235" s="131"/>
      <c r="AH235" s="131"/>
      <c r="AI235" s="131"/>
      <c r="AJ235" s="131"/>
    </row>
    <row r="236" spans="1:36" s="109" customFormat="1" x14ac:dyDescent="0.2">
      <c r="A236" s="147"/>
      <c r="B236" s="147"/>
      <c r="C236" s="130" t="s">
        <v>390</v>
      </c>
      <c r="D236" s="129"/>
      <c r="E236" s="136"/>
      <c r="F236" s="136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2"/>
      <c r="Z236" s="131"/>
      <c r="AA236" s="131"/>
      <c r="AB236" s="131"/>
      <c r="AC236" s="131"/>
      <c r="AD236" s="131"/>
      <c r="AE236" s="131"/>
      <c r="AF236" s="131"/>
      <c r="AG236" s="131"/>
      <c r="AH236" s="131"/>
      <c r="AI236" s="131"/>
      <c r="AJ236" s="131"/>
    </row>
    <row r="237" spans="1:36" s="109" customFormat="1" x14ac:dyDescent="0.2">
      <c r="A237" s="147"/>
      <c r="B237" s="147"/>
      <c r="C237" s="130" t="s">
        <v>391</v>
      </c>
      <c r="D237" s="129"/>
      <c r="E237" s="136"/>
      <c r="F237" s="136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2"/>
      <c r="Z237" s="131"/>
      <c r="AA237" s="131"/>
      <c r="AB237" s="131"/>
      <c r="AC237" s="131"/>
      <c r="AD237" s="131"/>
      <c r="AE237" s="131"/>
      <c r="AF237" s="131"/>
      <c r="AG237" s="131"/>
      <c r="AH237" s="131"/>
      <c r="AI237" s="131"/>
      <c r="AJ237" s="131"/>
    </row>
    <row r="238" spans="1:36" s="109" customFormat="1" x14ac:dyDescent="0.2">
      <c r="A238" s="147"/>
      <c r="B238" s="147"/>
      <c r="C238" s="130" t="s">
        <v>392</v>
      </c>
      <c r="D238" s="129"/>
      <c r="E238" s="136"/>
      <c r="F238" s="136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2"/>
      <c r="Z238" s="131"/>
      <c r="AA238" s="131"/>
      <c r="AB238" s="131"/>
      <c r="AC238" s="131"/>
      <c r="AD238" s="131"/>
      <c r="AE238" s="131"/>
      <c r="AF238" s="131"/>
      <c r="AG238" s="131"/>
      <c r="AH238" s="131"/>
      <c r="AI238" s="131"/>
      <c r="AJ238" s="131"/>
    </row>
    <row r="239" spans="1:36" s="109" customFormat="1" x14ac:dyDescent="0.2">
      <c r="A239" s="147"/>
      <c r="B239" s="147"/>
      <c r="C239" s="130" t="s">
        <v>393</v>
      </c>
      <c r="D239" s="129"/>
      <c r="E239" s="136"/>
      <c r="F239" s="136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2"/>
      <c r="Z239" s="131"/>
      <c r="AA239" s="131"/>
      <c r="AB239" s="131"/>
      <c r="AC239" s="131"/>
      <c r="AD239" s="131"/>
      <c r="AE239" s="131"/>
      <c r="AF239" s="131"/>
      <c r="AG239" s="131"/>
      <c r="AH239" s="131"/>
      <c r="AI239" s="131"/>
      <c r="AJ239" s="131"/>
    </row>
    <row r="240" spans="1:36" s="109" customFormat="1" x14ac:dyDescent="0.2">
      <c r="A240" s="147"/>
      <c r="B240" s="147"/>
      <c r="C240" s="130" t="s">
        <v>394</v>
      </c>
      <c r="D240" s="129"/>
      <c r="E240" s="136"/>
      <c r="F240" s="136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2"/>
      <c r="Z240" s="131"/>
      <c r="AA240" s="131"/>
      <c r="AB240" s="131"/>
      <c r="AC240" s="131"/>
      <c r="AD240" s="131"/>
      <c r="AE240" s="131"/>
      <c r="AF240" s="131"/>
      <c r="AG240" s="131"/>
      <c r="AH240" s="131"/>
      <c r="AI240" s="131"/>
      <c r="AJ240" s="131"/>
    </row>
    <row r="241" spans="1:36" s="109" customFormat="1" x14ac:dyDescent="0.2">
      <c r="A241" s="147"/>
      <c r="B241" s="147"/>
      <c r="C241" s="130" t="s">
        <v>395</v>
      </c>
      <c r="D241" s="129"/>
      <c r="E241" s="136"/>
      <c r="F241" s="136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2"/>
      <c r="Z241" s="131"/>
      <c r="AA241" s="131"/>
      <c r="AB241" s="131"/>
      <c r="AC241" s="131"/>
      <c r="AD241" s="131"/>
      <c r="AE241" s="131"/>
      <c r="AF241" s="131"/>
      <c r="AG241" s="131"/>
      <c r="AH241" s="131"/>
      <c r="AI241" s="131"/>
      <c r="AJ241" s="131"/>
    </row>
    <row r="242" spans="1:36" s="109" customFormat="1" x14ac:dyDescent="0.2">
      <c r="A242" s="147"/>
      <c r="B242" s="147"/>
      <c r="C242" s="130" t="s">
        <v>396</v>
      </c>
      <c r="D242" s="129"/>
      <c r="E242" s="129"/>
      <c r="F242" s="129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2"/>
      <c r="Z242" s="131"/>
      <c r="AA242" s="131"/>
      <c r="AB242" s="131"/>
      <c r="AC242" s="131"/>
      <c r="AD242" s="131"/>
      <c r="AE242" s="131"/>
      <c r="AF242" s="131"/>
      <c r="AG242" s="131"/>
      <c r="AH242" s="131"/>
      <c r="AI242" s="131"/>
      <c r="AJ242" s="131"/>
    </row>
    <row r="243" spans="1:36" s="109" customFormat="1" x14ac:dyDescent="0.2">
      <c r="A243" s="147"/>
      <c r="B243" s="147"/>
      <c r="C243" s="130" t="s">
        <v>397</v>
      </c>
      <c r="D243" s="129"/>
      <c r="E243" s="129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2"/>
      <c r="Z243" s="131"/>
      <c r="AA243" s="131"/>
      <c r="AB243" s="131"/>
      <c r="AC243" s="131"/>
      <c r="AD243" s="131"/>
      <c r="AE243" s="131"/>
      <c r="AF243" s="131"/>
      <c r="AG243" s="131"/>
      <c r="AH243" s="131"/>
      <c r="AI243" s="131"/>
      <c r="AJ243" s="131"/>
    </row>
    <row r="244" spans="1:36" s="109" customFormat="1" x14ac:dyDescent="0.2">
      <c r="A244" s="147"/>
      <c r="B244" s="147"/>
      <c r="C244" s="130" t="s">
        <v>398</v>
      </c>
      <c r="D244" s="129"/>
      <c r="E244" s="129"/>
      <c r="F244" s="129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7"/>
      <c r="AB244" s="137"/>
      <c r="AC244" s="137"/>
      <c r="AD244" s="137"/>
      <c r="AE244" s="137"/>
      <c r="AF244" s="137"/>
      <c r="AG244" s="137"/>
      <c r="AH244" s="137"/>
      <c r="AI244" s="137"/>
      <c r="AJ244" s="137"/>
    </row>
    <row r="245" spans="1:36" s="109" customFormat="1" x14ac:dyDescent="0.2">
      <c r="A245" s="147"/>
      <c r="B245" s="147"/>
      <c r="C245" s="130"/>
      <c r="D245" s="129"/>
      <c r="E245" s="129"/>
      <c r="F245" s="129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  <c r="AA245" s="137"/>
      <c r="AB245" s="137"/>
      <c r="AC245" s="137"/>
      <c r="AD245" s="137"/>
      <c r="AE245" s="137"/>
      <c r="AF245" s="137"/>
      <c r="AG245" s="137"/>
      <c r="AH245" s="137"/>
      <c r="AI245" s="137"/>
      <c r="AJ245" s="137"/>
    </row>
    <row r="246" spans="1:36" s="109" customFormat="1" ht="15" x14ac:dyDescent="0.3">
      <c r="A246" s="147"/>
      <c r="B246" s="147"/>
      <c r="C246" s="128"/>
      <c r="D246" s="129"/>
      <c r="E246" s="129"/>
      <c r="F246" s="129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7"/>
      <c r="AB246" s="137"/>
      <c r="AC246" s="137"/>
      <c r="AD246" s="137"/>
      <c r="AE246" s="137"/>
      <c r="AF246" s="137"/>
      <c r="AG246" s="137"/>
      <c r="AH246" s="137"/>
      <c r="AI246" s="137"/>
      <c r="AJ246" s="137"/>
    </row>
    <row r="247" spans="1:36" s="109" customFormat="1" x14ac:dyDescent="0.2">
      <c r="A247" s="147"/>
      <c r="B247" s="147"/>
      <c r="C247" s="130" t="s">
        <v>382</v>
      </c>
      <c r="D247" s="129"/>
      <c r="E247" s="129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2"/>
      <c r="Z247" s="131"/>
      <c r="AA247" s="131"/>
      <c r="AB247" s="131"/>
      <c r="AC247" s="131"/>
      <c r="AD247" s="131"/>
      <c r="AE247" s="131"/>
      <c r="AF247" s="131"/>
      <c r="AG247" s="131"/>
      <c r="AH247" s="131"/>
      <c r="AI247" s="131"/>
      <c r="AJ247" s="131"/>
    </row>
    <row r="248" spans="1:36" s="109" customFormat="1" x14ac:dyDescent="0.2">
      <c r="A248" s="147"/>
      <c r="B248" s="147"/>
      <c r="C248" s="130" t="s">
        <v>383</v>
      </c>
      <c r="D248" s="129"/>
      <c r="E248" s="129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2"/>
      <c r="Z248" s="131"/>
      <c r="AA248" s="131"/>
      <c r="AB248" s="131"/>
      <c r="AC248" s="131"/>
      <c r="AD248" s="131"/>
      <c r="AE248" s="131"/>
      <c r="AF248" s="131"/>
      <c r="AG248" s="131"/>
      <c r="AH248" s="131"/>
      <c r="AI248" s="131"/>
      <c r="AJ248" s="131"/>
    </row>
    <row r="249" spans="1:36" s="109" customFormat="1" x14ac:dyDescent="0.2">
      <c r="A249" s="147"/>
      <c r="B249" s="147"/>
      <c r="C249" s="130" t="s">
        <v>384</v>
      </c>
      <c r="D249" s="129"/>
      <c r="E249" s="129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9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</row>
    <row r="250" spans="1:36" s="109" customFormat="1" x14ac:dyDescent="0.2">
      <c r="A250" s="147"/>
      <c r="B250" s="147"/>
      <c r="C250" s="130" t="s">
        <v>385</v>
      </c>
      <c r="D250" s="129"/>
      <c r="E250" s="129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2"/>
      <c r="Z250" s="131"/>
      <c r="AA250" s="131"/>
      <c r="AB250" s="131"/>
      <c r="AC250" s="131"/>
      <c r="AD250" s="131"/>
      <c r="AE250" s="131"/>
      <c r="AF250" s="131"/>
      <c r="AG250" s="131"/>
      <c r="AH250" s="131"/>
      <c r="AI250" s="131"/>
      <c r="AJ250" s="131"/>
    </row>
    <row r="251" spans="1:36" s="109" customFormat="1" x14ac:dyDescent="0.2">
      <c r="A251" s="147"/>
      <c r="B251" s="147"/>
      <c r="C251" s="130" t="s">
        <v>386</v>
      </c>
      <c r="D251" s="129"/>
      <c r="E251" s="129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2"/>
      <c r="Z251" s="131"/>
      <c r="AA251" s="131"/>
      <c r="AB251" s="131"/>
      <c r="AC251" s="131"/>
      <c r="AD251" s="131"/>
      <c r="AE251" s="131"/>
      <c r="AF251" s="131"/>
      <c r="AG251" s="131"/>
      <c r="AH251" s="131"/>
      <c r="AI251" s="131"/>
      <c r="AJ251" s="131"/>
    </row>
    <row r="252" spans="1:36" s="109" customFormat="1" x14ac:dyDescent="0.2">
      <c r="A252" s="147"/>
      <c r="B252" s="147"/>
      <c r="C252" s="130" t="s">
        <v>56</v>
      </c>
      <c r="D252" s="129"/>
      <c r="E252" s="129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1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</row>
    <row r="253" spans="1:36" s="109" customFormat="1" x14ac:dyDescent="0.2">
      <c r="A253" s="147"/>
      <c r="B253" s="147"/>
      <c r="C253" s="130" t="s">
        <v>113</v>
      </c>
      <c r="D253" s="129"/>
      <c r="E253" s="129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1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</row>
    <row r="254" spans="1:36" s="109" customFormat="1" x14ac:dyDescent="0.2">
      <c r="A254" s="147"/>
      <c r="B254" s="147"/>
      <c r="C254" s="130" t="s">
        <v>152</v>
      </c>
      <c r="D254" s="129"/>
      <c r="E254" s="129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1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</row>
    <row r="255" spans="1:36" s="109" customFormat="1" x14ac:dyDescent="0.2">
      <c r="A255" s="147"/>
      <c r="B255" s="147"/>
      <c r="C255" s="130" t="s">
        <v>387</v>
      </c>
      <c r="D255" s="129"/>
      <c r="E255" s="129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1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</row>
    <row r="256" spans="1:36" s="109" customFormat="1" x14ac:dyDescent="0.2">
      <c r="A256" s="147"/>
      <c r="B256" s="147"/>
      <c r="C256" s="130" t="s">
        <v>388</v>
      </c>
      <c r="D256" s="129"/>
      <c r="E256" s="129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1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</row>
    <row r="257" spans="1:36" s="109" customFormat="1" x14ac:dyDescent="0.2">
      <c r="A257" s="147"/>
      <c r="B257" s="147"/>
      <c r="C257" s="130" t="s">
        <v>389</v>
      </c>
      <c r="D257" s="129"/>
      <c r="E257" s="129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32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</row>
    <row r="258" spans="1:36" s="109" customFormat="1" x14ac:dyDescent="0.2">
      <c r="A258" s="147"/>
      <c r="B258" s="147"/>
      <c r="C258" s="130" t="s">
        <v>390</v>
      </c>
      <c r="D258" s="129"/>
      <c r="E258" s="129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1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</row>
    <row r="259" spans="1:36" s="109" customFormat="1" x14ac:dyDescent="0.2">
      <c r="A259" s="147"/>
      <c r="B259" s="147"/>
      <c r="C259" s="130" t="s">
        <v>391</v>
      </c>
      <c r="D259" s="129"/>
      <c r="E259" s="129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1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</row>
    <row r="260" spans="1:36" s="109" customFormat="1" x14ac:dyDescent="0.2">
      <c r="A260" s="147"/>
      <c r="B260" s="147"/>
      <c r="C260" s="130" t="s">
        <v>392</v>
      </c>
      <c r="D260" s="129"/>
      <c r="E260" s="129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1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</row>
    <row r="261" spans="1:36" s="109" customFormat="1" x14ac:dyDescent="0.2">
      <c r="A261" s="147"/>
      <c r="B261" s="147"/>
      <c r="C261" s="130" t="s">
        <v>393</v>
      </c>
      <c r="D261" s="129"/>
      <c r="E261" s="129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1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</row>
    <row r="262" spans="1:36" s="109" customFormat="1" x14ac:dyDescent="0.2">
      <c r="A262" s="147"/>
      <c r="B262" s="147"/>
      <c r="C262" s="130" t="s">
        <v>394</v>
      </c>
      <c r="D262" s="129"/>
      <c r="E262" s="129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1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</row>
    <row r="263" spans="1:36" s="109" customFormat="1" x14ac:dyDescent="0.2">
      <c r="A263" s="147"/>
      <c r="B263" s="147"/>
      <c r="C263" s="130" t="s">
        <v>395</v>
      </c>
      <c r="D263" s="129"/>
      <c r="E263" s="129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1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</row>
    <row r="264" spans="1:36" s="109" customFormat="1" x14ac:dyDescent="0.2">
      <c r="A264" s="147"/>
      <c r="B264" s="147"/>
      <c r="C264" s="130" t="s">
        <v>396</v>
      </c>
      <c r="D264" s="129"/>
      <c r="E264" s="129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2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</row>
    <row r="265" spans="1:36" s="109" customFormat="1" x14ac:dyDescent="0.2">
      <c r="A265" s="147"/>
      <c r="B265" s="147"/>
      <c r="C265" s="130" t="s">
        <v>397</v>
      </c>
      <c r="D265" s="129"/>
      <c r="E265" s="129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3"/>
      <c r="Z265" s="142"/>
      <c r="AA265" s="142"/>
      <c r="AB265" s="142"/>
      <c r="AC265" s="142"/>
      <c r="AD265" s="142"/>
      <c r="AE265" s="142"/>
      <c r="AF265" s="142"/>
      <c r="AG265" s="142"/>
      <c r="AH265" s="142"/>
      <c r="AI265" s="142"/>
      <c r="AJ265" s="142"/>
    </row>
    <row r="266" spans="1:36" s="109" customFormat="1" x14ac:dyDescent="0.2">
      <c r="A266" s="147"/>
      <c r="B266" s="147"/>
      <c r="C266" s="130" t="s">
        <v>398</v>
      </c>
      <c r="D266" s="129"/>
      <c r="E266" s="129"/>
      <c r="F266" s="129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2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</row>
    <row r="267" spans="1:36" s="109" customFormat="1" x14ac:dyDescent="0.2">
      <c r="A267" s="147"/>
      <c r="B267" s="147"/>
      <c r="C267" s="130"/>
      <c r="D267" s="129"/>
      <c r="E267" s="129"/>
      <c r="F267" s="129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  <c r="AA267" s="137"/>
      <c r="AB267" s="137"/>
      <c r="AC267" s="137"/>
      <c r="AD267" s="137"/>
      <c r="AE267" s="137"/>
      <c r="AF267" s="137"/>
      <c r="AG267" s="137"/>
      <c r="AH267" s="137"/>
      <c r="AI267" s="137"/>
      <c r="AJ267" s="137"/>
    </row>
    <row r="268" spans="1:36" s="109" customFormat="1" ht="15" x14ac:dyDescent="0.3">
      <c r="A268" s="147"/>
      <c r="B268" s="147"/>
      <c r="C268" s="128"/>
      <c r="D268" s="129"/>
      <c r="E268" s="129"/>
      <c r="F268" s="129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  <c r="AI268" s="137"/>
      <c r="AJ268" s="137"/>
    </row>
    <row r="269" spans="1:36" s="109" customFormat="1" x14ac:dyDescent="0.2">
      <c r="A269" s="147"/>
      <c r="B269" s="147"/>
      <c r="C269" s="130" t="s">
        <v>382</v>
      </c>
      <c r="D269" s="129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2"/>
      <c r="Z269" s="131"/>
      <c r="AA269" s="131"/>
      <c r="AB269" s="131"/>
      <c r="AC269" s="131"/>
      <c r="AD269" s="131"/>
      <c r="AE269" s="131"/>
      <c r="AF269" s="131"/>
      <c r="AG269" s="131"/>
      <c r="AH269" s="131"/>
      <c r="AI269" s="131"/>
      <c r="AJ269" s="131"/>
    </row>
    <row r="270" spans="1:36" s="109" customFormat="1" x14ac:dyDescent="0.2">
      <c r="A270" s="147"/>
      <c r="B270" s="147"/>
      <c r="C270" s="130" t="s">
        <v>383</v>
      </c>
      <c r="D270" s="129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2"/>
      <c r="Z270" s="131"/>
      <c r="AA270" s="131"/>
      <c r="AB270" s="131"/>
      <c r="AC270" s="131"/>
      <c r="AD270" s="131"/>
      <c r="AE270" s="131"/>
      <c r="AF270" s="131"/>
      <c r="AG270" s="131"/>
      <c r="AH270" s="131"/>
      <c r="AI270" s="131"/>
      <c r="AJ270" s="131"/>
    </row>
    <row r="271" spans="1:36" s="109" customFormat="1" x14ac:dyDescent="0.2">
      <c r="A271" s="147"/>
      <c r="B271" s="147"/>
      <c r="C271" s="130" t="s">
        <v>384</v>
      </c>
      <c r="D271" s="133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5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</row>
    <row r="272" spans="1:36" s="109" customFormat="1" x14ac:dyDescent="0.2">
      <c r="A272" s="147"/>
      <c r="B272" s="147"/>
      <c r="C272" s="130" t="s">
        <v>385</v>
      </c>
      <c r="D272" s="136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2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</row>
    <row r="273" spans="1:36" s="109" customFormat="1" x14ac:dyDescent="0.2">
      <c r="A273" s="147"/>
      <c r="B273" s="147"/>
      <c r="C273" s="130" t="s">
        <v>386</v>
      </c>
      <c r="D273" s="136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2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</row>
    <row r="274" spans="1:36" x14ac:dyDescent="0.2">
      <c r="C274" s="130" t="s">
        <v>56</v>
      </c>
      <c r="D274" s="136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2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31"/>
    </row>
    <row r="275" spans="1:36" x14ac:dyDescent="0.2">
      <c r="C275" s="130" t="s">
        <v>113</v>
      </c>
      <c r="D275" s="136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2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31"/>
    </row>
    <row r="276" spans="1:36" x14ac:dyDescent="0.2">
      <c r="C276" s="130" t="s">
        <v>152</v>
      </c>
      <c r="D276" s="136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2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</row>
    <row r="277" spans="1:36" x14ac:dyDescent="0.2">
      <c r="C277" s="130" t="s">
        <v>387</v>
      </c>
      <c r="D277" s="129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2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</row>
    <row r="278" spans="1:36" x14ac:dyDescent="0.2">
      <c r="C278" s="130" t="s">
        <v>388</v>
      </c>
      <c r="D278" s="129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2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31"/>
    </row>
    <row r="279" spans="1:36" x14ac:dyDescent="0.2">
      <c r="C279" s="130" t="s">
        <v>389</v>
      </c>
      <c r="D279" s="129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2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</row>
    <row r="280" spans="1:36" x14ac:dyDescent="0.2">
      <c r="C280" s="130" t="s">
        <v>390</v>
      </c>
      <c r="D280" s="129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2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31"/>
    </row>
    <row r="281" spans="1:36" x14ac:dyDescent="0.2">
      <c r="C281" s="130" t="s">
        <v>391</v>
      </c>
      <c r="D281" s="129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2"/>
      <c r="Z281" s="131"/>
      <c r="AA281" s="131"/>
      <c r="AB281" s="131"/>
      <c r="AC281" s="131"/>
      <c r="AD281" s="131"/>
      <c r="AE281" s="131"/>
      <c r="AF281" s="131"/>
      <c r="AG281" s="131"/>
      <c r="AH281" s="131"/>
      <c r="AI281" s="131"/>
      <c r="AJ281" s="131"/>
    </row>
    <row r="282" spans="1:36" x14ac:dyDescent="0.2">
      <c r="C282" s="130" t="s">
        <v>392</v>
      </c>
      <c r="D282" s="129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2"/>
      <c r="Z282" s="131"/>
      <c r="AA282" s="131"/>
      <c r="AB282" s="131"/>
      <c r="AC282" s="131"/>
      <c r="AD282" s="131"/>
      <c r="AE282" s="131"/>
      <c r="AF282" s="131"/>
      <c r="AG282" s="131"/>
      <c r="AH282" s="131"/>
      <c r="AI282" s="131"/>
      <c r="AJ282" s="131"/>
    </row>
    <row r="283" spans="1:36" x14ac:dyDescent="0.2">
      <c r="C283" s="130" t="s">
        <v>393</v>
      </c>
      <c r="D283" s="129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2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31"/>
    </row>
    <row r="284" spans="1:36" x14ac:dyDescent="0.2">
      <c r="C284" s="130" t="s">
        <v>394</v>
      </c>
      <c r="D284" s="129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2"/>
      <c r="Z284" s="131"/>
      <c r="AA284" s="131"/>
      <c r="AB284" s="131"/>
      <c r="AC284" s="131"/>
      <c r="AD284" s="131"/>
      <c r="AE284" s="131"/>
      <c r="AF284" s="131"/>
      <c r="AG284" s="131"/>
      <c r="AH284" s="131"/>
      <c r="AI284" s="131"/>
      <c r="AJ284" s="131"/>
    </row>
    <row r="285" spans="1:36" x14ac:dyDescent="0.2">
      <c r="C285" s="130" t="s">
        <v>395</v>
      </c>
      <c r="D285" s="129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2"/>
      <c r="Z285" s="131"/>
      <c r="AA285" s="131"/>
      <c r="AB285" s="131"/>
      <c r="AC285" s="131"/>
      <c r="AD285" s="131"/>
      <c r="AE285" s="131"/>
      <c r="AF285" s="131"/>
      <c r="AG285" s="131"/>
      <c r="AH285" s="131"/>
      <c r="AI285" s="131"/>
      <c r="AJ285" s="131"/>
    </row>
    <row r="286" spans="1:36" x14ac:dyDescent="0.2">
      <c r="C286" s="130" t="s">
        <v>396</v>
      </c>
      <c r="D286" s="129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  <c r="AA286" s="137"/>
      <c r="AB286" s="137"/>
      <c r="AC286" s="137"/>
      <c r="AD286" s="137"/>
      <c r="AE286" s="137"/>
      <c r="AF286" s="137"/>
      <c r="AG286" s="137"/>
      <c r="AH286" s="137"/>
      <c r="AI286" s="137"/>
      <c r="AJ286" s="137"/>
    </row>
    <row r="287" spans="1:36" x14ac:dyDescent="0.2">
      <c r="C287" s="130" t="s">
        <v>397</v>
      </c>
      <c r="D287" s="129"/>
      <c r="E287" s="131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3"/>
      <c r="Z287" s="142"/>
      <c r="AA287" s="142"/>
      <c r="AB287" s="142"/>
      <c r="AC287" s="142"/>
      <c r="AD287" s="142"/>
      <c r="AE287" s="142"/>
      <c r="AF287" s="142"/>
      <c r="AG287" s="142"/>
      <c r="AH287" s="142"/>
      <c r="AI287" s="142"/>
      <c r="AJ287" s="142"/>
    </row>
    <row r="288" spans="1:36" x14ac:dyDescent="0.2">
      <c r="C288" s="130" t="s">
        <v>398</v>
      </c>
      <c r="D288" s="129"/>
      <c r="E288" s="129"/>
      <c r="F288" s="129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  <c r="AA288" s="137"/>
      <c r="AB288" s="137"/>
      <c r="AC288" s="137"/>
      <c r="AD288" s="137"/>
      <c r="AE288" s="137"/>
      <c r="AF288" s="137"/>
      <c r="AG288" s="137"/>
      <c r="AH288" s="137"/>
      <c r="AI288" s="137"/>
      <c r="AJ288" s="137"/>
    </row>
    <row r="289" spans="3:36" x14ac:dyDescent="0.2">
      <c r="C289" s="130"/>
      <c r="D289" s="129"/>
      <c r="E289" s="129"/>
      <c r="F289" s="129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  <c r="AA289" s="137"/>
      <c r="AB289" s="137"/>
      <c r="AC289" s="137"/>
      <c r="AD289" s="137"/>
      <c r="AE289" s="137"/>
      <c r="AF289" s="137"/>
      <c r="AG289" s="137"/>
      <c r="AH289" s="137"/>
      <c r="AI289" s="137"/>
      <c r="AJ289" s="137"/>
    </row>
    <row r="290" spans="3:36" ht="15" x14ac:dyDescent="0.3">
      <c r="C290" s="128"/>
      <c r="D290" s="129"/>
      <c r="E290" s="129"/>
      <c r="F290" s="129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  <c r="AA290" s="137"/>
      <c r="AB290" s="137"/>
      <c r="AC290" s="137"/>
      <c r="AD290" s="137"/>
      <c r="AE290" s="137"/>
      <c r="AF290" s="137"/>
      <c r="AG290" s="137"/>
      <c r="AH290" s="137"/>
      <c r="AI290" s="137"/>
      <c r="AJ290" s="137"/>
    </row>
    <row r="291" spans="3:36" x14ac:dyDescent="0.2">
      <c r="C291" s="130" t="s">
        <v>382</v>
      </c>
      <c r="D291" s="129"/>
      <c r="E291" s="129"/>
      <c r="F291" s="129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2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</row>
    <row r="292" spans="3:36" x14ac:dyDescent="0.2">
      <c r="C292" s="130" t="s">
        <v>383</v>
      </c>
      <c r="D292" s="129"/>
      <c r="E292" s="129"/>
      <c r="F292" s="129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2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</row>
    <row r="293" spans="3:36" x14ac:dyDescent="0.2">
      <c r="C293" s="130" t="s">
        <v>384</v>
      </c>
      <c r="D293" s="129"/>
      <c r="E293" s="129"/>
      <c r="F293" s="129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5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</row>
    <row r="294" spans="3:36" x14ac:dyDescent="0.2">
      <c r="C294" s="130" t="s">
        <v>385</v>
      </c>
      <c r="D294" s="129"/>
      <c r="E294" s="129"/>
      <c r="F294" s="129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2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</row>
    <row r="295" spans="3:36" x14ac:dyDescent="0.2">
      <c r="C295" s="130" t="s">
        <v>386</v>
      </c>
      <c r="D295" s="129"/>
      <c r="E295" s="129"/>
      <c r="F295" s="129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1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</row>
    <row r="296" spans="3:36" x14ac:dyDescent="0.2">
      <c r="C296" s="130" t="s">
        <v>56</v>
      </c>
      <c r="D296" s="129"/>
      <c r="E296" s="129"/>
      <c r="F296" s="129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1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</row>
    <row r="297" spans="3:36" x14ac:dyDescent="0.2">
      <c r="C297" s="130" t="s">
        <v>113</v>
      </c>
      <c r="D297" s="129"/>
      <c r="E297" s="129"/>
      <c r="F297" s="129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1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</row>
    <row r="298" spans="3:36" x14ac:dyDescent="0.2">
      <c r="C298" s="130" t="s">
        <v>152</v>
      </c>
      <c r="D298" s="129"/>
      <c r="E298" s="129"/>
      <c r="F298" s="129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1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</row>
    <row r="299" spans="3:36" x14ac:dyDescent="0.2">
      <c r="C299" s="130" t="s">
        <v>387</v>
      </c>
      <c r="D299" s="129"/>
      <c r="E299" s="129"/>
      <c r="F299" s="129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1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</row>
    <row r="300" spans="3:36" x14ac:dyDescent="0.2">
      <c r="C300" s="130" t="s">
        <v>388</v>
      </c>
      <c r="D300" s="129"/>
      <c r="E300" s="129"/>
      <c r="F300" s="129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1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</row>
    <row r="301" spans="3:36" x14ac:dyDescent="0.2">
      <c r="C301" s="130" t="s">
        <v>389</v>
      </c>
      <c r="D301" s="129"/>
      <c r="E301" s="129"/>
      <c r="F301" s="129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32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</row>
    <row r="302" spans="3:36" x14ac:dyDescent="0.2">
      <c r="C302" s="130" t="s">
        <v>390</v>
      </c>
      <c r="D302" s="129"/>
      <c r="E302" s="129"/>
      <c r="F302" s="129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1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</row>
    <row r="303" spans="3:36" x14ac:dyDescent="0.2">
      <c r="C303" s="130" t="s">
        <v>391</v>
      </c>
      <c r="D303" s="129"/>
      <c r="E303" s="129"/>
      <c r="F303" s="129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1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</row>
    <row r="304" spans="3:36" x14ac:dyDescent="0.2">
      <c r="C304" s="130" t="s">
        <v>392</v>
      </c>
      <c r="D304" s="129"/>
      <c r="E304" s="129"/>
      <c r="F304" s="129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1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</row>
    <row r="305" spans="3:36" x14ac:dyDescent="0.2">
      <c r="C305" s="130" t="s">
        <v>393</v>
      </c>
      <c r="D305" s="129"/>
      <c r="E305" s="129"/>
      <c r="F305" s="129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1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</row>
    <row r="306" spans="3:36" x14ac:dyDescent="0.2">
      <c r="C306" s="130" t="s">
        <v>394</v>
      </c>
      <c r="D306" s="129"/>
      <c r="E306" s="129"/>
      <c r="F306" s="129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5"/>
      <c r="Z306" s="144"/>
      <c r="AA306" s="144"/>
      <c r="AB306" s="144"/>
      <c r="AC306" s="144"/>
      <c r="AD306" s="144"/>
      <c r="AE306" s="144"/>
      <c r="AF306" s="144"/>
      <c r="AG306" s="144"/>
      <c r="AH306" s="144"/>
      <c r="AI306" s="144"/>
      <c r="AJ306" s="144"/>
    </row>
    <row r="307" spans="3:36" x14ac:dyDescent="0.2">
      <c r="C307" s="130" t="s">
        <v>395</v>
      </c>
      <c r="D307" s="129"/>
      <c r="E307" s="129"/>
      <c r="F307" s="129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5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</row>
    <row r="308" spans="3:36" x14ac:dyDescent="0.2">
      <c r="C308" s="130" t="s">
        <v>396</v>
      </c>
      <c r="D308" s="129"/>
      <c r="E308" s="129"/>
      <c r="F308" s="129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137"/>
      <c r="AB308" s="137"/>
      <c r="AC308" s="137"/>
      <c r="AD308" s="137"/>
      <c r="AE308" s="137"/>
      <c r="AF308" s="137"/>
      <c r="AG308" s="137"/>
      <c r="AH308" s="137"/>
      <c r="AI308" s="137"/>
      <c r="AJ308" s="137"/>
    </row>
    <row r="309" spans="3:36" x14ac:dyDescent="0.2">
      <c r="C309" s="130" t="s">
        <v>397</v>
      </c>
      <c r="D309" s="129"/>
      <c r="E309" s="129"/>
      <c r="F309" s="129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  <c r="AA309" s="137"/>
      <c r="AB309" s="137"/>
      <c r="AC309" s="137"/>
      <c r="AD309" s="137"/>
      <c r="AE309" s="137"/>
      <c r="AF309" s="137"/>
      <c r="AG309" s="137"/>
      <c r="AH309" s="137"/>
      <c r="AI309" s="137"/>
      <c r="AJ309" s="137"/>
    </row>
    <row r="310" spans="3:36" x14ac:dyDescent="0.2">
      <c r="C310" s="130" t="s">
        <v>398</v>
      </c>
      <c r="D310" s="129"/>
      <c r="E310" s="129"/>
      <c r="F310" s="129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  <c r="AF310" s="137"/>
      <c r="AG310" s="137"/>
      <c r="AH310" s="137"/>
      <c r="AI310" s="137"/>
      <c r="AJ310" s="137"/>
    </row>
    <row r="311" spans="3:36" x14ac:dyDescent="0.2">
      <c r="C311" s="130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  <c r="AA311" s="129"/>
      <c r="AB311" s="129"/>
      <c r="AC311" s="129"/>
      <c r="AD311" s="129"/>
      <c r="AE311" s="129"/>
      <c r="AF311" s="129"/>
      <c r="AG311" s="129"/>
      <c r="AH311" s="129"/>
      <c r="AI311" s="129"/>
      <c r="AJ311" s="129"/>
    </row>
    <row r="312" spans="3:36" ht="15" x14ac:dyDescent="0.3">
      <c r="C312" s="128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  <c r="AB312" s="129"/>
      <c r="AC312" s="129"/>
      <c r="AD312" s="129"/>
      <c r="AE312" s="129"/>
      <c r="AF312" s="129"/>
      <c r="AG312" s="129"/>
      <c r="AH312" s="129"/>
      <c r="AI312" s="129"/>
      <c r="AJ312" s="129"/>
    </row>
    <row r="313" spans="3:36" x14ac:dyDescent="0.2">
      <c r="C313" s="130" t="s">
        <v>382</v>
      </c>
      <c r="D313" s="129"/>
      <c r="E313" s="129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2"/>
      <c r="Z313" s="131"/>
      <c r="AA313" s="131"/>
      <c r="AB313" s="131"/>
      <c r="AC313" s="131"/>
      <c r="AD313" s="131"/>
      <c r="AE313" s="131"/>
      <c r="AF313" s="131"/>
      <c r="AG313" s="131"/>
      <c r="AH313" s="131"/>
      <c r="AI313" s="131"/>
      <c r="AJ313" s="131"/>
    </row>
    <row r="314" spans="3:36" x14ac:dyDescent="0.2">
      <c r="C314" s="130" t="s">
        <v>383</v>
      </c>
      <c r="D314" s="129"/>
      <c r="E314" s="129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2"/>
      <c r="Z314" s="131"/>
      <c r="AA314" s="131"/>
      <c r="AB314" s="131"/>
      <c r="AC314" s="131"/>
      <c r="AD314" s="131"/>
      <c r="AE314" s="131"/>
      <c r="AF314" s="131"/>
      <c r="AG314" s="131"/>
      <c r="AH314" s="131"/>
      <c r="AI314" s="131"/>
      <c r="AJ314" s="131"/>
    </row>
    <row r="315" spans="3:36" x14ac:dyDescent="0.2">
      <c r="C315" s="130" t="s">
        <v>384</v>
      </c>
      <c r="D315" s="133"/>
      <c r="E315" s="133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5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</row>
    <row r="316" spans="3:36" x14ac:dyDescent="0.2">
      <c r="C316" s="130" t="s">
        <v>385</v>
      </c>
      <c r="D316" s="136"/>
      <c r="E316" s="136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2"/>
      <c r="Z316" s="131"/>
      <c r="AA316" s="131"/>
      <c r="AB316" s="131"/>
      <c r="AC316" s="131"/>
      <c r="AD316" s="131"/>
      <c r="AE316" s="131"/>
      <c r="AF316" s="131"/>
      <c r="AG316" s="131"/>
      <c r="AH316" s="131"/>
      <c r="AI316" s="131"/>
      <c r="AJ316" s="131"/>
    </row>
    <row r="317" spans="3:36" x14ac:dyDescent="0.2">
      <c r="C317" s="130" t="s">
        <v>386</v>
      </c>
      <c r="D317" s="136"/>
      <c r="E317" s="136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2"/>
      <c r="Z317" s="131"/>
      <c r="AA317" s="131"/>
      <c r="AB317" s="131"/>
      <c r="AC317" s="131"/>
      <c r="AD317" s="131"/>
      <c r="AE317" s="131"/>
      <c r="AF317" s="131"/>
      <c r="AG317" s="131"/>
      <c r="AH317" s="131"/>
      <c r="AI317" s="131"/>
      <c r="AJ317" s="131"/>
    </row>
    <row r="318" spans="3:36" x14ac:dyDescent="0.2">
      <c r="C318" s="130" t="s">
        <v>56</v>
      </c>
      <c r="D318" s="136"/>
      <c r="E318" s="136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2"/>
      <c r="Z318" s="131"/>
      <c r="AA318" s="131"/>
      <c r="AB318" s="131"/>
      <c r="AC318" s="131"/>
      <c r="AD318" s="131"/>
      <c r="AE318" s="131"/>
      <c r="AF318" s="131"/>
      <c r="AG318" s="131"/>
      <c r="AH318" s="131"/>
      <c r="AI318" s="131"/>
      <c r="AJ318" s="131"/>
    </row>
    <row r="319" spans="3:36" x14ac:dyDescent="0.2">
      <c r="C319" s="130" t="s">
        <v>113</v>
      </c>
      <c r="D319" s="136"/>
      <c r="E319" s="136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2"/>
      <c r="Z319" s="131"/>
      <c r="AA319" s="131"/>
      <c r="AB319" s="131"/>
      <c r="AC319" s="131"/>
      <c r="AD319" s="131"/>
      <c r="AE319" s="131"/>
      <c r="AF319" s="131"/>
      <c r="AG319" s="131"/>
      <c r="AH319" s="131"/>
      <c r="AI319" s="131"/>
      <c r="AJ319" s="131"/>
    </row>
    <row r="320" spans="3:36" x14ac:dyDescent="0.2">
      <c r="C320" s="130" t="s">
        <v>152</v>
      </c>
      <c r="D320" s="136"/>
      <c r="E320" s="136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2"/>
      <c r="Z320" s="131"/>
      <c r="AA320" s="131"/>
      <c r="AB320" s="131"/>
      <c r="AC320" s="131"/>
      <c r="AD320" s="131"/>
      <c r="AE320" s="131"/>
      <c r="AF320" s="131"/>
      <c r="AG320" s="131"/>
      <c r="AH320" s="131"/>
      <c r="AI320" s="131"/>
      <c r="AJ320" s="131"/>
    </row>
    <row r="321" spans="1:36" x14ac:dyDescent="0.2">
      <c r="C321" s="130" t="s">
        <v>387</v>
      </c>
      <c r="D321" s="129"/>
      <c r="E321" s="136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2"/>
      <c r="Z321" s="131"/>
      <c r="AA321" s="131"/>
      <c r="AB321" s="131"/>
      <c r="AC321" s="131"/>
      <c r="AD321" s="131"/>
      <c r="AE321" s="131"/>
      <c r="AF321" s="131"/>
      <c r="AG321" s="131"/>
      <c r="AH321" s="131"/>
      <c r="AI321" s="131"/>
      <c r="AJ321" s="131"/>
    </row>
    <row r="322" spans="1:36" x14ac:dyDescent="0.2">
      <c r="C322" s="130" t="s">
        <v>388</v>
      </c>
      <c r="D322" s="129"/>
      <c r="E322" s="136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2"/>
      <c r="Z322" s="131"/>
      <c r="AA322" s="131"/>
      <c r="AB322" s="131"/>
      <c r="AC322" s="131"/>
      <c r="AD322" s="131"/>
      <c r="AE322" s="131"/>
      <c r="AF322" s="131"/>
      <c r="AG322" s="131"/>
      <c r="AH322" s="131"/>
      <c r="AI322" s="131"/>
      <c r="AJ322" s="131"/>
    </row>
    <row r="323" spans="1:36" x14ac:dyDescent="0.2">
      <c r="C323" s="130" t="s">
        <v>389</v>
      </c>
      <c r="D323" s="129"/>
      <c r="E323" s="136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2"/>
      <c r="Z323" s="131"/>
      <c r="AA323" s="131"/>
      <c r="AB323" s="131"/>
      <c r="AC323" s="131"/>
      <c r="AD323" s="131"/>
      <c r="AE323" s="131"/>
      <c r="AF323" s="131"/>
      <c r="AG323" s="131"/>
      <c r="AH323" s="131"/>
      <c r="AI323" s="131"/>
      <c r="AJ323" s="131"/>
    </row>
    <row r="324" spans="1:36" s="109" customFormat="1" x14ac:dyDescent="0.2">
      <c r="A324" s="147"/>
      <c r="B324" s="147"/>
      <c r="C324" s="130" t="s">
        <v>390</v>
      </c>
      <c r="D324" s="129"/>
      <c r="E324" s="136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2"/>
      <c r="Z324" s="131"/>
      <c r="AA324" s="131"/>
      <c r="AB324" s="131"/>
      <c r="AC324" s="131"/>
      <c r="AD324" s="131"/>
      <c r="AE324" s="131"/>
      <c r="AF324" s="131"/>
      <c r="AG324" s="131"/>
      <c r="AH324" s="131"/>
      <c r="AI324" s="131"/>
      <c r="AJ324" s="131"/>
    </row>
    <row r="325" spans="1:36" x14ac:dyDescent="0.2">
      <c r="C325" s="130" t="s">
        <v>391</v>
      </c>
      <c r="D325" s="129"/>
      <c r="E325" s="136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2"/>
      <c r="Z325" s="131"/>
      <c r="AA325" s="131"/>
      <c r="AB325" s="131"/>
      <c r="AC325" s="131"/>
      <c r="AD325" s="131"/>
      <c r="AE325" s="131"/>
      <c r="AF325" s="131"/>
      <c r="AG325" s="131"/>
      <c r="AH325" s="131"/>
      <c r="AI325" s="131"/>
      <c r="AJ325" s="131"/>
    </row>
    <row r="326" spans="1:36" x14ac:dyDescent="0.2">
      <c r="C326" s="130" t="s">
        <v>392</v>
      </c>
      <c r="D326" s="129"/>
      <c r="E326" s="136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2"/>
      <c r="Z326" s="131"/>
      <c r="AA326" s="131"/>
      <c r="AB326" s="131"/>
      <c r="AC326" s="131"/>
      <c r="AD326" s="131"/>
      <c r="AE326" s="131"/>
      <c r="AF326" s="131"/>
      <c r="AG326" s="131"/>
      <c r="AH326" s="131"/>
      <c r="AI326" s="131"/>
      <c r="AJ326" s="131"/>
    </row>
    <row r="327" spans="1:36" x14ac:dyDescent="0.2">
      <c r="C327" s="130" t="s">
        <v>393</v>
      </c>
      <c r="D327" s="129"/>
      <c r="E327" s="136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2"/>
      <c r="Z327" s="131"/>
      <c r="AA327" s="131"/>
      <c r="AB327" s="131"/>
      <c r="AC327" s="131"/>
      <c r="AD327" s="131"/>
      <c r="AE327" s="131"/>
      <c r="AF327" s="131"/>
      <c r="AG327" s="131"/>
      <c r="AH327" s="131"/>
      <c r="AI327" s="131"/>
      <c r="AJ327" s="131"/>
    </row>
    <row r="328" spans="1:36" x14ac:dyDescent="0.2">
      <c r="C328" s="130" t="s">
        <v>394</v>
      </c>
      <c r="D328" s="129"/>
      <c r="E328" s="136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2"/>
      <c r="Z328" s="131"/>
      <c r="AA328" s="131"/>
      <c r="AB328" s="131"/>
      <c r="AC328" s="131"/>
      <c r="AD328" s="131"/>
      <c r="AE328" s="131"/>
      <c r="AF328" s="131"/>
      <c r="AG328" s="131"/>
      <c r="AH328" s="131"/>
      <c r="AI328" s="131"/>
      <c r="AJ328" s="131"/>
    </row>
    <row r="329" spans="1:36" x14ac:dyDescent="0.2">
      <c r="C329" s="130" t="s">
        <v>395</v>
      </c>
      <c r="D329" s="129"/>
      <c r="E329" s="136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2"/>
      <c r="Z329" s="131"/>
      <c r="AA329" s="131"/>
      <c r="AB329" s="131"/>
      <c r="AC329" s="131"/>
      <c r="AD329" s="131"/>
      <c r="AE329" s="131"/>
      <c r="AF329" s="131"/>
      <c r="AG329" s="131"/>
      <c r="AH329" s="131"/>
      <c r="AI329" s="131"/>
      <c r="AJ329" s="131"/>
    </row>
    <row r="330" spans="1:36" x14ac:dyDescent="0.2">
      <c r="C330" s="130" t="s">
        <v>396</v>
      </c>
      <c r="D330" s="129"/>
      <c r="E330" s="129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2"/>
      <c r="Z330" s="131"/>
      <c r="AA330" s="131"/>
      <c r="AB330" s="131"/>
      <c r="AC330" s="131"/>
      <c r="AD330" s="131"/>
      <c r="AE330" s="131"/>
      <c r="AF330" s="131"/>
      <c r="AG330" s="131"/>
      <c r="AH330" s="131"/>
      <c r="AI330" s="131"/>
      <c r="AJ330" s="131"/>
    </row>
    <row r="331" spans="1:36" x14ac:dyDescent="0.2">
      <c r="C331" s="130" t="s">
        <v>397</v>
      </c>
      <c r="D331" s="129"/>
      <c r="E331" s="129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2"/>
      <c r="Z331" s="131"/>
      <c r="AA331" s="131"/>
      <c r="AB331" s="131"/>
      <c r="AC331" s="131"/>
      <c r="AD331" s="131"/>
      <c r="AE331" s="131"/>
      <c r="AF331" s="131"/>
      <c r="AG331" s="131"/>
      <c r="AH331" s="131"/>
      <c r="AI331" s="131"/>
      <c r="AJ331" s="131"/>
    </row>
    <row r="332" spans="1:36" x14ac:dyDescent="0.2">
      <c r="C332" s="130" t="s">
        <v>398</v>
      </c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  <c r="AB332" s="129"/>
      <c r="AC332" s="129"/>
      <c r="AD332" s="129"/>
      <c r="AE332" s="129"/>
      <c r="AF332" s="129"/>
      <c r="AG332" s="129"/>
      <c r="AH332" s="129"/>
      <c r="AI332" s="129"/>
      <c r="AJ332" s="129"/>
    </row>
    <row r="333" spans="1:36" x14ac:dyDescent="0.2">
      <c r="C333" s="130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41"/>
      <c r="Z333" s="129"/>
      <c r="AA333" s="129"/>
      <c r="AB333" s="129"/>
      <c r="AC333" s="129"/>
      <c r="AD333" s="129"/>
      <c r="AE333" s="129"/>
      <c r="AF333" s="129"/>
      <c r="AG333" s="129"/>
      <c r="AH333" s="129"/>
      <c r="AI333" s="129"/>
      <c r="AJ333" s="1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5B57-6166-4D91-97CE-1107FCD2D956}">
  <dimension ref="A1:E43"/>
  <sheetViews>
    <sheetView zoomScaleNormal="100" workbookViewId="0">
      <pane ySplit="1" topLeftCell="A2" activePane="bottomLeft" state="frozen"/>
      <selection pane="bottomLeft" activeCell="H28" sqref="H28"/>
    </sheetView>
  </sheetViews>
  <sheetFormatPr defaultRowHeight="12.75" x14ac:dyDescent="0.2"/>
  <cols>
    <col min="1" max="1" width="30" bestFit="1" customWidth="1"/>
  </cols>
  <sheetData>
    <row r="1" spans="1:5" ht="21" customHeight="1" x14ac:dyDescent="0.25">
      <c r="A1" s="19" t="s">
        <v>110</v>
      </c>
      <c r="B1" s="20"/>
      <c r="C1" s="20"/>
      <c r="D1" s="20"/>
      <c r="E1" s="20"/>
    </row>
    <row r="2" spans="1:5" ht="15" x14ac:dyDescent="0.25">
      <c r="A2" s="52" t="s">
        <v>6</v>
      </c>
      <c r="B2" s="2"/>
      <c r="C2" s="2"/>
      <c r="D2" s="2"/>
      <c r="E2" s="2"/>
    </row>
    <row r="3" spans="1:5" ht="15" x14ac:dyDescent="0.25">
      <c r="A3" s="2"/>
      <c r="B3" s="2"/>
      <c r="C3" s="2"/>
      <c r="D3" s="2"/>
      <c r="E3" s="2"/>
    </row>
    <row r="4" spans="1:5" ht="15" x14ac:dyDescent="0.25">
      <c r="A4" s="2"/>
      <c r="B4" s="2"/>
      <c r="C4" s="2"/>
      <c r="D4" s="2"/>
      <c r="E4" s="2"/>
    </row>
    <row r="5" spans="1:5" ht="15" x14ac:dyDescent="0.25">
      <c r="A5" s="2" t="s">
        <v>88</v>
      </c>
      <c r="B5" s="37">
        <f>NPV(B41,'Cash flow'!G71:O71)</f>
        <v>619.09827675819577</v>
      </c>
      <c r="C5" s="2"/>
      <c r="D5" s="2"/>
      <c r="E5" s="2"/>
    </row>
    <row r="6" spans="1:5" ht="15" x14ac:dyDescent="0.25">
      <c r="A6" s="2" t="s">
        <v>89</v>
      </c>
      <c r="B6" s="38">
        <f>1/(B41-B7)</f>
        <v>9.3248787765759023</v>
      </c>
      <c r="C6" s="2"/>
      <c r="D6" s="2"/>
      <c r="E6" s="2"/>
    </row>
    <row r="7" spans="1:5" ht="15" x14ac:dyDescent="0.25">
      <c r="A7" s="2" t="s">
        <v>90</v>
      </c>
      <c r="B7" s="39">
        <v>1.4999999999999999E-2</v>
      </c>
      <c r="C7" s="2"/>
      <c r="D7" s="2"/>
      <c r="E7" s="2"/>
    </row>
    <row r="8" spans="1:5" ht="15" x14ac:dyDescent="0.25">
      <c r="A8" s="2" t="s">
        <v>91</v>
      </c>
      <c r="B8" s="37">
        <f>'Cash flow'!O71*Valuation!B6</f>
        <v>2183.6576252338714</v>
      </c>
      <c r="C8" s="2"/>
      <c r="D8" s="2"/>
      <c r="E8" s="2"/>
    </row>
    <row r="9" spans="1:5" ht="15" x14ac:dyDescent="0.25">
      <c r="A9" s="2" t="s">
        <v>92</v>
      </c>
      <c r="B9" s="37">
        <f>B8/(1+B41)^9</f>
        <v>773.41545939404034</v>
      </c>
      <c r="C9" s="2"/>
      <c r="D9" s="2"/>
      <c r="E9" s="2"/>
    </row>
    <row r="10" spans="1:5" ht="15" x14ac:dyDescent="0.25">
      <c r="A10" s="14" t="s">
        <v>94</v>
      </c>
      <c r="B10" s="40">
        <f>B5+B9</f>
        <v>1392.5137361522361</v>
      </c>
      <c r="C10" s="2"/>
      <c r="D10" s="2"/>
      <c r="E10" s="2"/>
    </row>
    <row r="11" spans="1:5" ht="15" x14ac:dyDescent="0.25">
      <c r="A11" s="2"/>
      <c r="B11" s="2"/>
      <c r="C11" s="2"/>
      <c r="D11" s="2"/>
      <c r="E11" s="2"/>
    </row>
    <row r="12" spans="1:5" ht="15" x14ac:dyDescent="0.25">
      <c r="A12" s="2" t="s">
        <v>93</v>
      </c>
      <c r="B12" s="73">
        <v>0</v>
      </c>
      <c r="C12" s="2"/>
      <c r="D12" s="2"/>
      <c r="E12" s="2"/>
    </row>
    <row r="13" spans="1:5" ht="15" x14ac:dyDescent="0.25">
      <c r="A13" s="14" t="s">
        <v>94</v>
      </c>
      <c r="B13" s="40">
        <f>B10+B12</f>
        <v>1392.5137361522361</v>
      </c>
      <c r="C13" s="2"/>
      <c r="D13" s="37"/>
      <c r="E13" s="2"/>
    </row>
    <row r="14" spans="1:5" ht="15" x14ac:dyDescent="0.25">
      <c r="A14" s="2"/>
      <c r="B14" s="2"/>
      <c r="C14" s="2"/>
      <c r="D14" s="2"/>
      <c r="E14" s="2"/>
    </row>
    <row r="15" spans="1:5" ht="15" x14ac:dyDescent="0.25">
      <c r="A15" s="2"/>
      <c r="B15" s="2"/>
      <c r="C15" s="2"/>
      <c r="D15" s="2"/>
      <c r="E15" s="2"/>
    </row>
    <row r="16" spans="1:5" ht="15" x14ac:dyDescent="0.25">
      <c r="A16" s="2" t="s">
        <v>94</v>
      </c>
      <c r="B16" s="37">
        <f>B10</f>
        <v>1392.5137361522361</v>
      </c>
      <c r="C16" s="2"/>
      <c r="D16" s="2"/>
      <c r="E16" s="2"/>
    </row>
    <row r="17" spans="1:5" ht="15" x14ac:dyDescent="0.25">
      <c r="A17" s="2" t="s">
        <v>226</v>
      </c>
      <c r="B17" s="37">
        <f>-'BS and debt'!F59</f>
        <v>-617.03864400357634</v>
      </c>
      <c r="C17" s="2"/>
      <c r="D17" s="37"/>
      <c r="E17" s="2"/>
    </row>
    <row r="18" spans="1:5" ht="15" x14ac:dyDescent="0.25">
      <c r="A18" s="2" t="s">
        <v>93</v>
      </c>
      <c r="B18" s="73">
        <v>0</v>
      </c>
      <c r="C18" s="2"/>
      <c r="D18" s="2"/>
      <c r="E18" s="2"/>
    </row>
    <row r="19" spans="1:5" ht="15" x14ac:dyDescent="0.25">
      <c r="A19" s="14" t="s">
        <v>95</v>
      </c>
      <c r="B19" s="40">
        <f>SUM(B16:B18)</f>
        <v>775.47509214865977</v>
      </c>
      <c r="C19" s="2"/>
      <c r="D19" s="37"/>
      <c r="E19" s="2"/>
    </row>
    <row r="20" spans="1:5" ht="15" x14ac:dyDescent="0.25">
      <c r="A20" s="2" t="s">
        <v>96</v>
      </c>
      <c r="B20" s="41">
        <f>B19/(B16+B18)</f>
        <v>0.5568886482164519</v>
      </c>
      <c r="C20" s="2"/>
      <c r="D20" s="2"/>
      <c r="E20" s="2"/>
    </row>
    <row r="21" spans="1:5" ht="15" x14ac:dyDescent="0.25">
      <c r="A21" s="2"/>
      <c r="B21" s="37"/>
      <c r="C21" s="2"/>
      <c r="D21" s="2"/>
      <c r="E21" s="2"/>
    </row>
    <row r="22" spans="1:5" ht="15" x14ac:dyDescent="0.25">
      <c r="A22" s="2" t="s">
        <v>97</v>
      </c>
      <c r="B22" s="37">
        <f>B16+B18</f>
        <v>1392.5137361522361</v>
      </c>
      <c r="C22" s="2"/>
      <c r="D22" s="2"/>
      <c r="E22" s="2"/>
    </row>
    <row r="23" spans="1:5" ht="15" x14ac:dyDescent="0.25">
      <c r="A23" s="6" t="s">
        <v>98</v>
      </c>
      <c r="B23" s="42">
        <f>B22/-B17</f>
        <v>2.2567690851857978</v>
      </c>
      <c r="C23" s="2"/>
      <c r="D23" s="2"/>
      <c r="E23" s="2"/>
    </row>
    <row r="24" spans="1:5" ht="15" x14ac:dyDescent="0.25">
      <c r="A24" s="2"/>
      <c r="B24" s="43"/>
      <c r="C24" s="2"/>
      <c r="D24" s="2"/>
      <c r="E24" s="2"/>
    </row>
    <row r="25" spans="1:5" ht="15" x14ac:dyDescent="0.25">
      <c r="A25" s="2"/>
      <c r="B25" s="2"/>
      <c r="C25" s="2"/>
      <c r="D25" s="2"/>
      <c r="E25" s="2"/>
    </row>
    <row r="26" spans="1:5" ht="15" x14ac:dyDescent="0.25">
      <c r="A26" s="2"/>
      <c r="B26" s="2"/>
      <c r="C26" s="2"/>
      <c r="D26" s="2"/>
      <c r="E26" s="2"/>
    </row>
    <row r="27" spans="1:5" ht="15" x14ac:dyDescent="0.25">
      <c r="A27" s="2" t="s">
        <v>99</v>
      </c>
      <c r="B27" s="74">
        <v>1.3720000000000001</v>
      </c>
      <c r="C27" s="2"/>
      <c r="D27" s="2"/>
      <c r="E27" s="2"/>
    </row>
    <row r="28" spans="1:5" ht="15" x14ac:dyDescent="0.25">
      <c r="A28" s="2" t="s">
        <v>100</v>
      </c>
      <c r="B28" s="37">
        <f>B19/B27</f>
        <v>565.21508174100563</v>
      </c>
      <c r="C28" s="2"/>
      <c r="D28" s="2"/>
      <c r="E28" s="2"/>
    </row>
    <row r="29" spans="1:5" ht="15" x14ac:dyDescent="0.25">
      <c r="A29" s="2"/>
      <c r="B29" s="2"/>
      <c r="C29" s="44"/>
      <c r="D29" s="2"/>
      <c r="E29" s="2"/>
    </row>
    <row r="30" spans="1:5" ht="15" x14ac:dyDescent="0.25">
      <c r="A30" s="2"/>
      <c r="B30" s="2"/>
      <c r="C30" s="2"/>
      <c r="D30" s="2"/>
      <c r="E30" s="2"/>
    </row>
    <row r="31" spans="1:5" ht="15" x14ac:dyDescent="0.25">
      <c r="A31" s="2"/>
      <c r="B31" s="43"/>
      <c r="C31" s="2"/>
      <c r="D31" s="2"/>
      <c r="E31" s="2"/>
    </row>
    <row r="32" spans="1:5" ht="15" x14ac:dyDescent="0.25">
      <c r="A32" s="45" t="s">
        <v>101</v>
      </c>
      <c r="B32" s="43"/>
      <c r="C32" s="2"/>
      <c r="D32" s="2"/>
      <c r="E32" s="2"/>
    </row>
    <row r="33" spans="1:5" ht="15" x14ac:dyDescent="0.25">
      <c r="A33" s="46" t="s">
        <v>102</v>
      </c>
      <c r="B33" s="39">
        <v>0.11</v>
      </c>
      <c r="C33" s="2"/>
      <c r="D33" s="2"/>
      <c r="E33" s="2"/>
    </row>
    <row r="34" spans="1:5" ht="15" x14ac:dyDescent="0.25">
      <c r="A34" s="46" t="s">
        <v>103</v>
      </c>
      <c r="B34" s="39">
        <v>0</v>
      </c>
      <c r="C34" s="2"/>
      <c r="D34" s="2"/>
      <c r="E34" s="2"/>
    </row>
    <row r="35" spans="1:5" ht="15" x14ac:dyDescent="0.25">
      <c r="A35" s="46" t="s">
        <v>104</v>
      </c>
      <c r="B35" s="47">
        <f>B33+B34</f>
        <v>0.11</v>
      </c>
      <c r="C35" s="2"/>
      <c r="D35" s="2"/>
      <c r="E35" s="2"/>
    </row>
    <row r="36" spans="1:5" ht="15" x14ac:dyDescent="0.25">
      <c r="A36" s="46" t="s">
        <v>105</v>
      </c>
      <c r="B36" s="47">
        <f>B35*(1-26%)</f>
        <v>8.14E-2</v>
      </c>
      <c r="C36" s="2"/>
      <c r="D36" s="2"/>
      <c r="E36" s="2"/>
    </row>
    <row r="37" spans="1:5" ht="15" x14ac:dyDescent="0.25">
      <c r="A37" s="46" t="s">
        <v>106</v>
      </c>
      <c r="B37" s="39">
        <v>7.0000000000000007E-2</v>
      </c>
      <c r="C37" s="2"/>
      <c r="D37" s="2"/>
      <c r="E37" s="2"/>
    </row>
    <row r="38" spans="1:5" ht="15" x14ac:dyDescent="0.25">
      <c r="A38" s="46" t="s">
        <v>107</v>
      </c>
      <c r="B38" s="48">
        <v>1.05</v>
      </c>
      <c r="C38" s="2"/>
      <c r="D38" s="2"/>
      <c r="E38" s="2"/>
    </row>
    <row r="39" spans="1:5" ht="15" x14ac:dyDescent="0.25">
      <c r="A39" s="46" t="s">
        <v>108</v>
      </c>
      <c r="B39" s="47">
        <f>B33+B38*B37</f>
        <v>0.1835</v>
      </c>
      <c r="C39" s="2"/>
      <c r="D39" s="2"/>
      <c r="E39" s="2"/>
    </row>
    <row r="40" spans="1:5" ht="15" x14ac:dyDescent="0.25">
      <c r="A40" s="46" t="s">
        <v>109</v>
      </c>
      <c r="B40" s="49">
        <v>0.6</v>
      </c>
      <c r="C40" s="2"/>
      <c r="D40" s="2"/>
      <c r="E40" s="2"/>
    </row>
    <row r="41" spans="1:5" ht="15" x14ac:dyDescent="0.25">
      <c r="A41" s="50" t="s">
        <v>101</v>
      </c>
      <c r="B41" s="51">
        <f>B40*B36+B39*(1-B40)</f>
        <v>0.12224000000000002</v>
      </c>
      <c r="C41" s="2"/>
      <c r="D41" s="2"/>
      <c r="E41" s="2"/>
    </row>
    <row r="42" spans="1:5" ht="15" x14ac:dyDescent="0.25">
      <c r="A42" s="2"/>
      <c r="B42" s="2"/>
      <c r="C42" s="2"/>
      <c r="D42" s="2"/>
      <c r="E42" s="2"/>
    </row>
    <row r="43" spans="1:5" ht="15" x14ac:dyDescent="0.25">
      <c r="A43" s="2"/>
      <c r="B43" s="2"/>
      <c r="C43" s="2"/>
      <c r="D43" s="2"/>
      <c r="E4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94E6-592A-4EAC-929E-584C9319891D}">
  <dimension ref="A1:V77"/>
  <sheetViews>
    <sheetView zoomScaleNormal="100" workbookViewId="0">
      <pane ySplit="1" topLeftCell="A2" activePane="bottomLeft" state="frozen"/>
      <selection pane="bottomLeft" activeCell="C10" sqref="C10"/>
    </sheetView>
  </sheetViews>
  <sheetFormatPr defaultRowHeight="12.75" x14ac:dyDescent="0.2"/>
  <cols>
    <col min="1" max="1" width="40.42578125" bestFit="1" customWidth="1"/>
    <col min="2" max="2" width="9.7109375" bestFit="1" customWidth="1"/>
    <col min="17" max="17" width="9" customWidth="1"/>
  </cols>
  <sheetData>
    <row r="1" spans="1:15" ht="22.5" customHeight="1" x14ac:dyDescent="0.25">
      <c r="A1" s="19" t="s">
        <v>0</v>
      </c>
      <c r="B1" s="20">
        <v>2020</v>
      </c>
      <c r="C1" s="20">
        <v>2021</v>
      </c>
      <c r="D1" s="20">
        <v>2022</v>
      </c>
      <c r="E1" s="20">
        <v>2023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</row>
    <row r="2" spans="1:15" ht="15" x14ac:dyDescent="0.25">
      <c r="A2" s="5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5">
      <c r="A4" s="6" t="s">
        <v>0</v>
      </c>
      <c r="B4" s="17">
        <v>429.154</v>
      </c>
      <c r="C4" s="17">
        <v>485.85899999999998</v>
      </c>
      <c r="D4" s="17">
        <v>827.51499999999999</v>
      </c>
      <c r="E4" s="17">
        <v>1089.3530000000001</v>
      </c>
      <c r="F4" s="12">
        <f>SUM(F10:F16)</f>
        <v>1238.3225989908276</v>
      </c>
      <c r="G4" s="12">
        <f t="shared" ref="G4:O4" si="0">SUM(G10:G16)</f>
        <v>1367.6446546173563</v>
      </c>
      <c r="H4" s="12">
        <f t="shared" si="0"/>
        <v>1488.0442548354736</v>
      </c>
      <c r="I4" s="12">
        <f t="shared" si="0"/>
        <v>1600.1385320476368</v>
      </c>
      <c r="J4" s="12">
        <f t="shared" si="0"/>
        <v>1697.9436785991634</v>
      </c>
      <c r="K4" s="12">
        <f t="shared" si="0"/>
        <v>1794.8410470788365</v>
      </c>
      <c r="L4" s="12">
        <f t="shared" si="0"/>
        <v>1889.8528195120084</v>
      </c>
      <c r="M4" s="12">
        <f t="shared" si="0"/>
        <v>1984.0903030167394</v>
      </c>
      <c r="N4" s="12">
        <f t="shared" si="0"/>
        <v>2079.4525049615004</v>
      </c>
      <c r="O4" s="12">
        <f t="shared" si="0"/>
        <v>2176.5435817834905</v>
      </c>
    </row>
    <row r="5" spans="1:15" ht="15" x14ac:dyDescent="0.25">
      <c r="A5" s="2" t="s">
        <v>10</v>
      </c>
      <c r="B5" s="2"/>
      <c r="C5" s="7">
        <f t="shared" ref="C5:D5" si="1">C4/B4-1</f>
        <v>0.13213205515968629</v>
      </c>
      <c r="D5" s="7">
        <f t="shared" si="1"/>
        <v>0.70319989955933715</v>
      </c>
      <c r="E5" s="7">
        <f>E4/D4-1</f>
        <v>0.31641480819078827</v>
      </c>
      <c r="F5" s="25">
        <f t="shared" ref="F5:O5" si="2">F4/E4-1</f>
        <v>0.13675052897529771</v>
      </c>
      <c r="G5" s="25">
        <f t="shared" si="2"/>
        <v>0.1044332516679578</v>
      </c>
      <c r="H5" s="25">
        <f t="shared" si="2"/>
        <v>8.8034271045210222E-2</v>
      </c>
      <c r="I5" s="25">
        <f t="shared" si="2"/>
        <v>7.5329935146691618E-2</v>
      </c>
      <c r="J5" s="25">
        <f t="shared" si="2"/>
        <v>6.1122924417281066E-2</v>
      </c>
      <c r="K5" s="25">
        <f t="shared" si="2"/>
        <v>5.7067480918810753E-2</v>
      </c>
      <c r="L5" s="25">
        <f t="shared" si="2"/>
        <v>5.2936037198283881E-2</v>
      </c>
      <c r="M5" s="25">
        <f t="shared" si="2"/>
        <v>4.986498553314056E-2</v>
      </c>
      <c r="N5" s="25">
        <f t="shared" si="2"/>
        <v>4.8063438342381026E-2</v>
      </c>
      <c r="O5" s="25">
        <f t="shared" si="2"/>
        <v>4.6690692184762295E-2</v>
      </c>
    </row>
    <row r="6" spans="1:15" ht="15" x14ac:dyDescent="0.25">
      <c r="A6" s="2" t="s">
        <v>227</v>
      </c>
      <c r="B6" s="2"/>
      <c r="C6" s="7"/>
      <c r="D6" s="7"/>
      <c r="E6" s="7"/>
      <c r="F6" s="10">
        <v>0.05</v>
      </c>
      <c r="G6" s="10">
        <v>0.05</v>
      </c>
      <c r="H6" s="10">
        <v>0.05</v>
      </c>
      <c r="I6" s="10">
        <v>0.05</v>
      </c>
      <c r="J6" s="10">
        <v>0.05</v>
      </c>
      <c r="K6" s="10">
        <v>0.05</v>
      </c>
      <c r="L6" s="10">
        <v>0.05</v>
      </c>
      <c r="M6" s="10">
        <v>0.05</v>
      </c>
      <c r="N6" s="10">
        <v>0.05</v>
      </c>
      <c r="O6" s="10">
        <v>0.05</v>
      </c>
    </row>
    <row r="7" spans="1:15" ht="15" x14ac:dyDescent="0.25">
      <c r="A7" s="2" t="s">
        <v>228</v>
      </c>
      <c r="B7" s="2"/>
      <c r="C7" s="2"/>
      <c r="D7" s="3"/>
      <c r="E7" s="3"/>
      <c r="F7" s="25">
        <f>F5+F6</f>
        <v>0.1867505289752977</v>
      </c>
      <c r="G7" s="25">
        <f t="shared" ref="G7:O7" si="3">G5+G6</f>
        <v>0.15443325166795779</v>
      </c>
      <c r="H7" s="25">
        <f t="shared" si="3"/>
        <v>0.13803427104521021</v>
      </c>
      <c r="I7" s="25">
        <f t="shared" si="3"/>
        <v>0.12532993514669161</v>
      </c>
      <c r="J7" s="25">
        <f t="shared" si="3"/>
        <v>0.11112292441728107</v>
      </c>
      <c r="K7" s="25">
        <f t="shared" si="3"/>
        <v>0.10706748091881076</v>
      </c>
      <c r="L7" s="25">
        <f t="shared" si="3"/>
        <v>0.10293603719828388</v>
      </c>
      <c r="M7" s="25">
        <f t="shared" si="3"/>
        <v>9.9864985533140563E-2</v>
      </c>
      <c r="N7" s="25">
        <f t="shared" si="3"/>
        <v>9.8063438342381029E-2</v>
      </c>
      <c r="O7" s="25">
        <f t="shared" si="3"/>
        <v>9.6690692184762297E-2</v>
      </c>
    </row>
    <row r="8" spans="1:15" ht="15" x14ac:dyDescent="0.25">
      <c r="A8" s="2"/>
      <c r="B8" s="2"/>
      <c r="C8" s="2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 x14ac:dyDescent="0.25">
      <c r="A9" s="6" t="s">
        <v>8</v>
      </c>
      <c r="B9" s="2"/>
      <c r="C9" s="2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5" x14ac:dyDescent="0.25">
      <c r="A10" s="2" t="s">
        <v>1</v>
      </c>
      <c r="B10" s="18"/>
      <c r="C10" s="16">
        <f>28%*C4</f>
        <v>136.04052000000001</v>
      </c>
      <c r="D10" s="16">
        <f>35%*D4</f>
        <v>289.63024999999999</v>
      </c>
      <c r="E10" s="16">
        <f>30%*E4</f>
        <v>326.80590000000001</v>
      </c>
      <c r="F10" s="3">
        <f t="shared" ref="F10:O10" si="4">F50*AVERAGE(E30,F30)*12/1000</f>
        <v>369.11461493073796</v>
      </c>
      <c r="G10" s="3">
        <f t="shared" si="4"/>
        <v>409.73226836760983</v>
      </c>
      <c r="H10" s="3">
        <f t="shared" si="4"/>
        <v>447.16035983593537</v>
      </c>
      <c r="I10" s="3">
        <f t="shared" si="4"/>
        <v>484.50177181645665</v>
      </c>
      <c r="J10" s="3">
        <f t="shared" si="4"/>
        <v>523.15797613226448</v>
      </c>
      <c r="K10" s="3">
        <f t="shared" si="4"/>
        <v>563.16662791197803</v>
      </c>
      <c r="L10" s="3">
        <f t="shared" si="4"/>
        <v>604.56636257242712</v>
      </c>
      <c r="M10" s="3">
        <f t="shared" si="4"/>
        <v>647.39681996812953</v>
      </c>
      <c r="N10" s="3">
        <f t="shared" si="4"/>
        <v>691.69866911463112</v>
      </c>
      <c r="O10" s="3">
        <f t="shared" si="4"/>
        <v>737.51363349900544</v>
      </c>
    </row>
    <row r="11" spans="1:15" ht="15" x14ac:dyDescent="0.25">
      <c r="A11" s="2" t="s">
        <v>2</v>
      </c>
      <c r="B11" s="18"/>
      <c r="C11" s="16">
        <f>25%*C4</f>
        <v>121.46475</v>
      </c>
      <c r="D11" s="16">
        <f>22%*D4</f>
        <v>182.05330000000001</v>
      </c>
      <c r="E11" s="16">
        <f>17%*E4</f>
        <v>185.19001000000003</v>
      </c>
      <c r="F11" s="3">
        <f t="shared" ref="F11:O11" si="5">F52*AVERAGE(E31,F31)*12/1000</f>
        <v>218.9033856269595</v>
      </c>
      <c r="G11" s="3">
        <f t="shared" si="5"/>
        <v>253.37231001874099</v>
      </c>
      <c r="H11" s="3">
        <f t="shared" si="5"/>
        <v>283.4929241842774</v>
      </c>
      <c r="I11" s="3">
        <f t="shared" si="5"/>
        <v>311.65763522248608</v>
      </c>
      <c r="J11" s="3">
        <f t="shared" si="5"/>
        <v>336.987417018852</v>
      </c>
      <c r="K11" s="3">
        <f t="shared" si="5"/>
        <v>362.31719881521792</v>
      </c>
      <c r="L11" s="3">
        <f t="shared" si="5"/>
        <v>387.64698061158379</v>
      </c>
      <c r="M11" s="3">
        <f t="shared" si="5"/>
        <v>412.97676240794965</v>
      </c>
      <c r="N11" s="3">
        <f t="shared" si="5"/>
        <v>438.30654420431563</v>
      </c>
      <c r="O11" s="3">
        <f t="shared" si="5"/>
        <v>463.63632600068149</v>
      </c>
    </row>
    <row r="12" spans="1:15" ht="15" x14ac:dyDescent="0.25">
      <c r="A12" s="2" t="s">
        <v>3</v>
      </c>
      <c r="B12" s="18"/>
      <c r="C12" s="16">
        <f>35%*C4</f>
        <v>170.05064999999999</v>
      </c>
      <c r="D12" s="16">
        <f>34%*D4</f>
        <v>281.35509999999999</v>
      </c>
      <c r="E12" s="16">
        <f>29%*E4</f>
        <v>315.91237000000001</v>
      </c>
      <c r="F12" s="3">
        <f t="shared" ref="F12:O12" si="6">F48*AVERAGE(E29,F29)*12/1000</f>
        <v>357.02315343313046</v>
      </c>
      <c r="G12" s="3">
        <f t="shared" si="6"/>
        <v>400.38793161500581</v>
      </c>
      <c r="H12" s="3">
        <f t="shared" si="6"/>
        <v>441.55565949846061</v>
      </c>
      <c r="I12" s="3">
        <f t="shared" si="6"/>
        <v>474.6122686619421</v>
      </c>
      <c r="J12" s="3">
        <f t="shared" si="6"/>
        <v>495.53730012458715</v>
      </c>
      <c r="K12" s="3">
        <f t="shared" si="6"/>
        <v>515.05158644218</v>
      </c>
      <c r="L12" s="3">
        <f t="shared" si="6"/>
        <v>532.34948325774008</v>
      </c>
      <c r="M12" s="3">
        <f t="shared" si="6"/>
        <v>548.70591483365558</v>
      </c>
      <c r="N12" s="3">
        <f t="shared" si="6"/>
        <v>565.50366387930467</v>
      </c>
      <c r="O12" s="3">
        <f t="shared" si="6"/>
        <v>582.75384052084621</v>
      </c>
    </row>
    <row r="13" spans="1:15" ht="15" x14ac:dyDescent="0.25">
      <c r="A13" s="2" t="s">
        <v>4</v>
      </c>
      <c r="B13" s="18"/>
      <c r="C13" s="16"/>
      <c r="D13" s="16"/>
      <c r="E13" s="16">
        <f>12%*E4</f>
        <v>130.72236000000001</v>
      </c>
      <c r="F13" s="3">
        <f t="shared" ref="F13:O13" si="7">F54*AVERAGE(E32,F32)*12/1000</f>
        <v>135.32526000000001</v>
      </c>
      <c r="G13" s="3">
        <f t="shared" si="7"/>
        <v>145.58592193600003</v>
      </c>
      <c r="H13" s="3">
        <f t="shared" si="7"/>
        <v>156.19542232000001</v>
      </c>
      <c r="I13" s="3">
        <f t="shared" si="7"/>
        <v>168.33740609280002</v>
      </c>
      <c r="J13" s="3">
        <f t="shared" si="7"/>
        <v>179.67613280319364</v>
      </c>
      <c r="K13" s="3">
        <f t="shared" si="7"/>
        <v>190.15008621028767</v>
      </c>
      <c r="L13" s="3">
        <f t="shared" si="7"/>
        <v>199.69512014308037</v>
      </c>
      <c r="M13" s="3">
        <f t="shared" si="7"/>
        <v>208.2443680980877</v>
      </c>
      <c r="N13" s="3">
        <f t="shared" si="7"/>
        <v>216.39192899992537</v>
      </c>
      <c r="O13" s="3">
        <f t="shared" si="7"/>
        <v>224.78209459059735</v>
      </c>
    </row>
    <row r="14" spans="1:15" ht="15" x14ac:dyDescent="0.25">
      <c r="A14" s="2" t="s">
        <v>5</v>
      </c>
      <c r="B14" s="18"/>
      <c r="C14" s="16">
        <v>5</v>
      </c>
      <c r="D14" s="16">
        <f>1%*D4</f>
        <v>8.27515</v>
      </c>
      <c r="E14" s="16">
        <f>1%*E4</f>
        <v>10.89353</v>
      </c>
      <c r="F14" s="3">
        <f>E14*(1+F23)</f>
        <v>13.072236</v>
      </c>
      <c r="G14" s="3">
        <f t="shared" ref="G14:O14" si="8">F14*(1+G23)</f>
        <v>15.425238479999999</v>
      </c>
      <c r="H14" s="3">
        <f t="shared" si="8"/>
        <v>17.8932766368</v>
      </c>
      <c r="I14" s="3">
        <f t="shared" si="8"/>
        <v>20.398335365952001</v>
      </c>
      <c r="J14" s="3">
        <f t="shared" si="8"/>
        <v>22.846135609866241</v>
      </c>
      <c r="K14" s="3">
        <f t="shared" si="8"/>
        <v>25.130749170852866</v>
      </c>
      <c r="L14" s="3">
        <f t="shared" si="8"/>
        <v>27.141209104521096</v>
      </c>
      <c r="M14" s="3">
        <f t="shared" si="8"/>
        <v>28.769681650792364</v>
      </c>
      <c r="N14" s="3">
        <f t="shared" si="8"/>
        <v>29.92046891682406</v>
      </c>
      <c r="O14" s="3">
        <f t="shared" si="8"/>
        <v>30.51887829516054</v>
      </c>
    </row>
    <row r="15" spans="1:15" ht="15" x14ac:dyDescent="0.25">
      <c r="A15" s="2" t="s">
        <v>9</v>
      </c>
      <c r="B15" s="18"/>
      <c r="C15" s="16">
        <f>11%*C4</f>
        <v>53.444489999999995</v>
      </c>
      <c r="D15" s="16">
        <f>9%*D4</f>
        <v>74.476349999999996</v>
      </c>
      <c r="E15" s="16">
        <f>1%*E4</f>
        <v>10.89353</v>
      </c>
      <c r="F15" s="3">
        <f>E15*(1+F24)</f>
        <v>8.7148240000000001</v>
      </c>
      <c r="G15" s="3">
        <f t="shared" ref="G15:O15" si="9">F15*(1+G24)</f>
        <v>6.9718592000000008</v>
      </c>
      <c r="H15" s="3">
        <f t="shared" si="9"/>
        <v>5.577487360000001</v>
      </c>
      <c r="I15" s="3">
        <f t="shared" si="9"/>
        <v>4.4619898880000006</v>
      </c>
      <c r="J15" s="3">
        <f t="shared" si="9"/>
        <v>3.5695919104000007</v>
      </c>
      <c r="K15" s="3">
        <f t="shared" si="9"/>
        <v>2.8556735283200005</v>
      </c>
      <c r="L15" s="3">
        <f t="shared" si="9"/>
        <v>2.2845388226560006</v>
      </c>
      <c r="M15" s="3">
        <f t="shared" si="9"/>
        <v>1.8276310581248005</v>
      </c>
      <c r="N15" s="3">
        <f t="shared" si="9"/>
        <v>1.4621048464998405</v>
      </c>
      <c r="O15" s="3">
        <f t="shared" si="9"/>
        <v>1.1696838771998725</v>
      </c>
    </row>
    <row r="16" spans="1:15" ht="15" x14ac:dyDescent="0.25">
      <c r="A16" s="2" t="s">
        <v>7</v>
      </c>
      <c r="B16" s="2"/>
      <c r="C16" s="3">
        <f>C4-SUM(C10:C15)</f>
        <v>-0.14141000000000759</v>
      </c>
      <c r="D16" s="3">
        <f>D4-SUM(D10:D15)</f>
        <v>-8.2751500000000533</v>
      </c>
      <c r="E16" s="3">
        <f>E4-SUM(E10:E15)</f>
        <v>108.93529999999987</v>
      </c>
      <c r="F16" s="3">
        <f>E16*(1+F25)</f>
        <v>136.16912499999984</v>
      </c>
      <c r="G16" s="3">
        <f t="shared" ref="G16:O16" si="10">F16*(1+G25)</f>
        <v>136.16912499999984</v>
      </c>
      <c r="H16" s="3">
        <f t="shared" si="10"/>
        <v>136.16912499999984</v>
      </c>
      <c r="I16" s="3">
        <f t="shared" si="10"/>
        <v>136.16912499999984</v>
      </c>
      <c r="J16" s="3">
        <f t="shared" si="10"/>
        <v>136.16912499999984</v>
      </c>
      <c r="K16" s="3">
        <f t="shared" si="10"/>
        <v>136.16912499999984</v>
      </c>
      <c r="L16" s="3">
        <f t="shared" si="10"/>
        <v>136.16912499999984</v>
      </c>
      <c r="M16" s="3">
        <f t="shared" si="10"/>
        <v>136.16912499999984</v>
      </c>
      <c r="N16" s="3">
        <f t="shared" si="10"/>
        <v>136.16912499999984</v>
      </c>
      <c r="O16" s="3">
        <f t="shared" si="10"/>
        <v>136.16912499999984</v>
      </c>
    </row>
    <row r="17" spans="1:15" ht="15" x14ac:dyDescent="0.25">
      <c r="A17" s="2"/>
      <c r="B17" s="3"/>
      <c r="C17" s="3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</row>
    <row r="18" spans="1:15" ht="15" x14ac:dyDescent="0.25">
      <c r="A18" s="6" t="s">
        <v>25</v>
      </c>
      <c r="B18" s="3"/>
      <c r="C18" s="3"/>
      <c r="D18" s="3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</row>
    <row r="19" spans="1:15" ht="15" x14ac:dyDescent="0.25">
      <c r="A19" s="2" t="s">
        <v>1</v>
      </c>
      <c r="B19" s="3"/>
      <c r="C19" s="3"/>
      <c r="D19" s="7">
        <f t="shared" ref="D19:O19" si="11">D10/C10-1</f>
        <v>1.1289998744491712</v>
      </c>
      <c r="E19" s="7">
        <f t="shared" si="11"/>
        <v>0.12835554987781839</v>
      </c>
      <c r="F19" s="7">
        <f t="shared" si="11"/>
        <v>0.12946129470348589</v>
      </c>
      <c r="G19" s="7">
        <f t="shared" si="11"/>
        <v>0.11004076184979428</v>
      </c>
      <c r="H19" s="7">
        <f t="shared" si="11"/>
        <v>9.1347678369195995E-2</v>
      </c>
      <c r="I19" s="7">
        <f t="shared" si="11"/>
        <v>8.3507876221903921E-2</v>
      </c>
      <c r="J19" s="7">
        <f t="shared" si="11"/>
        <v>7.9785475646210635E-2</v>
      </c>
      <c r="K19" s="7">
        <f t="shared" si="11"/>
        <v>7.6475278223797183E-2</v>
      </c>
      <c r="L19" s="7">
        <f t="shared" si="11"/>
        <v>7.3512407533707469E-2</v>
      </c>
      <c r="M19" s="7">
        <f t="shared" si="11"/>
        <v>7.0844922984896197E-2</v>
      </c>
      <c r="N19" s="7">
        <f t="shared" si="11"/>
        <v>6.8430748777361217E-2</v>
      </c>
      <c r="O19" s="7">
        <f t="shared" si="11"/>
        <v>6.6235438103440458E-2</v>
      </c>
    </row>
    <row r="20" spans="1:15" ht="15" x14ac:dyDescent="0.25">
      <c r="A20" s="2" t="s">
        <v>2</v>
      </c>
      <c r="B20" s="3"/>
      <c r="C20" s="3"/>
      <c r="D20" s="7">
        <f t="shared" ref="D20:O20" si="12">D11/C11-1</f>
        <v>0.49881591161221683</v>
      </c>
      <c r="E20" s="7">
        <f t="shared" si="12"/>
        <v>1.722962451106369E-2</v>
      </c>
      <c r="F20" s="7">
        <f t="shared" si="12"/>
        <v>0.18204748532039861</v>
      </c>
      <c r="G20" s="7">
        <f t="shared" si="12"/>
        <v>0.15746181491464517</v>
      </c>
      <c r="H20" s="7">
        <f t="shared" si="12"/>
        <v>0.11887887103096828</v>
      </c>
      <c r="I20" s="7">
        <f t="shared" si="12"/>
        <v>9.9348903043170456E-2</v>
      </c>
      <c r="J20" s="7">
        <f t="shared" si="12"/>
        <v>8.1274382314694416E-2</v>
      </c>
      <c r="K20" s="7">
        <f t="shared" si="12"/>
        <v>7.5165363800360874E-2</v>
      </c>
      <c r="L20" s="7">
        <f t="shared" si="12"/>
        <v>6.991051454138697E-2</v>
      </c>
      <c r="M20" s="7">
        <f t="shared" si="12"/>
        <v>6.5342394145321281E-2</v>
      </c>
      <c r="N20" s="7">
        <f t="shared" si="12"/>
        <v>6.1334641805692147E-2</v>
      </c>
      <c r="O20" s="7">
        <f t="shared" si="12"/>
        <v>5.7790106333795555E-2</v>
      </c>
    </row>
    <row r="21" spans="1:15" ht="15" x14ac:dyDescent="0.25">
      <c r="A21" s="2" t="s">
        <v>3</v>
      </c>
      <c r="B21" s="3"/>
      <c r="C21" s="3"/>
      <c r="D21" s="7">
        <f t="shared" ref="D21:O21" si="13">D12/C12-1</f>
        <v>0.65453704528621337</v>
      </c>
      <c r="E21" s="7">
        <f t="shared" si="13"/>
        <v>0.12282439522155464</v>
      </c>
      <c r="F21" s="7">
        <f t="shared" si="13"/>
        <v>0.13013350326589124</v>
      </c>
      <c r="G21" s="7">
        <f t="shared" si="13"/>
        <v>0.12146208940479108</v>
      </c>
      <c r="H21" s="7">
        <f t="shared" si="13"/>
        <v>0.10281960227272724</v>
      </c>
      <c r="I21" s="7">
        <f t="shared" si="13"/>
        <v>7.4863968907178613E-2</v>
      </c>
      <c r="J21" s="7">
        <f t="shared" si="13"/>
        <v>4.4088686374750274E-2</v>
      </c>
      <c r="K21" s="7">
        <f t="shared" si="13"/>
        <v>3.9380055371586842E-2</v>
      </c>
      <c r="L21" s="7">
        <f t="shared" si="13"/>
        <v>3.3584785040754239E-2</v>
      </c>
      <c r="M21" s="7">
        <f t="shared" si="13"/>
        <v>3.0724988170969025E-2</v>
      </c>
      <c r="N21" s="7">
        <f t="shared" si="13"/>
        <v>3.0613391602934525E-2</v>
      </c>
      <c r="O21" s="7">
        <f t="shared" si="13"/>
        <v>3.0504093507028429E-2</v>
      </c>
    </row>
    <row r="22" spans="1:15" ht="15" x14ac:dyDescent="0.25">
      <c r="A22" s="2" t="s">
        <v>4</v>
      </c>
      <c r="B22" s="3"/>
      <c r="C22" s="3"/>
      <c r="D22" s="7"/>
      <c r="E22" s="7"/>
      <c r="F22" s="7">
        <f t="shared" ref="F22:O22" si="14">F13/E13-1</f>
        <v>3.5211267605633756E-2</v>
      </c>
      <c r="G22" s="7">
        <f t="shared" si="14"/>
        <v>7.5822222222222457E-2</v>
      </c>
      <c r="H22" s="7">
        <f t="shared" si="14"/>
        <v>7.2874493927125306E-2</v>
      </c>
      <c r="I22" s="7">
        <f t="shared" si="14"/>
        <v>7.7735849056603801E-2</v>
      </c>
      <c r="J22" s="7">
        <f t="shared" si="14"/>
        <v>6.7357142857142893E-2</v>
      </c>
      <c r="K22" s="7">
        <f t="shared" si="14"/>
        <v>5.8293515358361914E-2</v>
      </c>
      <c r="L22" s="7">
        <f t="shared" si="14"/>
        <v>5.0197368421052602E-2</v>
      </c>
      <c r="M22" s="7">
        <f t="shared" si="14"/>
        <v>4.2811501597444401E-2</v>
      </c>
      <c r="N22" s="7">
        <f t="shared" si="14"/>
        <v>3.9124999999999854E-2</v>
      </c>
      <c r="O22" s="7">
        <f t="shared" si="14"/>
        <v>3.8773006134969368E-2</v>
      </c>
    </row>
    <row r="23" spans="1:15" ht="15" x14ac:dyDescent="0.25">
      <c r="A23" s="2" t="s">
        <v>5</v>
      </c>
      <c r="B23" s="3"/>
      <c r="C23" s="3"/>
      <c r="D23" s="7">
        <f t="shared" ref="D23:E25" si="15">D14/C14-1</f>
        <v>0.65503</v>
      </c>
      <c r="E23" s="7">
        <f t="shared" si="15"/>
        <v>0.31641480819078804</v>
      </c>
      <c r="F23" s="10">
        <v>0.2</v>
      </c>
      <c r="G23" s="10">
        <f>F23-2%</f>
        <v>0.18000000000000002</v>
      </c>
      <c r="H23" s="10">
        <f t="shared" ref="H23:O23" si="16">G23-2%</f>
        <v>0.16000000000000003</v>
      </c>
      <c r="I23" s="10">
        <f t="shared" si="16"/>
        <v>0.14000000000000004</v>
      </c>
      <c r="J23" s="10">
        <f t="shared" si="16"/>
        <v>0.12000000000000004</v>
      </c>
      <c r="K23" s="10">
        <f t="shared" si="16"/>
        <v>0.10000000000000003</v>
      </c>
      <c r="L23" s="10">
        <f t="shared" si="16"/>
        <v>8.0000000000000029E-2</v>
      </c>
      <c r="M23" s="10">
        <f t="shared" si="16"/>
        <v>6.0000000000000026E-2</v>
      </c>
      <c r="N23" s="10">
        <f t="shared" si="16"/>
        <v>4.0000000000000022E-2</v>
      </c>
      <c r="O23" s="10">
        <f t="shared" si="16"/>
        <v>2.0000000000000021E-2</v>
      </c>
    </row>
    <row r="24" spans="1:15" ht="15" x14ac:dyDescent="0.25">
      <c r="A24" s="2" t="s">
        <v>9</v>
      </c>
      <c r="B24" s="3"/>
      <c r="C24" s="3"/>
      <c r="D24" s="7">
        <f t="shared" si="15"/>
        <v>0.39352719054854868</v>
      </c>
      <c r="E24" s="7">
        <f t="shared" si="15"/>
        <v>-0.85373168797880128</v>
      </c>
      <c r="F24" s="10">
        <v>-0.2</v>
      </c>
      <c r="G24" s="10">
        <v>-0.2</v>
      </c>
      <c r="H24" s="10">
        <v>-0.2</v>
      </c>
      <c r="I24" s="10">
        <v>-0.2</v>
      </c>
      <c r="J24" s="10">
        <v>-0.2</v>
      </c>
      <c r="K24" s="10">
        <v>-0.2</v>
      </c>
      <c r="L24" s="10">
        <v>-0.2</v>
      </c>
      <c r="M24" s="10">
        <v>-0.2</v>
      </c>
      <c r="N24" s="10">
        <v>-0.2</v>
      </c>
      <c r="O24" s="10">
        <v>-0.2</v>
      </c>
    </row>
    <row r="25" spans="1:15" ht="15" x14ac:dyDescent="0.25">
      <c r="A25" s="2" t="s">
        <v>7</v>
      </c>
      <c r="B25" s="3"/>
      <c r="C25" s="3"/>
      <c r="D25" s="7">
        <f t="shared" si="15"/>
        <v>57.518845909056004</v>
      </c>
      <c r="E25" s="7">
        <f t="shared" si="15"/>
        <v>-14.164148081907781</v>
      </c>
      <c r="F25" s="10">
        <v>0.25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1:15" ht="15" x14ac:dyDescent="0.25">
      <c r="A26" s="2"/>
      <c r="B26" s="3"/>
      <c r="C26" s="3"/>
      <c r="D26" s="3"/>
      <c r="E26" s="3"/>
      <c r="F26" s="3"/>
      <c r="G26" s="3"/>
      <c r="H26" s="2"/>
      <c r="I26" s="2"/>
      <c r="J26" s="2"/>
      <c r="K26" s="2"/>
      <c r="L26" s="2"/>
      <c r="M26" s="2"/>
      <c r="N26" s="2"/>
      <c r="O26" s="2"/>
    </row>
    <row r="27" spans="1:15" ht="15" x14ac:dyDescent="0.25">
      <c r="A27" s="2"/>
      <c r="B27" s="3"/>
      <c r="C27" s="3"/>
      <c r="D27" s="3"/>
      <c r="E27" s="3"/>
      <c r="F27" s="3"/>
      <c r="G27" s="3"/>
      <c r="H27" s="2"/>
      <c r="I27" s="2"/>
      <c r="J27" s="2"/>
      <c r="K27" s="2"/>
      <c r="L27" s="2"/>
      <c r="M27" s="2"/>
      <c r="N27" s="2"/>
      <c r="O27" s="2"/>
    </row>
    <row r="28" spans="1:15" ht="15" x14ac:dyDescent="0.25">
      <c r="A28" s="6" t="s">
        <v>75</v>
      </c>
      <c r="B28" s="96">
        <f>B1</f>
        <v>2020</v>
      </c>
      <c r="C28" s="96">
        <f t="shared" ref="C28:O28" si="17">C1</f>
        <v>2021</v>
      </c>
      <c r="D28" s="96">
        <f t="shared" si="17"/>
        <v>2022</v>
      </c>
      <c r="E28" s="96">
        <f t="shared" si="17"/>
        <v>2023</v>
      </c>
      <c r="F28" s="96" t="str">
        <f t="shared" si="17"/>
        <v>2024E</v>
      </c>
      <c r="G28" s="96" t="str">
        <f t="shared" si="17"/>
        <v>2025E</v>
      </c>
      <c r="H28" s="96" t="str">
        <f t="shared" si="17"/>
        <v>2026E</v>
      </c>
      <c r="I28" s="96" t="str">
        <f t="shared" si="17"/>
        <v>2027E</v>
      </c>
      <c r="J28" s="96" t="str">
        <f t="shared" si="17"/>
        <v>2028E</v>
      </c>
      <c r="K28" s="96" t="str">
        <f t="shared" si="17"/>
        <v>2029E</v>
      </c>
      <c r="L28" s="96" t="str">
        <f t="shared" si="17"/>
        <v>2030E</v>
      </c>
      <c r="M28" s="96" t="str">
        <f t="shared" si="17"/>
        <v>2031E</v>
      </c>
      <c r="N28" s="96" t="str">
        <f t="shared" si="17"/>
        <v>2032E</v>
      </c>
      <c r="O28" s="96" t="str">
        <f t="shared" si="17"/>
        <v>2033E</v>
      </c>
    </row>
    <row r="29" spans="1:15" ht="15" x14ac:dyDescent="0.25">
      <c r="A29" s="2" t="s">
        <v>3</v>
      </c>
      <c r="B29" s="16"/>
      <c r="C29" s="16"/>
      <c r="D29" s="16">
        <v>15564</v>
      </c>
      <c r="E29" s="16">
        <v>15821</v>
      </c>
      <c r="F29" s="3">
        <f t="shared" ref="F29:O29" si="18">E29+F42</f>
        <v>16571</v>
      </c>
      <c r="G29" s="3">
        <f t="shared" si="18"/>
        <v>17221</v>
      </c>
      <c r="H29" s="3">
        <f t="shared" si="18"/>
        <v>17771</v>
      </c>
      <c r="I29" s="3">
        <f t="shared" si="18"/>
        <v>18221</v>
      </c>
      <c r="J29" s="3">
        <f t="shared" si="18"/>
        <v>18621</v>
      </c>
      <c r="K29" s="3">
        <f t="shared" si="18"/>
        <v>18921</v>
      </c>
      <c r="L29" s="3">
        <f t="shared" si="18"/>
        <v>19121</v>
      </c>
      <c r="M29" s="3">
        <f t="shared" si="18"/>
        <v>19321</v>
      </c>
      <c r="N29" s="3">
        <f t="shared" si="18"/>
        <v>19521</v>
      </c>
      <c r="O29" s="3">
        <f t="shared" si="18"/>
        <v>19721</v>
      </c>
    </row>
    <row r="30" spans="1:15" ht="15" x14ac:dyDescent="0.25">
      <c r="A30" s="2" t="s">
        <v>1</v>
      </c>
      <c r="B30" s="33">
        <f>C30/1.21-3.5</f>
        <v>7520.8801652892562</v>
      </c>
      <c r="C30" s="33">
        <f>D30-1900-67/2</f>
        <v>9104.5</v>
      </c>
      <c r="D30" s="16">
        <v>11038</v>
      </c>
      <c r="E30" s="16">
        <v>13261</v>
      </c>
      <c r="F30" s="3">
        <f t="shared" ref="F30:O30" si="19">E30+F43</f>
        <v>14461</v>
      </c>
      <c r="G30" s="3">
        <f t="shared" si="19"/>
        <v>15561</v>
      </c>
      <c r="H30" s="3">
        <f t="shared" si="19"/>
        <v>16561</v>
      </c>
      <c r="I30" s="3">
        <f t="shared" si="19"/>
        <v>17561</v>
      </c>
      <c r="J30" s="3">
        <f t="shared" si="19"/>
        <v>18561</v>
      </c>
      <c r="K30" s="3">
        <f t="shared" si="19"/>
        <v>19561</v>
      </c>
      <c r="L30" s="3">
        <f t="shared" si="19"/>
        <v>20561</v>
      </c>
      <c r="M30" s="3">
        <f t="shared" si="19"/>
        <v>21561</v>
      </c>
      <c r="N30" s="3">
        <f t="shared" si="19"/>
        <v>22561</v>
      </c>
      <c r="O30" s="3">
        <f t="shared" si="19"/>
        <v>23561</v>
      </c>
    </row>
    <row r="31" spans="1:15" ht="15" x14ac:dyDescent="0.25">
      <c r="A31" s="2" t="s">
        <v>2</v>
      </c>
      <c r="B31" s="33">
        <f>C31/1.11-3.5</f>
        <v>3148.3018018018015</v>
      </c>
      <c r="C31" s="33">
        <f>D31-200-67/2</f>
        <v>3498.5</v>
      </c>
      <c r="D31" s="16">
        <v>3732</v>
      </c>
      <c r="E31" s="16">
        <v>4102</v>
      </c>
      <c r="F31" s="3">
        <f t="shared" ref="F31:O31" si="20">E31+F44</f>
        <v>4802</v>
      </c>
      <c r="G31" s="3">
        <f t="shared" si="20"/>
        <v>5402</v>
      </c>
      <c r="H31" s="3">
        <f t="shared" si="20"/>
        <v>5902</v>
      </c>
      <c r="I31" s="3">
        <f t="shared" si="20"/>
        <v>6402</v>
      </c>
      <c r="J31" s="3">
        <f t="shared" si="20"/>
        <v>6902</v>
      </c>
      <c r="K31" s="3">
        <f t="shared" si="20"/>
        <v>7402</v>
      </c>
      <c r="L31" s="3">
        <f t="shared" si="20"/>
        <v>7902</v>
      </c>
      <c r="M31" s="3">
        <f t="shared" si="20"/>
        <v>8402</v>
      </c>
      <c r="N31" s="3">
        <f t="shared" si="20"/>
        <v>8902</v>
      </c>
      <c r="O31" s="3">
        <f t="shared" si="20"/>
        <v>9402</v>
      </c>
    </row>
    <row r="32" spans="1:15" ht="15" x14ac:dyDescent="0.25">
      <c r="A32" s="2" t="s">
        <v>4</v>
      </c>
      <c r="B32" s="16"/>
      <c r="C32" s="16"/>
      <c r="D32" s="16"/>
      <c r="E32" s="16">
        <v>5325</v>
      </c>
      <c r="F32" s="3">
        <f t="shared" ref="F32:O32" si="21">E32+F45</f>
        <v>5925</v>
      </c>
      <c r="G32" s="3">
        <f t="shared" si="21"/>
        <v>6425</v>
      </c>
      <c r="H32" s="3">
        <f t="shared" si="21"/>
        <v>6825</v>
      </c>
      <c r="I32" s="3">
        <f t="shared" si="21"/>
        <v>7175</v>
      </c>
      <c r="J32" s="3">
        <f t="shared" si="21"/>
        <v>7475</v>
      </c>
      <c r="K32" s="3">
        <f t="shared" si="21"/>
        <v>7725</v>
      </c>
      <c r="L32" s="3">
        <f t="shared" si="21"/>
        <v>7925</v>
      </c>
      <c r="M32" s="3">
        <f t="shared" si="21"/>
        <v>8075</v>
      </c>
      <c r="N32" s="3">
        <f t="shared" si="21"/>
        <v>8225</v>
      </c>
      <c r="O32" s="3">
        <f t="shared" si="21"/>
        <v>8375</v>
      </c>
    </row>
    <row r="33" spans="1:22" ht="15" x14ac:dyDescent="0.25">
      <c r="A33" s="5" t="s">
        <v>27</v>
      </c>
      <c r="B33" s="32">
        <v>10669</v>
      </c>
      <c r="C33" s="32">
        <v>12603</v>
      </c>
      <c r="D33" s="4">
        <f>SUM(D29:D32)</f>
        <v>30334</v>
      </c>
      <c r="E33" s="4">
        <f>SUM(E29:E32)</f>
        <v>38509</v>
      </c>
      <c r="F33" s="4">
        <f>SUM(F29:F32)</f>
        <v>41759</v>
      </c>
      <c r="G33" s="4">
        <f t="shared" ref="G33:O33" si="22">SUM(G29:G32)</f>
        <v>44609</v>
      </c>
      <c r="H33" s="4">
        <f t="shared" si="22"/>
        <v>47059</v>
      </c>
      <c r="I33" s="4">
        <f t="shared" si="22"/>
        <v>49359</v>
      </c>
      <c r="J33" s="4">
        <f t="shared" si="22"/>
        <v>51559</v>
      </c>
      <c r="K33" s="4">
        <f t="shared" si="22"/>
        <v>53609</v>
      </c>
      <c r="L33" s="4">
        <f t="shared" si="22"/>
        <v>55509</v>
      </c>
      <c r="M33" s="4">
        <f t="shared" si="22"/>
        <v>57359</v>
      </c>
      <c r="N33" s="4">
        <f t="shared" si="22"/>
        <v>59209</v>
      </c>
      <c r="O33" s="4">
        <f t="shared" si="22"/>
        <v>61059</v>
      </c>
    </row>
    <row r="34" spans="1:22" ht="15" x14ac:dyDescent="0.25">
      <c r="A34" s="2"/>
      <c r="B34" s="16"/>
      <c r="C34" s="1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22" ht="15" x14ac:dyDescent="0.25">
      <c r="A35" s="2" t="s">
        <v>3</v>
      </c>
      <c r="B35" s="16"/>
      <c r="C35" s="97"/>
      <c r="D35" s="97"/>
      <c r="E35" s="97">
        <f t="shared" ref="E35:O35" si="23">E29/D29-1</f>
        <v>1.6512464662040705E-2</v>
      </c>
      <c r="F35" s="97">
        <f t="shared" si="23"/>
        <v>4.7405347323178137E-2</v>
      </c>
      <c r="G35" s="97">
        <f t="shared" si="23"/>
        <v>3.9225152374630312E-2</v>
      </c>
      <c r="H35" s="97">
        <f t="shared" si="23"/>
        <v>3.1937750420997668E-2</v>
      </c>
      <c r="I35" s="97">
        <f t="shared" si="23"/>
        <v>2.5322154071239611E-2</v>
      </c>
      <c r="J35" s="97">
        <f t="shared" si="23"/>
        <v>2.1952691948850189E-2</v>
      </c>
      <c r="K35" s="97">
        <f t="shared" si="23"/>
        <v>1.6110842597067743E-2</v>
      </c>
      <c r="L35" s="97">
        <f t="shared" si="23"/>
        <v>1.0570265842186011E-2</v>
      </c>
      <c r="M35" s="97">
        <f t="shared" si="23"/>
        <v>1.0459703990377101E-2</v>
      </c>
      <c r="N35" s="97">
        <f t="shared" si="23"/>
        <v>1.035143108534764E-2</v>
      </c>
      <c r="O35" s="97">
        <f t="shared" si="23"/>
        <v>1.0245376773730941E-2</v>
      </c>
    </row>
    <row r="36" spans="1:22" ht="15" x14ac:dyDescent="0.25">
      <c r="A36" s="2" t="str">
        <f>A30</f>
        <v>Madagascar</v>
      </c>
      <c r="B36" s="16"/>
      <c r="C36" s="97">
        <f t="shared" ref="C36:O39" si="24">C30/B30-1</f>
        <v>0.2105630989866778</v>
      </c>
      <c r="D36" s="97">
        <f t="shared" si="24"/>
        <v>0.21236751057169534</v>
      </c>
      <c r="E36" s="97">
        <f t="shared" si="24"/>
        <v>0.20139518028628367</v>
      </c>
      <c r="F36" s="97">
        <f t="shared" si="24"/>
        <v>9.0490913204132495E-2</v>
      </c>
      <c r="G36" s="97">
        <f t="shared" si="24"/>
        <v>7.6066662056565981E-2</v>
      </c>
      <c r="H36" s="97">
        <f t="shared" si="24"/>
        <v>6.4263222157959099E-2</v>
      </c>
      <c r="I36" s="97">
        <f t="shared" si="24"/>
        <v>6.0382827123965921E-2</v>
      </c>
      <c r="J36" s="97">
        <f t="shared" si="24"/>
        <v>5.6944365355048099E-2</v>
      </c>
      <c r="K36" s="97">
        <f t="shared" si="24"/>
        <v>5.3876407521146419E-2</v>
      </c>
      <c r="L36" s="97">
        <f t="shared" si="24"/>
        <v>5.1122130770410612E-2</v>
      </c>
      <c r="M36" s="97">
        <f t="shared" si="24"/>
        <v>4.863576674286274E-2</v>
      </c>
      <c r="N36" s="97">
        <f t="shared" si="24"/>
        <v>4.6380038031631265E-2</v>
      </c>
      <c r="O36" s="97">
        <f t="shared" si="24"/>
        <v>4.4324276406187746E-2</v>
      </c>
    </row>
    <row r="37" spans="1:22" ht="15" x14ac:dyDescent="0.25">
      <c r="A37" s="2" t="str">
        <f>A31</f>
        <v>Togo</v>
      </c>
      <c r="B37" s="16"/>
      <c r="C37" s="97">
        <f t="shared" si="24"/>
        <v>0.11123399859498129</v>
      </c>
      <c r="D37" s="97">
        <f t="shared" si="24"/>
        <v>6.6742889809918493E-2</v>
      </c>
      <c r="E37" s="97">
        <f t="shared" si="24"/>
        <v>9.914255091103974E-2</v>
      </c>
      <c r="F37" s="97">
        <f t="shared" si="24"/>
        <v>0.17064846416382262</v>
      </c>
      <c r="G37" s="97">
        <f t="shared" si="24"/>
        <v>0.12494793835901707</v>
      </c>
      <c r="H37" s="97">
        <f t="shared" si="24"/>
        <v>9.255831173639395E-2</v>
      </c>
      <c r="I37" s="97">
        <f t="shared" si="24"/>
        <v>8.4717045069467867E-2</v>
      </c>
      <c r="J37" s="97">
        <f t="shared" si="24"/>
        <v>7.8100593564511156E-2</v>
      </c>
      <c r="K37" s="97">
        <f t="shared" si="24"/>
        <v>7.2442770211532892E-2</v>
      </c>
      <c r="L37" s="97">
        <f t="shared" si="24"/>
        <v>6.7549310997027767E-2</v>
      </c>
      <c r="M37" s="97">
        <f t="shared" si="24"/>
        <v>6.3275120222728409E-2</v>
      </c>
      <c r="N37" s="97">
        <f t="shared" si="24"/>
        <v>5.9509640561770993E-2</v>
      </c>
      <c r="O37" s="97">
        <f t="shared" si="24"/>
        <v>5.6167153448663187E-2</v>
      </c>
    </row>
    <row r="38" spans="1:22" ht="15" x14ac:dyDescent="0.25">
      <c r="A38" s="2" t="str">
        <f>A32</f>
        <v>Senegal</v>
      </c>
      <c r="B38" s="16"/>
      <c r="C38" s="97"/>
      <c r="D38" s="97"/>
      <c r="E38" s="97"/>
      <c r="F38" s="97">
        <f t="shared" si="24"/>
        <v>0.11267605633802824</v>
      </c>
      <c r="G38" s="97">
        <f t="shared" si="24"/>
        <v>8.4388185654008518E-2</v>
      </c>
      <c r="H38" s="97">
        <f t="shared" si="24"/>
        <v>6.2256809338521402E-2</v>
      </c>
      <c r="I38" s="97">
        <f t="shared" si="24"/>
        <v>5.1282051282051322E-2</v>
      </c>
      <c r="J38" s="97">
        <f t="shared" si="24"/>
        <v>4.1811846689895571E-2</v>
      </c>
      <c r="K38" s="97">
        <f t="shared" si="24"/>
        <v>3.3444816053511683E-2</v>
      </c>
      <c r="L38" s="97">
        <f t="shared" si="24"/>
        <v>2.5889967637540368E-2</v>
      </c>
      <c r="M38" s="97">
        <f t="shared" si="24"/>
        <v>1.8927444794952786E-2</v>
      </c>
      <c r="N38" s="97">
        <f t="shared" si="24"/>
        <v>1.8575851393188847E-2</v>
      </c>
      <c r="O38" s="97">
        <f t="shared" si="24"/>
        <v>1.8237082066869359E-2</v>
      </c>
    </row>
    <row r="39" spans="1:22" ht="15" x14ac:dyDescent="0.25">
      <c r="A39" s="2" t="str">
        <f>A33</f>
        <v>Total</v>
      </c>
      <c r="B39" s="16"/>
      <c r="C39" s="97">
        <f t="shared" si="24"/>
        <v>0.18127284656481391</v>
      </c>
      <c r="D39" s="97">
        <f t="shared" si="24"/>
        <v>1.4068872490676823</v>
      </c>
      <c r="E39" s="97">
        <f t="shared" si="24"/>
        <v>0.26949957143799042</v>
      </c>
      <c r="F39" s="97">
        <f t="shared" si="24"/>
        <v>8.4395855514295404E-2</v>
      </c>
      <c r="G39" s="97">
        <f t="shared" si="24"/>
        <v>6.8248760746186354E-2</v>
      </c>
      <c r="H39" s="97">
        <f t="shared" si="24"/>
        <v>5.4921652581317648E-2</v>
      </c>
      <c r="I39" s="97">
        <f t="shared" si="24"/>
        <v>4.8874816719437275E-2</v>
      </c>
      <c r="J39" s="97">
        <f t="shared" si="24"/>
        <v>4.4571405417451748E-2</v>
      </c>
      <c r="K39" s="97">
        <f t="shared" si="24"/>
        <v>3.9760274636823745E-2</v>
      </c>
      <c r="L39" s="97">
        <f t="shared" si="24"/>
        <v>3.5441810143819197E-2</v>
      </c>
      <c r="M39" s="97">
        <f t="shared" si="24"/>
        <v>3.3327928804337992E-2</v>
      </c>
      <c r="N39" s="97">
        <f t="shared" si="24"/>
        <v>3.2253003016091686E-2</v>
      </c>
      <c r="O39" s="97">
        <f t="shared" si="24"/>
        <v>3.1245249877552395E-2</v>
      </c>
    </row>
    <row r="40" spans="1:22" ht="15" x14ac:dyDescent="0.25">
      <c r="A40" s="2"/>
      <c r="D40" s="3"/>
      <c r="E40" s="3"/>
      <c r="F40" s="3"/>
      <c r="G40" s="3"/>
      <c r="H40" s="2"/>
      <c r="I40" s="2"/>
      <c r="J40" s="2"/>
      <c r="K40" s="2"/>
      <c r="L40" s="2"/>
      <c r="M40" s="2"/>
      <c r="N40" s="2"/>
      <c r="O40" s="2"/>
      <c r="U40" s="9"/>
    </row>
    <row r="41" spans="1:22" ht="15" x14ac:dyDescent="0.25">
      <c r="A41" s="6" t="s">
        <v>26</v>
      </c>
      <c r="D41" s="3"/>
      <c r="E41" s="3"/>
      <c r="F41" s="3"/>
      <c r="G41" s="3"/>
      <c r="H41" s="2"/>
      <c r="I41" s="2"/>
      <c r="J41" s="2"/>
      <c r="K41" s="2"/>
      <c r="L41" s="2"/>
      <c r="M41" s="2"/>
      <c r="N41" s="2"/>
      <c r="O41" s="2"/>
      <c r="V41" s="9"/>
    </row>
    <row r="42" spans="1:22" ht="15" x14ac:dyDescent="0.25">
      <c r="A42" s="2" t="s">
        <v>3</v>
      </c>
      <c r="B42" s="2"/>
      <c r="C42" s="2"/>
      <c r="D42" s="2"/>
      <c r="E42" s="3">
        <f>E29-D29</f>
        <v>257</v>
      </c>
      <c r="F42" s="11">
        <v>750</v>
      </c>
      <c r="G42" s="11">
        <v>650</v>
      </c>
      <c r="H42" s="11">
        <v>550</v>
      </c>
      <c r="I42" s="11">
        <v>450</v>
      </c>
      <c r="J42" s="11">
        <v>400</v>
      </c>
      <c r="K42" s="11">
        <v>300</v>
      </c>
      <c r="L42" s="11">
        <v>200</v>
      </c>
      <c r="M42" s="11">
        <v>200</v>
      </c>
      <c r="N42" s="11">
        <v>200</v>
      </c>
      <c r="O42" s="11">
        <v>200</v>
      </c>
    </row>
    <row r="43" spans="1:22" ht="15" x14ac:dyDescent="0.25">
      <c r="A43" s="2" t="s">
        <v>1</v>
      </c>
      <c r="B43" s="2"/>
      <c r="C43" s="3">
        <f>C30-B30</f>
        <v>1583.6198347107438</v>
      </c>
      <c r="D43" s="3">
        <f>D30-C30</f>
        <v>1933.5</v>
      </c>
      <c r="E43" s="3">
        <f>E30-D30</f>
        <v>2223</v>
      </c>
      <c r="F43" s="11">
        <v>1200</v>
      </c>
      <c r="G43" s="11">
        <v>1100</v>
      </c>
      <c r="H43" s="11">
        <v>1000</v>
      </c>
      <c r="I43" s="11">
        <v>1000</v>
      </c>
      <c r="J43" s="11">
        <v>1000</v>
      </c>
      <c r="K43" s="11">
        <v>1000</v>
      </c>
      <c r="L43" s="11">
        <v>1000</v>
      </c>
      <c r="M43" s="11">
        <v>1000</v>
      </c>
      <c r="N43" s="11">
        <v>1000</v>
      </c>
      <c r="O43" s="11">
        <v>1000</v>
      </c>
      <c r="U43" s="9"/>
    </row>
    <row r="44" spans="1:22" ht="15" x14ac:dyDescent="0.25">
      <c r="A44" s="2" t="s">
        <v>2</v>
      </c>
      <c r="B44" s="2"/>
      <c r="C44" s="3">
        <f>C31-B31</f>
        <v>350.1981981981985</v>
      </c>
      <c r="D44" s="3">
        <f>D31-C31</f>
        <v>233.5</v>
      </c>
      <c r="E44" s="3">
        <f>E31-D31</f>
        <v>370</v>
      </c>
      <c r="F44" s="11">
        <v>700</v>
      </c>
      <c r="G44" s="11">
        <v>600</v>
      </c>
      <c r="H44" s="11">
        <v>500</v>
      </c>
      <c r="I44" s="11">
        <v>500</v>
      </c>
      <c r="J44" s="11">
        <v>500</v>
      </c>
      <c r="K44" s="11">
        <v>500</v>
      </c>
      <c r="L44" s="11">
        <v>500</v>
      </c>
      <c r="M44" s="11">
        <v>500</v>
      </c>
      <c r="N44" s="11">
        <v>500</v>
      </c>
      <c r="O44" s="11">
        <v>500</v>
      </c>
      <c r="V44" s="9"/>
    </row>
    <row r="45" spans="1:22" ht="15" x14ac:dyDescent="0.25">
      <c r="A45" s="2" t="s">
        <v>4</v>
      </c>
      <c r="B45" s="2"/>
      <c r="C45" s="2"/>
      <c r="D45" s="2"/>
      <c r="E45" s="3"/>
      <c r="F45" s="11">
        <v>600</v>
      </c>
      <c r="G45" s="11">
        <v>500</v>
      </c>
      <c r="H45" s="11">
        <v>400</v>
      </c>
      <c r="I45" s="11">
        <v>350</v>
      </c>
      <c r="J45" s="11">
        <v>300</v>
      </c>
      <c r="K45" s="11">
        <v>250</v>
      </c>
      <c r="L45" s="11">
        <v>200</v>
      </c>
      <c r="M45" s="11">
        <v>150</v>
      </c>
      <c r="N45" s="11">
        <v>150</v>
      </c>
      <c r="O45" s="11">
        <v>150</v>
      </c>
    </row>
    <row r="46" spans="1:22" ht="15" x14ac:dyDescent="0.25">
      <c r="A46" s="2"/>
      <c r="B46" s="2"/>
      <c r="C46" s="2"/>
      <c r="D46" s="2"/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22" ht="15" x14ac:dyDescent="0.25">
      <c r="A47" s="6" t="s">
        <v>76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22" ht="15" x14ac:dyDescent="0.25">
      <c r="A48" s="2" t="s">
        <v>3</v>
      </c>
      <c r="B48" s="2"/>
      <c r="C48" s="2"/>
      <c r="D48" s="8">
        <f>D12*1000/AVERAGE(D29,C29)/12</f>
        <v>1.5064416816585282</v>
      </c>
      <c r="E48" s="8">
        <f>E12*1000/AVERAGE(E29,D29)/12</f>
        <v>1.6776186607190271</v>
      </c>
      <c r="F48" s="8">
        <f>E48*(1+F49)</f>
        <v>1.8369924334873347</v>
      </c>
      <c r="G48" s="8">
        <f t="shared" ref="G48:O48" si="25">F48*(1+G49)</f>
        <v>1.9747668659988846</v>
      </c>
      <c r="H48" s="8">
        <f t="shared" si="25"/>
        <v>2.103126712288812</v>
      </c>
      <c r="I48" s="8">
        <f t="shared" si="25"/>
        <v>2.1977674143418082</v>
      </c>
      <c r="J48" s="8">
        <f t="shared" si="25"/>
        <v>2.2417227626286444</v>
      </c>
      <c r="K48" s="8">
        <f t="shared" si="25"/>
        <v>2.2865572178812172</v>
      </c>
      <c r="L48" s="8">
        <f t="shared" si="25"/>
        <v>2.3322883622388417</v>
      </c>
      <c r="M48" s="8">
        <f t="shared" si="25"/>
        <v>2.3789341294836186</v>
      </c>
      <c r="N48" s="8">
        <f t="shared" si="25"/>
        <v>2.4265128120732911</v>
      </c>
      <c r="O48" s="8">
        <f t="shared" si="25"/>
        <v>2.4750430683147568</v>
      </c>
    </row>
    <row r="49" spans="1:17" ht="15" x14ac:dyDescent="0.25">
      <c r="A49" s="2" t="s">
        <v>10</v>
      </c>
      <c r="B49" s="2"/>
      <c r="C49" s="2"/>
      <c r="D49" s="8"/>
      <c r="E49" s="7">
        <f>E48/D48-1</f>
        <v>0.11363000715171423</v>
      </c>
      <c r="F49" s="10">
        <v>9.5000000000000001E-2</v>
      </c>
      <c r="G49" s="10">
        <v>7.4999999999999997E-2</v>
      </c>
      <c r="H49" s="10">
        <v>6.5000000000000002E-2</v>
      </c>
      <c r="I49" s="10">
        <v>4.4999999999999998E-2</v>
      </c>
      <c r="J49" s="10">
        <v>0.02</v>
      </c>
      <c r="K49" s="10">
        <v>0.02</v>
      </c>
      <c r="L49" s="10">
        <v>0.02</v>
      </c>
      <c r="M49" s="10">
        <v>0.02</v>
      </c>
      <c r="N49" s="10">
        <v>0.02</v>
      </c>
      <c r="O49" s="10">
        <v>0.02</v>
      </c>
    </row>
    <row r="50" spans="1:17" ht="15" x14ac:dyDescent="0.25">
      <c r="A50" s="2" t="s">
        <v>1</v>
      </c>
      <c r="B50" s="2"/>
      <c r="C50" s="8"/>
      <c r="D50" s="8">
        <f>D10*1000/AVERAGE(D30,C30)/12</f>
        <v>2.3965102809151464</v>
      </c>
      <c r="E50" s="8">
        <f>E10*1000/AVERAGE(E30,D30)/12</f>
        <v>2.2415593234289477</v>
      </c>
      <c r="F50" s="8">
        <f>E50*(1+F51)</f>
        <v>2.2191437301946584</v>
      </c>
      <c r="G50" s="8">
        <f t="shared" ref="G50:O50" si="26">F50*(1+G51)</f>
        <v>2.2746223234495249</v>
      </c>
      <c r="H50" s="8">
        <f t="shared" si="26"/>
        <v>2.3201147699185154</v>
      </c>
      <c r="I50" s="8">
        <f t="shared" si="26"/>
        <v>2.3665170653168857</v>
      </c>
      <c r="J50" s="8">
        <f t="shared" si="26"/>
        <v>2.4138474066232236</v>
      </c>
      <c r="K50" s="8">
        <f t="shared" si="26"/>
        <v>2.4621243547556881</v>
      </c>
      <c r="L50" s="8">
        <f t="shared" si="26"/>
        <v>2.5113668418508017</v>
      </c>
      <c r="M50" s="8">
        <f t="shared" si="26"/>
        <v>2.5615941786878178</v>
      </c>
      <c r="N50" s="8">
        <f t="shared" si="26"/>
        <v>2.6128260622615742</v>
      </c>
      <c r="O50" s="8">
        <f t="shared" si="26"/>
        <v>2.6650825835068059</v>
      </c>
      <c r="P50" s="2"/>
      <c r="Q50" s="2"/>
    </row>
    <row r="51" spans="1:17" ht="15" x14ac:dyDescent="0.25">
      <c r="A51" s="2" t="s">
        <v>10</v>
      </c>
      <c r="B51" s="2"/>
      <c r="C51" s="2"/>
      <c r="D51" s="8"/>
      <c r="E51" s="7">
        <f>E50/D50-1</f>
        <v>-6.4656913312730824E-2</v>
      </c>
      <c r="F51" s="10">
        <v>-0.01</v>
      </c>
      <c r="G51" s="10">
        <v>2.5000000000000001E-2</v>
      </c>
      <c r="H51" s="10">
        <v>0.02</v>
      </c>
      <c r="I51" s="10">
        <v>0.02</v>
      </c>
      <c r="J51" s="10">
        <v>0.02</v>
      </c>
      <c r="K51" s="10">
        <v>0.02</v>
      </c>
      <c r="L51" s="10">
        <v>0.02</v>
      </c>
      <c r="M51" s="10">
        <v>0.02</v>
      </c>
      <c r="N51" s="10">
        <v>0.02</v>
      </c>
      <c r="O51" s="10">
        <v>0.02</v>
      </c>
      <c r="P51" s="2"/>
      <c r="Q51" s="2"/>
    </row>
    <row r="52" spans="1:17" ht="15" x14ac:dyDescent="0.25">
      <c r="A52" s="2" t="s">
        <v>2</v>
      </c>
      <c r="B52" s="2"/>
      <c r="C52" s="8"/>
      <c r="D52" s="8">
        <f>D11*1000/AVERAGE(D31,C31)/12</f>
        <v>4.196420256782611</v>
      </c>
      <c r="E52" s="8">
        <f>E11*1000/AVERAGE(E31,D31)/12</f>
        <v>3.9398776699855342</v>
      </c>
      <c r="F52" s="8">
        <f>E52*(1+F53)</f>
        <v>4.0974727767849561</v>
      </c>
      <c r="G52" s="8">
        <f t="shared" ref="G52:O52" si="27">F52*(1+G53)</f>
        <v>4.138447504552806</v>
      </c>
      <c r="H52" s="8">
        <f t="shared" si="27"/>
        <v>4.1798319795983341</v>
      </c>
      <c r="I52" s="8">
        <f t="shared" si="27"/>
        <v>4.2216302993943176</v>
      </c>
      <c r="J52" s="8">
        <f t="shared" si="27"/>
        <v>4.2216302993943176</v>
      </c>
      <c r="K52" s="8">
        <f t="shared" si="27"/>
        <v>4.2216302993943176</v>
      </c>
      <c r="L52" s="8">
        <f t="shared" si="27"/>
        <v>4.2216302993943176</v>
      </c>
      <c r="M52" s="8">
        <f t="shared" si="27"/>
        <v>4.2216302993943176</v>
      </c>
      <c r="N52" s="8">
        <f t="shared" si="27"/>
        <v>4.2216302993943176</v>
      </c>
      <c r="O52" s="8">
        <f t="shared" si="27"/>
        <v>4.2216302993943176</v>
      </c>
      <c r="P52" s="2"/>
      <c r="Q52" s="2"/>
    </row>
    <row r="53" spans="1:17" ht="15" x14ac:dyDescent="0.25">
      <c r="A53" s="2" t="s">
        <v>10</v>
      </c>
      <c r="B53" s="2"/>
      <c r="C53" s="2"/>
      <c r="D53" s="7"/>
      <c r="E53" s="7">
        <f>E52/D52-1</f>
        <v>-6.1133673726417426E-2</v>
      </c>
      <c r="F53" s="10">
        <v>0.04</v>
      </c>
      <c r="G53" s="10">
        <v>0.01</v>
      </c>
      <c r="H53" s="10">
        <v>0.01</v>
      </c>
      <c r="I53" s="10">
        <v>0.01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2"/>
      <c r="Q53" s="2"/>
    </row>
    <row r="54" spans="1:17" ht="15" x14ac:dyDescent="0.25">
      <c r="A54" s="2" t="s">
        <v>4</v>
      </c>
      <c r="B54" s="2"/>
      <c r="C54" s="2"/>
      <c r="D54" s="8"/>
      <c r="E54" s="8">
        <f>E13*1000/AVERAGE(E32,D32)/12</f>
        <v>2.0457333333333336</v>
      </c>
      <c r="F54" s="8">
        <f>E54*(1+F55)</f>
        <v>2.004818666666667</v>
      </c>
      <c r="G54" s="8">
        <f t="shared" ref="G54:O54" si="28">F54*(1+G55)</f>
        <v>1.9647222933333337</v>
      </c>
      <c r="H54" s="8">
        <f t="shared" si="28"/>
        <v>1.9647222933333337</v>
      </c>
      <c r="I54" s="8">
        <f t="shared" si="28"/>
        <v>2.0040167392000003</v>
      </c>
      <c r="J54" s="8">
        <f t="shared" si="28"/>
        <v>2.0440970739840005</v>
      </c>
      <c r="K54" s="8">
        <f t="shared" si="28"/>
        <v>2.0849790154636807</v>
      </c>
      <c r="L54" s="8">
        <f t="shared" si="28"/>
        <v>2.1266785957729542</v>
      </c>
      <c r="M54" s="8">
        <f t="shared" si="28"/>
        <v>2.1692121676884133</v>
      </c>
      <c r="N54" s="8">
        <f t="shared" si="28"/>
        <v>2.2125964110421816</v>
      </c>
      <c r="O54" s="8">
        <f t="shared" si="28"/>
        <v>2.2568483392630254</v>
      </c>
      <c r="P54" s="2"/>
      <c r="Q54" s="2"/>
    </row>
    <row r="55" spans="1:17" ht="15" x14ac:dyDescent="0.25">
      <c r="A55" s="2" t="s">
        <v>10</v>
      </c>
      <c r="B55" s="2"/>
      <c r="C55" s="2"/>
      <c r="D55" s="8"/>
      <c r="E55" s="7"/>
      <c r="F55" s="10">
        <v>-0.02</v>
      </c>
      <c r="G55" s="10">
        <v>-0.02</v>
      </c>
      <c r="H55" s="10">
        <v>0</v>
      </c>
      <c r="I55" s="10">
        <v>0.02</v>
      </c>
      <c r="J55" s="10">
        <v>0.02</v>
      </c>
      <c r="K55" s="10">
        <v>0.02</v>
      </c>
      <c r="L55" s="10">
        <v>0.02</v>
      </c>
      <c r="M55" s="10">
        <v>0.02</v>
      </c>
      <c r="N55" s="10">
        <v>0.02</v>
      </c>
      <c r="O55" s="10">
        <v>0.02</v>
      </c>
      <c r="P55" s="2"/>
      <c r="Q55" s="2"/>
    </row>
    <row r="56" spans="1:17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5">
      <c r="A60" s="6" t="s">
        <v>171</v>
      </c>
      <c r="B60" s="2"/>
      <c r="C60" s="2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" x14ac:dyDescent="0.25">
      <c r="A61" s="2" t="s">
        <v>11</v>
      </c>
      <c r="B61" s="2"/>
      <c r="C61" s="16">
        <f>68%*C4</f>
        <v>330.38412</v>
      </c>
      <c r="D61" s="16">
        <f>67%*D4</f>
        <v>554.43505000000005</v>
      </c>
      <c r="E61" s="16">
        <f>67%*E4</f>
        <v>729.86651000000006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5" x14ac:dyDescent="0.25">
      <c r="A62" s="2" t="s">
        <v>12</v>
      </c>
      <c r="B62" s="2"/>
      <c r="C62" s="16">
        <f>11%*C4</f>
        <v>53.444489999999995</v>
      </c>
      <c r="D62" s="16">
        <f>12%*D4</f>
        <v>99.3018</v>
      </c>
      <c r="E62" s="16">
        <f>12%*E4</f>
        <v>130.72236000000001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5" x14ac:dyDescent="0.25">
      <c r="A63" s="2" t="s">
        <v>13</v>
      </c>
      <c r="B63" s="2"/>
      <c r="C63" s="16">
        <f>13%*C4</f>
        <v>63.161670000000001</v>
      </c>
      <c r="D63" s="16">
        <f>16%*D4</f>
        <v>132.4024</v>
      </c>
      <c r="E63" s="16">
        <f>14%*E4</f>
        <v>152.50942000000003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5" x14ac:dyDescent="0.25">
      <c r="A64" s="2" t="s">
        <v>14</v>
      </c>
      <c r="B64" s="2"/>
      <c r="C64" s="3">
        <f>C4-SUM(C61:C63)</f>
        <v>38.868719999999996</v>
      </c>
      <c r="D64" s="3">
        <f>D4-SUM(D61:D63)</f>
        <v>41.375750000000039</v>
      </c>
      <c r="E64" s="3">
        <f>E4-SUM(E61:E63)</f>
        <v>76.254709999999932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5" x14ac:dyDescent="0.25">
      <c r="A65" s="2"/>
      <c r="B65" s="2"/>
      <c r="C65" s="2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5" x14ac:dyDescent="0.25">
      <c r="A66" s="2" t="s">
        <v>75</v>
      </c>
      <c r="B66" s="2"/>
      <c r="C66" s="16">
        <v>12603</v>
      </c>
      <c r="D66" s="16">
        <v>30334</v>
      </c>
      <c r="E66" s="16">
        <v>38509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5" x14ac:dyDescent="0.25">
      <c r="A67" s="2" t="s">
        <v>126</v>
      </c>
      <c r="B67" s="2"/>
      <c r="C67" s="16">
        <v>1896</v>
      </c>
      <c r="D67" s="16">
        <v>2471</v>
      </c>
      <c r="E67" s="16">
        <v>2966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5" x14ac:dyDescent="0.25">
      <c r="A68" s="2" t="s">
        <v>167</v>
      </c>
      <c r="B68" s="2"/>
      <c r="C68" s="16">
        <v>3042</v>
      </c>
      <c r="D68" s="16">
        <v>10287</v>
      </c>
      <c r="E68" s="16">
        <v>12649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5" x14ac:dyDescent="0.25">
      <c r="A70" s="2" t="s">
        <v>169</v>
      </c>
      <c r="B70" s="2"/>
      <c r="C70" s="8">
        <f>C61*1000/AVERAGE(B66:C66)/12</f>
        <v>2.18456002539078</v>
      </c>
      <c r="D70" s="8">
        <f>D61*1000/AVERAGE(C66:D66)/12</f>
        <v>2.1521261771122036</v>
      </c>
      <c r="E70" s="8">
        <f>E61*1000/AVERAGE(D66:E66)/12</f>
        <v>1.7669831113306123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5" x14ac:dyDescent="0.25">
      <c r="A71" s="2" t="s">
        <v>168</v>
      </c>
      <c r="B71" s="2"/>
      <c r="C71" s="3">
        <f>C62*1000000/AVERAGE(B67:C67)/12</f>
        <v>2349.0018459915609</v>
      </c>
      <c r="D71" s="3">
        <f>D62*1000000/AVERAGE(C67:D67)/12</f>
        <v>3789.855736203343</v>
      </c>
      <c r="E71" s="3">
        <f>E62*1000000/AVERAGE(D67:E67)/12</f>
        <v>4007.1841088835758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5" x14ac:dyDescent="0.25">
      <c r="A72" s="2" t="s">
        <v>170</v>
      </c>
      <c r="B72" s="2"/>
      <c r="C72" s="8">
        <f>C63*1000/AVERAGE(B68:C68)/12</f>
        <v>1.7302670940170941</v>
      </c>
      <c r="D72" s="8">
        <f>D63*1000/AVERAGE(C68:D68)/12</f>
        <v>1.655568059619376</v>
      </c>
      <c r="E72" s="8">
        <f>E63*1000/AVERAGE(D68:E68)/12</f>
        <v>1.1082244797116616</v>
      </c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7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7" ht="15" x14ac:dyDescent="0.25">
      <c r="A74" s="2"/>
      <c r="B74" s="2"/>
      <c r="C74" s="7"/>
      <c r="D74" s="7"/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7" ht="15" x14ac:dyDescent="0.25">
      <c r="A75" s="2"/>
      <c r="B75" s="2"/>
      <c r="C75" s="7"/>
      <c r="D75" s="7"/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7" ht="15" x14ac:dyDescent="0.25">
      <c r="A76" s="2"/>
      <c r="B76" s="2"/>
      <c r="C76" s="7"/>
      <c r="D76" s="7"/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7" ht="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</sheetData>
  <pageMargins left="0.7" right="0.7" top="0.75" bottom="0.75" header="0.3" footer="0.3"/>
  <ignoredErrors>
    <ignoredError sqref="C70:E72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2B2EC-D2ED-4306-B0B5-17A3990F8886}">
  <dimension ref="A1:V145"/>
  <sheetViews>
    <sheetView zoomScaleNormal="100" workbookViewId="0">
      <pane ySplit="1" topLeftCell="A2" activePane="bottomLeft" state="frozen"/>
      <selection pane="bottomLeft" activeCell="F35" sqref="F35"/>
    </sheetView>
  </sheetViews>
  <sheetFormatPr defaultRowHeight="12.75" x14ac:dyDescent="0.2"/>
  <cols>
    <col min="1" max="1" width="53.5703125" customWidth="1"/>
  </cols>
  <sheetData>
    <row r="1" spans="1:19" ht="27.75" customHeight="1" x14ac:dyDescent="0.25">
      <c r="A1" s="19" t="s">
        <v>57</v>
      </c>
      <c r="B1" s="20">
        <v>2020</v>
      </c>
      <c r="C1" s="20">
        <v>2021</v>
      </c>
      <c r="D1" s="20">
        <v>2022</v>
      </c>
      <c r="E1" s="20">
        <v>2023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"/>
      <c r="Q1" s="3"/>
      <c r="R1" s="7"/>
      <c r="S1" s="1"/>
    </row>
    <row r="2" spans="1:19" ht="15" x14ac:dyDescent="0.25">
      <c r="A2" s="5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19" ht="15" x14ac:dyDescent="0.25">
      <c r="A4" s="22" t="s">
        <v>57</v>
      </c>
      <c r="B4" s="13">
        <v>2020</v>
      </c>
      <c r="C4" s="13">
        <v>2021</v>
      </c>
      <c r="D4" s="13">
        <v>2022</v>
      </c>
      <c r="E4" s="13">
        <v>2023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2"/>
      <c r="Q4" s="2"/>
      <c r="R4" s="2"/>
      <c r="S4" s="1"/>
    </row>
    <row r="5" spans="1:19" ht="15" x14ac:dyDescent="0.25">
      <c r="A5" s="6" t="s">
        <v>0</v>
      </c>
      <c r="B5" s="3">
        <f>Revenue!B4</f>
        <v>429.154</v>
      </c>
      <c r="C5" s="3">
        <f>Revenue!C4</f>
        <v>485.85899999999998</v>
      </c>
      <c r="D5" s="3">
        <f>Revenue!D4</f>
        <v>827.51499999999999</v>
      </c>
      <c r="E5" s="3">
        <f>Revenue!E4</f>
        <v>1089.3530000000001</v>
      </c>
      <c r="F5" s="3">
        <f>Revenue!F4</f>
        <v>1238.3225989908276</v>
      </c>
      <c r="G5" s="3">
        <f>Revenue!G4</f>
        <v>1367.6446546173563</v>
      </c>
      <c r="H5" s="3">
        <f>Revenue!H4</f>
        <v>1488.0442548354736</v>
      </c>
      <c r="I5" s="3">
        <f>Revenue!I4</f>
        <v>1600.1385320476368</v>
      </c>
      <c r="J5" s="3">
        <f>Revenue!J4</f>
        <v>1697.9436785991634</v>
      </c>
      <c r="K5" s="3">
        <f>Revenue!K4</f>
        <v>1794.8410470788365</v>
      </c>
      <c r="L5" s="3">
        <f>Revenue!L4</f>
        <v>1889.8528195120084</v>
      </c>
      <c r="M5" s="3">
        <f>Revenue!M4</f>
        <v>1984.0903030167394</v>
      </c>
      <c r="N5" s="3">
        <f>Revenue!N4</f>
        <v>2079.4525049615004</v>
      </c>
      <c r="O5" s="3">
        <f>Revenue!O4</f>
        <v>2176.5435817834905</v>
      </c>
      <c r="P5" s="2"/>
      <c r="Q5" s="2"/>
      <c r="R5" s="2"/>
      <c r="S5" s="1"/>
    </row>
    <row r="6" spans="1:19" ht="15" x14ac:dyDescent="0.25">
      <c r="A6" s="2" t="s">
        <v>41</v>
      </c>
      <c r="B6" s="16">
        <v>28.571999999999999</v>
      </c>
      <c r="C6" s="16">
        <v>33.427</v>
      </c>
      <c r="D6" s="16">
        <v>15.58</v>
      </c>
      <c r="E6" s="16">
        <v>22.556000000000001</v>
      </c>
      <c r="F6" s="3">
        <f t="shared" ref="F6:O6" si="0">F5*F86</f>
        <v>24.766451979816551</v>
      </c>
      <c r="G6" s="3">
        <f t="shared" si="0"/>
        <v>27.352893092347127</v>
      </c>
      <c r="H6" s="3">
        <f t="shared" si="0"/>
        <v>29.760885096709472</v>
      </c>
      <c r="I6" s="3">
        <f t="shared" si="0"/>
        <v>32.002770640952733</v>
      </c>
      <c r="J6" s="3">
        <f t="shared" si="0"/>
        <v>33.958873571983268</v>
      </c>
      <c r="K6" s="3">
        <f t="shared" si="0"/>
        <v>35.896820941576728</v>
      </c>
      <c r="L6" s="3">
        <f t="shared" si="0"/>
        <v>37.797056390240172</v>
      </c>
      <c r="M6" s="3">
        <f t="shared" si="0"/>
        <v>39.681806060334786</v>
      </c>
      <c r="N6" s="3">
        <f t="shared" si="0"/>
        <v>41.589050099230008</v>
      </c>
      <c r="O6" s="3">
        <f t="shared" si="0"/>
        <v>43.530871635669811</v>
      </c>
      <c r="P6" s="2"/>
      <c r="Q6" s="2"/>
      <c r="R6" s="2"/>
      <c r="S6" s="1"/>
    </row>
    <row r="7" spans="1:19" ht="15" x14ac:dyDescent="0.25">
      <c r="A7" s="2" t="s">
        <v>28</v>
      </c>
      <c r="B7" s="16">
        <v>-4.984</v>
      </c>
      <c r="C7" s="16">
        <v>-8.8800000000000008</v>
      </c>
      <c r="D7" s="16">
        <v>-17.585999999999999</v>
      </c>
      <c r="E7" s="16">
        <v>-29.717416</v>
      </c>
      <c r="F7" s="3">
        <f>F51</f>
        <v>-34.400449657274393</v>
      </c>
      <c r="G7" s="3">
        <f t="shared" ref="G7:O7" si="1">G51</f>
        <v>-38.676822801132118</v>
      </c>
      <c r="H7" s="3">
        <f t="shared" si="1"/>
        <v>-42.825730830192292</v>
      </c>
      <c r="I7" s="3">
        <f t="shared" si="1"/>
        <v>-46.851859622264165</v>
      </c>
      <c r="J7" s="3">
        <f t="shared" si="1"/>
        <v>-50.564554136064459</v>
      </c>
      <c r="K7" s="3">
        <f t="shared" si="1"/>
        <v>-54.347566387931906</v>
      </c>
      <c r="L7" s="3">
        <f t="shared" si="1"/>
        <v>-57.602481747782072</v>
      </c>
      <c r="M7" s="3">
        <f t="shared" si="1"/>
        <v>-60.871646727411559</v>
      </c>
      <c r="N7" s="3">
        <f t="shared" si="1"/>
        <v>-64.21323786768599</v>
      </c>
      <c r="O7" s="3">
        <f t="shared" si="1"/>
        <v>-67.646707107509727</v>
      </c>
      <c r="P7" s="2"/>
      <c r="Q7" s="2"/>
      <c r="R7" s="2"/>
      <c r="S7" s="1"/>
    </row>
    <row r="8" spans="1:19" ht="15" x14ac:dyDescent="0.25">
      <c r="A8" s="2" t="s">
        <v>29</v>
      </c>
      <c r="B8" s="16">
        <v>-19.158000000000001</v>
      </c>
      <c r="C8" s="16">
        <v>-18.324999999999999</v>
      </c>
      <c r="D8" s="16">
        <v>-27.048999999999999</v>
      </c>
      <c r="E8" s="16">
        <v>-31.496331999999999</v>
      </c>
      <c r="F8" s="3">
        <f t="shared" ref="F8:O15" si="2">F52</f>
        <v>-34.565149462790771</v>
      </c>
      <c r="G8" s="3">
        <f t="shared" si="2"/>
        <v>-36.807255760961617</v>
      </c>
      <c r="H8" s="3">
        <f t="shared" si="2"/>
        <v>-38.559511436217008</v>
      </c>
      <c r="I8" s="3">
        <f t="shared" si="2"/>
        <v>-39.864058399947709</v>
      </c>
      <c r="J8" s="3">
        <f t="shared" si="2"/>
        <v>-40.602722549894622</v>
      </c>
      <c r="K8" s="3">
        <f t="shared" si="2"/>
        <v>-41.124976597183668</v>
      </c>
      <c r="L8" s="3">
        <f t="shared" si="2"/>
        <v>-40.467190658842718</v>
      </c>
      <c r="M8" s="3">
        <f t="shared" si="2"/>
        <v>-39.508951081087631</v>
      </c>
      <c r="N8" s="3">
        <f t="shared" si="2"/>
        <v>-38.288708357903381</v>
      </c>
      <c r="O8" s="3">
        <f t="shared" si="2"/>
        <v>-36.811619281319139</v>
      </c>
      <c r="P8" s="2"/>
      <c r="Q8" s="2"/>
      <c r="R8" s="2"/>
      <c r="S8" s="1"/>
    </row>
    <row r="9" spans="1:19" ht="15" x14ac:dyDescent="0.25">
      <c r="A9" s="2" t="s">
        <v>30</v>
      </c>
      <c r="B9" s="16">
        <v>-20.187000000000001</v>
      </c>
      <c r="C9" s="16">
        <v>-22.584</v>
      </c>
      <c r="D9" s="16">
        <v>-50.13</v>
      </c>
      <c r="E9" s="16">
        <v>-66.14281299999999</v>
      </c>
      <c r="F9" s="3">
        <f t="shared" si="2"/>
        <v>-75.807038965159606</v>
      </c>
      <c r="G9" s="3">
        <f t="shared" si="2"/>
        <v>-84.407636870919475</v>
      </c>
      <c r="H9" s="3">
        <f t="shared" si="2"/>
        <v>-92.582423780917424</v>
      </c>
      <c r="I9" s="3">
        <f t="shared" si="2"/>
        <v>-100.35672102608126</v>
      </c>
      <c r="J9" s="3">
        <f t="shared" si="2"/>
        <v>-107.33978913942416</v>
      </c>
      <c r="K9" s="3">
        <f t="shared" si="2"/>
        <v>-114.36282103150683</v>
      </c>
      <c r="L9" s="3">
        <f t="shared" si="2"/>
        <v>-120.79470614363376</v>
      </c>
      <c r="M9" s="3">
        <f t="shared" si="2"/>
        <v>-127.21495047856938</v>
      </c>
      <c r="N9" s="3">
        <f t="shared" si="2"/>
        <v>-133.74522890811744</v>
      </c>
      <c r="O9" s="3">
        <f t="shared" si="2"/>
        <v>-140.42519493860362</v>
      </c>
      <c r="P9" s="2"/>
      <c r="Q9" s="2"/>
      <c r="R9" s="2"/>
      <c r="S9" s="1"/>
    </row>
    <row r="10" spans="1:19" ht="15" x14ac:dyDescent="0.25">
      <c r="A10" s="2" t="s">
        <v>31</v>
      </c>
      <c r="B10" s="16">
        <v>-3.653</v>
      </c>
      <c r="C10" s="16">
        <v>-3.8210000000000002</v>
      </c>
      <c r="D10" s="16">
        <v>-11.917</v>
      </c>
      <c r="E10" s="16">
        <v>-17.546525000000003</v>
      </c>
      <c r="F10" s="3">
        <f t="shared" si="2"/>
        <v>-20.565182874923703</v>
      </c>
      <c r="G10" s="3">
        <f t="shared" si="2"/>
        <v>-23.396694121006863</v>
      </c>
      <c r="H10" s="3">
        <f t="shared" si="2"/>
        <v>-26.200427160235197</v>
      </c>
      <c r="I10" s="3">
        <f t="shared" si="2"/>
        <v>-28.974172905055148</v>
      </c>
      <c r="J10" s="3">
        <f t="shared" si="2"/>
        <v>-31.594130924883647</v>
      </c>
      <c r="K10" s="3">
        <f t="shared" si="2"/>
        <v>-34.294548912125272</v>
      </c>
      <c r="L10" s="3">
        <f t="shared" si="2"/>
        <v>-36.582429633913904</v>
      </c>
      <c r="M10" s="3">
        <f t="shared" si="2"/>
        <v>-38.902634534130335</v>
      </c>
      <c r="N10" s="3">
        <f t="shared" si="2"/>
        <v>-41.292292036658061</v>
      </c>
      <c r="O10" s="3">
        <f t="shared" si="2"/>
        <v>-43.764393629190842</v>
      </c>
      <c r="P10" s="2"/>
      <c r="Q10" s="2"/>
      <c r="R10" s="2"/>
      <c r="S10" s="1"/>
    </row>
    <row r="11" spans="1:19" ht="15" x14ac:dyDescent="0.25">
      <c r="A11" s="2" t="s">
        <v>32</v>
      </c>
      <c r="B11" s="16">
        <v>-27.29</v>
      </c>
      <c r="C11" s="16">
        <v>-38.283000000000001</v>
      </c>
      <c r="D11" s="16">
        <v>-120.607</v>
      </c>
      <c r="E11" s="16">
        <v>-156.71112500000001</v>
      </c>
      <c r="F11" s="3">
        <f t="shared" si="2"/>
        <v>-178.76061553955944</v>
      </c>
      <c r="G11" s="3">
        <f t="shared" si="2"/>
        <v>-198.11299021782997</v>
      </c>
      <c r="H11" s="3">
        <f t="shared" si="2"/>
        <v>-216.29774502366124</v>
      </c>
      <c r="I11" s="3">
        <f t="shared" si="2"/>
        <v>-233.39150939469309</v>
      </c>
      <c r="J11" s="3">
        <f t="shared" si="2"/>
        <v>-248.50605282235961</v>
      </c>
      <c r="K11" s="3">
        <f t="shared" si="2"/>
        <v>-263.58508777354803</v>
      </c>
      <c r="L11" s="3">
        <f t="shared" si="2"/>
        <v>-278.01070098971945</v>
      </c>
      <c r="M11" s="3">
        <f t="shared" si="2"/>
        <v>-292.36972314838425</v>
      </c>
      <c r="N11" s="3">
        <f t="shared" si="2"/>
        <v>-306.94188043634597</v>
      </c>
      <c r="O11" s="3">
        <f t="shared" si="2"/>
        <v>-321.81734518985735</v>
      </c>
      <c r="P11" s="2"/>
      <c r="Q11" s="2"/>
      <c r="R11" s="2"/>
      <c r="S11" s="1"/>
    </row>
    <row r="12" spans="1:19" ht="15" x14ac:dyDescent="0.25">
      <c r="A12" s="2" t="s">
        <v>33</v>
      </c>
      <c r="B12" s="16">
        <v>-0.23300000000000001</v>
      </c>
      <c r="C12" s="16">
        <v>-0.67900000000000005</v>
      </c>
      <c r="D12" s="16">
        <v>-1.907</v>
      </c>
      <c r="E12" s="16">
        <v>-9.4825350000000004</v>
      </c>
      <c r="F12" s="3">
        <f t="shared" si="2"/>
        <v>-10.779276677276776</v>
      </c>
      <c r="G12" s="3">
        <f t="shared" si="2"/>
        <v>-11.904991591313369</v>
      </c>
      <c r="H12" s="3">
        <f t="shared" si="2"/>
        <v>-12.953038847854</v>
      </c>
      <c r="I12" s="3">
        <f t="shared" si="2"/>
        <v>-13.928790424215418</v>
      </c>
      <c r="J12" s="3">
        <f t="shared" si="2"/>
        <v>-14.780158828538884</v>
      </c>
      <c r="K12" s="3">
        <f t="shared" si="2"/>
        <v>-15.623625260463518</v>
      </c>
      <c r="L12" s="3">
        <f t="shared" si="2"/>
        <v>-16.450678068423461</v>
      </c>
      <c r="M12" s="3">
        <f t="shared" si="2"/>
        <v>-17.270990892315748</v>
      </c>
      <c r="N12" s="3">
        <f t="shared" si="2"/>
        <v>-18.10109409818039</v>
      </c>
      <c r="O12" s="3">
        <f t="shared" si="2"/>
        <v>-18.946246710925944</v>
      </c>
      <c r="P12" s="2"/>
      <c r="Q12" s="2"/>
      <c r="R12" s="2"/>
      <c r="S12" s="1"/>
    </row>
    <row r="13" spans="1:19" ht="15" x14ac:dyDescent="0.25">
      <c r="A13" s="2" t="s">
        <v>34</v>
      </c>
      <c r="B13" s="16">
        <v>-35.529000000000003</v>
      </c>
      <c r="C13" s="16">
        <v>-43.27</v>
      </c>
      <c r="D13" s="16">
        <v>-68.861999999999995</v>
      </c>
      <c r="E13" s="16">
        <v>-96.690866</v>
      </c>
      <c r="F13" s="3">
        <f t="shared" si="2"/>
        <v>-109.91339307257962</v>
      </c>
      <c r="G13" s="3">
        <f t="shared" si="2"/>
        <v>-121.39200611300751</v>
      </c>
      <c r="H13" s="3">
        <f t="shared" si="2"/>
        <v>-132.07866288188183</v>
      </c>
      <c r="I13" s="3">
        <f t="shared" si="2"/>
        <v>-142.02813999103572</v>
      </c>
      <c r="J13" s="3">
        <f t="shared" si="2"/>
        <v>-150.7093152568348</v>
      </c>
      <c r="K13" s="3">
        <f t="shared" si="2"/>
        <v>-159.30991622954124</v>
      </c>
      <c r="L13" s="3">
        <f t="shared" si="2"/>
        <v>-167.74315188112371</v>
      </c>
      <c r="M13" s="3">
        <f t="shared" si="2"/>
        <v>-176.10766172295934</v>
      </c>
      <c r="N13" s="3">
        <f t="shared" si="2"/>
        <v>-184.57200146380168</v>
      </c>
      <c r="O13" s="3">
        <f t="shared" si="2"/>
        <v>-193.1897959700735</v>
      </c>
      <c r="P13" s="2"/>
      <c r="Q13" s="2"/>
      <c r="R13" s="2"/>
      <c r="S13" s="1"/>
    </row>
    <row r="14" spans="1:19" ht="15" x14ac:dyDescent="0.25">
      <c r="A14" s="2" t="s">
        <v>35</v>
      </c>
      <c r="B14" s="16">
        <v>-37.959000000000003</v>
      </c>
      <c r="C14" s="16">
        <v>-52.34</v>
      </c>
      <c r="D14" s="16">
        <v>-83.924999999999997</v>
      </c>
      <c r="E14" s="16">
        <v>-111.97529399999999</v>
      </c>
      <c r="F14" s="3">
        <f t="shared" si="2"/>
        <v>-127.90713598615989</v>
      </c>
      <c r="G14" s="3">
        <f t="shared" si="2"/>
        <v>-141.94871643603889</v>
      </c>
      <c r="H14" s="3">
        <f t="shared" si="2"/>
        <v>-155.18909034070657</v>
      </c>
      <c r="I14" s="3">
        <f t="shared" si="2"/>
        <v>-167.67954371756989</v>
      </c>
      <c r="J14" s="3">
        <f t="shared" si="2"/>
        <v>-178.77757963384263</v>
      </c>
      <c r="K14" s="3">
        <f t="shared" si="2"/>
        <v>-189.87738627184754</v>
      </c>
      <c r="L14" s="3">
        <f t="shared" si="2"/>
        <v>-200.30671321854939</v>
      </c>
      <c r="M14" s="3">
        <f t="shared" si="2"/>
        <v>-210.69182263598663</v>
      </c>
      <c r="N14" s="3">
        <f t="shared" si="2"/>
        <v>-221.23428656348753</v>
      </c>
      <c r="O14" s="3">
        <f t="shared" si="2"/>
        <v>-231.99917725449552</v>
      </c>
      <c r="P14" s="2"/>
      <c r="Q14" s="2"/>
      <c r="R14" s="2"/>
      <c r="S14" s="1"/>
    </row>
    <row r="15" spans="1:19" ht="15" x14ac:dyDescent="0.25">
      <c r="A15" s="2" t="s">
        <v>36</v>
      </c>
      <c r="B15" s="16">
        <v>-38.546999999999997</v>
      </c>
      <c r="C15" s="16">
        <v>-44.039000000000001</v>
      </c>
      <c r="D15" s="16">
        <v>-61.392000000000003</v>
      </c>
      <c r="E15" s="16">
        <v>-74.529984999999996</v>
      </c>
      <c r="F15" s="3">
        <f t="shared" si="2"/>
        <v>-83.483677274280168</v>
      </c>
      <c r="G15" s="3">
        <f t="shared" si="2"/>
        <v>-90.83450449861428</v>
      </c>
      <c r="H15" s="3">
        <f t="shared" si="2"/>
        <v>-97.343009633067183</v>
      </c>
      <c r="I15" s="3">
        <f t="shared" si="2"/>
        <v>-103.07571370366227</v>
      </c>
      <c r="J15" s="3">
        <f t="shared" si="2"/>
        <v>-107.67805908302935</v>
      </c>
      <c r="K15" s="3">
        <f t="shared" si="2"/>
        <v>-112.02813361804587</v>
      </c>
      <c r="L15" s="3">
        <f t="shared" si="2"/>
        <v>-116.06860624699304</v>
      </c>
      <c r="M15" s="3">
        <f t="shared" si="2"/>
        <v>-119.87227531533438</v>
      </c>
      <c r="N15" s="3">
        <f t="shared" si="2"/>
        <v>-123.55429652395236</v>
      </c>
      <c r="O15" s="3">
        <f t="shared" si="2"/>
        <v>-127.14658856927356</v>
      </c>
      <c r="P15" s="2"/>
      <c r="Q15" s="2"/>
      <c r="R15" s="2"/>
      <c r="S15" s="1"/>
    </row>
    <row r="16" spans="1:19" ht="15" x14ac:dyDescent="0.25">
      <c r="A16" s="2" t="s">
        <v>37</v>
      </c>
      <c r="B16" s="16">
        <v>-0.17699999999999999</v>
      </c>
      <c r="C16" s="16">
        <v>-17.960999999999999</v>
      </c>
      <c r="D16" s="16">
        <v>-3.5219999999999998</v>
      </c>
      <c r="E16" s="16">
        <v>-2.6459000000000001</v>
      </c>
      <c r="F16" s="3">
        <f>F87</f>
        <v>0</v>
      </c>
      <c r="G16" s="3">
        <f t="shared" ref="G16:O16" si="3">G87</f>
        <v>0</v>
      </c>
      <c r="H16" s="3">
        <f t="shared" si="3"/>
        <v>0</v>
      </c>
      <c r="I16" s="3">
        <f t="shared" si="3"/>
        <v>0</v>
      </c>
      <c r="J16" s="3">
        <f t="shared" si="3"/>
        <v>0</v>
      </c>
      <c r="K16" s="3">
        <f t="shared" si="3"/>
        <v>0</v>
      </c>
      <c r="L16" s="3">
        <f t="shared" si="3"/>
        <v>0</v>
      </c>
      <c r="M16" s="3">
        <f t="shared" si="3"/>
        <v>0</v>
      </c>
      <c r="N16" s="3">
        <f t="shared" si="3"/>
        <v>0</v>
      </c>
      <c r="O16" s="3">
        <f t="shared" si="3"/>
        <v>0</v>
      </c>
      <c r="P16" s="2"/>
      <c r="Q16" s="2"/>
      <c r="R16" s="2"/>
      <c r="S16" s="1"/>
    </row>
    <row r="17" spans="1:22" ht="15" x14ac:dyDescent="0.25">
      <c r="A17" s="2" t="s">
        <v>38</v>
      </c>
      <c r="B17" s="16">
        <v>-40.658999999999999</v>
      </c>
      <c r="C17" s="16">
        <v>-20.629000000000001</v>
      </c>
      <c r="D17" s="16">
        <v>-21.637</v>
      </c>
      <c r="E17" s="16">
        <v>-26.974694</v>
      </c>
      <c r="F17" s="3">
        <f t="shared" ref="F17:O17" si="4">F88*F5</f>
        <v>-24.766451979816551</v>
      </c>
      <c r="G17" s="3">
        <f t="shared" si="4"/>
        <v>-27.352893092347127</v>
      </c>
      <c r="H17" s="3">
        <f t="shared" si="4"/>
        <v>-29.760885096709472</v>
      </c>
      <c r="I17" s="3">
        <f t="shared" si="4"/>
        <v>-32.002770640952733</v>
      </c>
      <c r="J17" s="3">
        <f t="shared" si="4"/>
        <v>-33.958873571983268</v>
      </c>
      <c r="K17" s="3">
        <f t="shared" si="4"/>
        <v>-35.896820941576728</v>
      </c>
      <c r="L17" s="3">
        <f t="shared" si="4"/>
        <v>-37.797056390240172</v>
      </c>
      <c r="M17" s="3">
        <f t="shared" si="4"/>
        <v>-39.681806060334786</v>
      </c>
      <c r="N17" s="3">
        <f t="shared" si="4"/>
        <v>-41.589050099230008</v>
      </c>
      <c r="O17" s="3">
        <f t="shared" si="4"/>
        <v>-43.530871635669811</v>
      </c>
      <c r="P17" s="2"/>
      <c r="Q17" s="2"/>
      <c r="R17" s="2"/>
      <c r="S17" s="1"/>
    </row>
    <row r="18" spans="1:22" ht="15" x14ac:dyDescent="0.25">
      <c r="A18" s="2" t="s">
        <v>39</v>
      </c>
      <c r="B18" s="16">
        <v>-113.322</v>
      </c>
      <c r="C18" s="16">
        <v>-112.29900000000001</v>
      </c>
      <c r="D18" s="16">
        <v>-178.48699999999999</v>
      </c>
      <c r="E18" s="16">
        <v>-250.485536</v>
      </c>
      <c r="F18" s="3">
        <f>-F77</f>
        <v>-291.55</v>
      </c>
      <c r="G18" s="3">
        <f t="shared" ref="G18:O18" si="5">-G77</f>
        <v>-324.12700000000001</v>
      </c>
      <c r="H18" s="3">
        <f t="shared" si="5"/>
        <v>-351.95466000000005</v>
      </c>
      <c r="I18" s="3">
        <f t="shared" si="5"/>
        <v>-376.59148620000008</v>
      </c>
      <c r="J18" s="3">
        <f t="shared" si="5"/>
        <v>-399.18697537200006</v>
      </c>
      <c r="K18" s="3">
        <f t="shared" si="5"/>
        <v>-419.14632414060014</v>
      </c>
      <c r="L18" s="3">
        <f t="shared" si="5"/>
        <v>-435.91217710622414</v>
      </c>
      <c r="M18" s="3">
        <f t="shared" si="5"/>
        <v>-448.9895424194109</v>
      </c>
      <c r="N18" s="3">
        <f t="shared" si="5"/>
        <v>-457.96933326779913</v>
      </c>
      <c r="O18" s="3">
        <f t="shared" si="5"/>
        <v>-462.54902660047713</v>
      </c>
      <c r="P18" s="2"/>
      <c r="Q18" s="2"/>
      <c r="R18" s="2"/>
      <c r="S18" s="1"/>
    </row>
    <row r="19" spans="1:22" ht="15" x14ac:dyDescent="0.25">
      <c r="A19" s="2" t="s">
        <v>40</v>
      </c>
      <c r="B19" s="16">
        <v>-8.9149999999999991</v>
      </c>
      <c r="C19" s="16">
        <v>4.0999999999999996</v>
      </c>
      <c r="D19" s="16">
        <v>3.0169999999999999</v>
      </c>
      <c r="E19" s="16">
        <v>-5.1637529999999998</v>
      </c>
      <c r="F19" s="3">
        <f>F89</f>
        <v>0</v>
      </c>
      <c r="G19" s="3">
        <f t="shared" ref="G19:O19" si="6">G89</f>
        <v>0</v>
      </c>
      <c r="H19" s="3">
        <f t="shared" si="6"/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 t="shared" si="6"/>
        <v>0</v>
      </c>
      <c r="M19" s="3">
        <f t="shared" si="6"/>
        <v>0</v>
      </c>
      <c r="N19" s="3">
        <f t="shared" si="6"/>
        <v>0</v>
      </c>
      <c r="O19" s="3">
        <f t="shared" si="6"/>
        <v>0</v>
      </c>
      <c r="P19" s="2"/>
      <c r="Q19" s="2"/>
      <c r="R19" s="2"/>
      <c r="S19" s="1"/>
    </row>
    <row r="20" spans="1:22" ht="15" x14ac:dyDescent="0.25">
      <c r="A20" s="2" t="s">
        <v>53</v>
      </c>
      <c r="B20" s="16">
        <v>3.2000000000000001E-2</v>
      </c>
      <c r="C20" s="16">
        <v>-0.14099999999999999</v>
      </c>
      <c r="D20" s="16">
        <v>2.6659999999999999</v>
      </c>
      <c r="E20" s="16">
        <v>0.61507600000000007</v>
      </c>
      <c r="F20" s="3">
        <f t="shared" ref="F20:O20" si="7">F90</f>
        <v>0</v>
      </c>
      <c r="G20" s="3">
        <f t="shared" si="7"/>
        <v>0</v>
      </c>
      <c r="H20" s="3">
        <f t="shared" si="7"/>
        <v>0</v>
      </c>
      <c r="I20" s="3">
        <f t="shared" si="7"/>
        <v>0</v>
      </c>
      <c r="J20" s="3">
        <f t="shared" si="7"/>
        <v>0</v>
      </c>
      <c r="K20" s="3">
        <f t="shared" si="7"/>
        <v>0</v>
      </c>
      <c r="L20" s="3">
        <f t="shared" si="7"/>
        <v>0</v>
      </c>
      <c r="M20" s="3">
        <f t="shared" si="7"/>
        <v>0</v>
      </c>
      <c r="N20" s="3">
        <f t="shared" si="7"/>
        <v>0</v>
      </c>
      <c r="O20" s="3">
        <f t="shared" si="7"/>
        <v>0</v>
      </c>
      <c r="P20" s="2"/>
      <c r="Q20" s="2"/>
      <c r="R20" s="2"/>
      <c r="S20" s="1"/>
    </row>
    <row r="21" spans="1:22" ht="15" x14ac:dyDescent="0.25">
      <c r="A21" s="14" t="s">
        <v>42</v>
      </c>
      <c r="B21" s="15">
        <f t="shared" ref="B21:D21" si="8">SUM(B5:B20)</f>
        <v>107.14499999999991</v>
      </c>
      <c r="C21" s="15">
        <f t="shared" si="8"/>
        <v>140.13499999999993</v>
      </c>
      <c r="D21" s="15">
        <f t="shared" si="8"/>
        <v>201.75700000000003</v>
      </c>
      <c r="E21" s="15">
        <f>SUM(E5:E20)</f>
        <v>232.96130200000027</v>
      </c>
      <c r="F21" s="15">
        <f t="shared" ref="F21:O21" si="9">SUM(F5:F20)</f>
        <v>270.59067948082333</v>
      </c>
      <c r="G21" s="15">
        <f t="shared" si="9"/>
        <v>296.03603620653206</v>
      </c>
      <c r="H21" s="15">
        <f t="shared" si="9"/>
        <v>322.05995490074071</v>
      </c>
      <c r="I21" s="15">
        <f t="shared" si="9"/>
        <v>347.39653666311244</v>
      </c>
      <c r="J21" s="15">
        <f t="shared" si="9"/>
        <v>368.20434085229118</v>
      </c>
      <c r="K21" s="15">
        <f t="shared" si="9"/>
        <v>391.14066085604276</v>
      </c>
      <c r="L21" s="15">
        <f t="shared" si="9"/>
        <v>419.91398381680278</v>
      </c>
      <c r="M21" s="15">
        <f t="shared" si="9"/>
        <v>452.29010406114912</v>
      </c>
      <c r="N21" s="15">
        <f t="shared" si="9"/>
        <v>489.5401454375683</v>
      </c>
      <c r="O21" s="15">
        <f t="shared" si="9"/>
        <v>532.24748653176448</v>
      </c>
      <c r="P21" s="2"/>
      <c r="Q21" s="2"/>
      <c r="R21" s="2"/>
      <c r="S21" s="1"/>
    </row>
    <row r="22" spans="1:22" ht="15" x14ac:dyDescent="0.25">
      <c r="A22" s="2" t="s">
        <v>43</v>
      </c>
      <c r="B22" s="16">
        <v>20.138999999999999</v>
      </c>
      <c r="C22" s="16">
        <v>24.907</v>
      </c>
      <c r="D22" s="16">
        <v>47.843000000000004</v>
      </c>
      <c r="E22" s="16">
        <v>52.060082999999999</v>
      </c>
      <c r="F22" s="3">
        <f>F96</f>
        <v>51.654202999999995</v>
      </c>
      <c r="G22" s="3">
        <f t="shared" ref="G22:O22" si="10">G96</f>
        <v>50.393673679892707</v>
      </c>
      <c r="H22" s="3">
        <f t="shared" si="10"/>
        <v>49.932760180770501</v>
      </c>
      <c r="I22" s="3">
        <f t="shared" si="10"/>
        <v>50.40727391379987</v>
      </c>
      <c r="J22" s="3">
        <f t="shared" si="10"/>
        <v>51.473847103421463</v>
      </c>
      <c r="K22" s="3">
        <f t="shared" si="10"/>
        <v>53.227766183624333</v>
      </c>
      <c r="L22" s="3">
        <f t="shared" si="10"/>
        <v>55.682650115641806</v>
      </c>
      <c r="M22" s="3">
        <f t="shared" si="10"/>
        <v>58.770321845717262</v>
      </c>
      <c r="N22" s="3">
        <f t="shared" si="10"/>
        <v>62.469890734283616</v>
      </c>
      <c r="O22" s="3">
        <f t="shared" si="10"/>
        <v>66.125110802568756</v>
      </c>
      <c r="P22" s="2"/>
      <c r="Q22" s="2"/>
      <c r="R22" s="2"/>
      <c r="S22" s="1"/>
    </row>
    <row r="23" spans="1:22" ht="15" x14ac:dyDescent="0.25">
      <c r="A23" s="2" t="s">
        <v>44</v>
      </c>
      <c r="B23" s="16">
        <v>-59.664999999999999</v>
      </c>
      <c r="C23" s="16">
        <v>-57.582000000000001</v>
      </c>
      <c r="D23" s="16">
        <v>-145.47999999999999</v>
      </c>
      <c r="E23" s="16">
        <v>-208.32627299999999</v>
      </c>
      <c r="F23" s="3">
        <f>-F108</f>
        <v>-224.30755800000003</v>
      </c>
      <c r="G23" s="3">
        <f t="shared" ref="G23:O23" si="11">-G108</f>
        <v>-224.30755800000003</v>
      </c>
      <c r="H23" s="3">
        <f t="shared" si="11"/>
        <v>-224.30755800000003</v>
      </c>
      <c r="I23" s="3">
        <f t="shared" si="11"/>
        <v>-224.30755800000003</v>
      </c>
      <c r="J23" s="3">
        <f t="shared" si="11"/>
        <v>-224.30755800000003</v>
      </c>
      <c r="K23" s="3">
        <f t="shared" si="11"/>
        <v>-224.30755800000003</v>
      </c>
      <c r="L23" s="3">
        <f t="shared" si="11"/>
        <v>-224.30755800000003</v>
      </c>
      <c r="M23" s="3">
        <f t="shared" si="11"/>
        <v>-224.30755800000003</v>
      </c>
      <c r="N23" s="3">
        <f t="shared" si="11"/>
        <v>-224.30755800000003</v>
      </c>
      <c r="O23" s="3">
        <f t="shared" si="11"/>
        <v>-224.30755800000003</v>
      </c>
      <c r="P23" s="2"/>
      <c r="Q23" s="2"/>
      <c r="R23" s="2"/>
      <c r="S23" s="1"/>
    </row>
    <row r="24" spans="1:22" ht="15" x14ac:dyDescent="0.25">
      <c r="A24" s="2" t="s">
        <v>45</v>
      </c>
      <c r="B24" s="16">
        <v>0</v>
      </c>
      <c r="C24" s="16">
        <v>0</v>
      </c>
      <c r="D24" s="16">
        <v>1.823</v>
      </c>
      <c r="E24" s="16">
        <v>6.4983940000000002</v>
      </c>
      <c r="F24" s="3">
        <f>F91</f>
        <v>6.4983940000000002</v>
      </c>
      <c r="G24" s="3">
        <f t="shared" ref="G24:O24" si="12">G91</f>
        <v>6.4983940000000002</v>
      </c>
      <c r="H24" s="3">
        <f t="shared" si="12"/>
        <v>6.4983940000000002</v>
      </c>
      <c r="I24" s="3">
        <f t="shared" si="12"/>
        <v>6.4983940000000002</v>
      </c>
      <c r="J24" s="3">
        <f t="shared" si="12"/>
        <v>6.4983940000000002</v>
      </c>
      <c r="K24" s="3">
        <f t="shared" si="12"/>
        <v>6.4983940000000002</v>
      </c>
      <c r="L24" s="3">
        <f t="shared" si="12"/>
        <v>6.4983940000000002</v>
      </c>
      <c r="M24" s="3">
        <f t="shared" si="12"/>
        <v>6.4983940000000002</v>
      </c>
      <c r="N24" s="3">
        <f t="shared" si="12"/>
        <v>6.4983940000000002</v>
      </c>
      <c r="O24" s="3">
        <f t="shared" si="12"/>
        <v>6.4983940000000002</v>
      </c>
      <c r="P24" s="2"/>
      <c r="Q24" s="2"/>
      <c r="R24" s="2"/>
      <c r="S24" s="1"/>
    </row>
    <row r="25" spans="1:22" ht="15" x14ac:dyDescent="0.25">
      <c r="A25" s="2" t="s">
        <v>46</v>
      </c>
      <c r="B25" s="16">
        <v>-32.209000000000003</v>
      </c>
      <c r="C25" s="16">
        <v>-15.6</v>
      </c>
      <c r="D25" s="16">
        <v>-6.3090000000000002</v>
      </c>
      <c r="E25" s="16">
        <v>-16.746316</v>
      </c>
      <c r="F25" s="3">
        <f>F92</f>
        <v>-16.746316</v>
      </c>
      <c r="G25" s="3">
        <f t="shared" ref="G25:O25" si="13">G92</f>
        <v>-16.746316</v>
      </c>
      <c r="H25" s="3">
        <f t="shared" si="13"/>
        <v>-16.746316</v>
      </c>
      <c r="I25" s="3">
        <f t="shared" si="13"/>
        <v>-16.746316</v>
      </c>
      <c r="J25" s="3">
        <f t="shared" si="13"/>
        <v>-16.746316</v>
      </c>
      <c r="K25" s="3">
        <f t="shared" si="13"/>
        <v>-16.746316</v>
      </c>
      <c r="L25" s="3">
        <f t="shared" si="13"/>
        <v>-16.746316</v>
      </c>
      <c r="M25" s="3">
        <f t="shared" si="13"/>
        <v>-16.746316</v>
      </c>
      <c r="N25" s="3">
        <f t="shared" si="13"/>
        <v>-16.746316</v>
      </c>
      <c r="O25" s="3">
        <f t="shared" si="13"/>
        <v>-16.746316</v>
      </c>
      <c r="P25" s="2"/>
      <c r="Q25" s="2"/>
      <c r="R25" s="2"/>
      <c r="S25" s="1"/>
    </row>
    <row r="26" spans="1:22" ht="15" x14ac:dyDescent="0.25">
      <c r="A26" s="2" t="s">
        <v>47</v>
      </c>
      <c r="B26" s="16">
        <v>16.475000000000001</v>
      </c>
      <c r="C26" s="16">
        <v>22.442</v>
      </c>
      <c r="D26" s="16">
        <v>14.364000000000001</v>
      </c>
      <c r="E26" s="16">
        <v>20.371642999999999</v>
      </c>
      <c r="F26" s="3">
        <f>F124</f>
        <v>27.501718050000001</v>
      </c>
      <c r="G26" s="3">
        <f t="shared" ref="G26:O26" si="14">G124</f>
        <v>34.377147562499999</v>
      </c>
      <c r="H26" s="3">
        <f t="shared" si="14"/>
        <v>39.533719696874996</v>
      </c>
      <c r="I26" s="3">
        <f t="shared" si="14"/>
        <v>43.487091666562499</v>
      </c>
      <c r="J26" s="3">
        <f t="shared" si="14"/>
        <v>45.661446249890624</v>
      </c>
      <c r="K26" s="3">
        <f t="shared" si="14"/>
        <v>47.944518562385156</v>
      </c>
      <c r="L26" s="3">
        <f t="shared" si="14"/>
        <v>50.341744490504418</v>
      </c>
      <c r="M26" s="3">
        <f t="shared" si="14"/>
        <v>52.858831715029638</v>
      </c>
      <c r="N26" s="3">
        <f t="shared" si="14"/>
        <v>55.501773300781124</v>
      </c>
      <c r="O26" s="3">
        <f t="shared" si="14"/>
        <v>58.276861965820181</v>
      </c>
      <c r="P26" s="2"/>
      <c r="Q26" s="2"/>
      <c r="R26" s="2"/>
      <c r="S26" s="1"/>
    </row>
    <row r="27" spans="1:22" ht="15" x14ac:dyDescent="0.25">
      <c r="A27" s="14" t="s">
        <v>48</v>
      </c>
      <c r="B27" s="15">
        <f t="shared" ref="B27:D27" si="15">SUM(B21:B26)</f>
        <v>51.884999999999913</v>
      </c>
      <c r="C27" s="15">
        <f t="shared" si="15"/>
        <v>114.30199999999996</v>
      </c>
      <c r="D27" s="15">
        <f t="shared" si="15"/>
        <v>113.99800000000003</v>
      </c>
      <c r="E27" s="15">
        <f>SUM(E21:E26)</f>
        <v>86.818833000000325</v>
      </c>
      <c r="F27" s="15">
        <f t="shared" ref="F27:O27" si="16">SUM(F21:F26)</f>
        <v>115.1911205308233</v>
      </c>
      <c r="G27" s="15">
        <f t="shared" si="16"/>
        <v>146.2513774489247</v>
      </c>
      <c r="H27" s="15">
        <f t="shared" si="16"/>
        <v>176.97095477838616</v>
      </c>
      <c r="I27" s="15">
        <f t="shared" si="16"/>
        <v>206.73542224347477</v>
      </c>
      <c r="J27" s="15">
        <f t="shared" si="16"/>
        <v>230.78415420560322</v>
      </c>
      <c r="K27" s="15">
        <f t="shared" si="16"/>
        <v>257.75746560205221</v>
      </c>
      <c r="L27" s="15">
        <f t="shared" si="16"/>
        <v>291.38289842294898</v>
      </c>
      <c r="M27" s="15">
        <f t="shared" si="16"/>
        <v>329.36377762189602</v>
      </c>
      <c r="N27" s="15">
        <f t="shared" si="16"/>
        <v>372.956329472633</v>
      </c>
      <c r="O27" s="15">
        <f t="shared" si="16"/>
        <v>422.09397930015342</v>
      </c>
      <c r="P27" s="2"/>
      <c r="Q27" s="2"/>
      <c r="R27" s="2"/>
      <c r="S27" s="1"/>
    </row>
    <row r="28" spans="1:22" ht="15" x14ac:dyDescent="0.25">
      <c r="A28" s="2" t="s">
        <v>49</v>
      </c>
      <c r="B28" s="16">
        <v>-0.25800000000000001</v>
      </c>
      <c r="C28" s="16">
        <v>-26.88</v>
      </c>
      <c r="D28" s="16">
        <v>-29.923999999999999</v>
      </c>
      <c r="E28" s="16">
        <v>-32.264030999999996</v>
      </c>
      <c r="F28" s="3">
        <f>F130</f>
        <v>-42.80787653217137</v>
      </c>
      <c r="G28" s="3">
        <f t="shared" ref="G28:O28" si="17">G130</f>
        <v>-54.350638136368282</v>
      </c>
      <c r="H28" s="3">
        <f t="shared" si="17"/>
        <v>-65.766794758338065</v>
      </c>
      <c r="I28" s="3">
        <f t="shared" si="17"/>
        <v>-76.828008872931221</v>
      </c>
      <c r="J28" s="3">
        <f t="shared" si="17"/>
        <v>-85.765113954000441</v>
      </c>
      <c r="K28" s="3">
        <f t="shared" si="17"/>
        <v>-95.789065267279213</v>
      </c>
      <c r="L28" s="3">
        <f t="shared" si="17"/>
        <v>-108.28510984002563</v>
      </c>
      <c r="M28" s="3">
        <f t="shared" si="17"/>
        <v>-122.3997462793576</v>
      </c>
      <c r="N28" s="3">
        <f t="shared" si="17"/>
        <v>-138.59981941649917</v>
      </c>
      <c r="O28" s="3">
        <f t="shared" si="17"/>
        <v>-156.86058845151092</v>
      </c>
      <c r="P28" s="2"/>
      <c r="Q28" s="2"/>
      <c r="R28" s="2"/>
      <c r="S28" s="1"/>
    </row>
    <row r="29" spans="1:22" ht="15" x14ac:dyDescent="0.25">
      <c r="A29" s="14" t="s">
        <v>50</v>
      </c>
      <c r="B29" s="15">
        <f t="shared" ref="B29:D29" si="18">B27+B28</f>
        <v>51.62699999999991</v>
      </c>
      <c r="C29" s="15">
        <f t="shared" si="18"/>
        <v>87.421999999999969</v>
      </c>
      <c r="D29" s="15">
        <f t="shared" si="18"/>
        <v>84.074000000000041</v>
      </c>
      <c r="E29" s="15">
        <f>E27+E28</f>
        <v>54.554802000000329</v>
      </c>
      <c r="F29" s="15">
        <f t="shared" ref="F29:O29" si="19">F27+F28</f>
        <v>72.38324399865192</v>
      </c>
      <c r="G29" s="15">
        <f t="shared" si="19"/>
        <v>91.900739312556425</v>
      </c>
      <c r="H29" s="15">
        <f t="shared" si="19"/>
        <v>111.20416002004809</v>
      </c>
      <c r="I29" s="15">
        <f t="shared" si="19"/>
        <v>129.90741337054357</v>
      </c>
      <c r="J29" s="15">
        <f t="shared" si="19"/>
        <v>145.01904025160277</v>
      </c>
      <c r="K29" s="15">
        <f t="shared" si="19"/>
        <v>161.96840033477298</v>
      </c>
      <c r="L29" s="15">
        <f t="shared" si="19"/>
        <v>183.09778858292336</v>
      </c>
      <c r="M29" s="15">
        <f t="shared" si="19"/>
        <v>206.96403134253842</v>
      </c>
      <c r="N29" s="15">
        <f t="shared" si="19"/>
        <v>234.35651005613383</v>
      </c>
      <c r="O29" s="15">
        <f t="shared" si="19"/>
        <v>265.2333908486425</v>
      </c>
      <c r="P29" s="2"/>
      <c r="Q29" s="2"/>
      <c r="R29" s="2"/>
      <c r="S29" s="1"/>
    </row>
    <row r="30" spans="1:22" ht="15" x14ac:dyDescent="0.25">
      <c r="A30" s="6" t="s">
        <v>51</v>
      </c>
      <c r="B30" s="16">
        <v>31.388000000000002</v>
      </c>
      <c r="C30" s="16">
        <v>56.643000000000001</v>
      </c>
      <c r="D30" s="16">
        <v>57.883000000000003</v>
      </c>
      <c r="E30" s="16">
        <v>39.151183000000003</v>
      </c>
      <c r="F30" s="3">
        <f t="shared" ref="F30:O30" si="20">F135*F29</f>
        <v>51.945741310267358</v>
      </c>
      <c r="G30" s="3">
        <f t="shared" si="20"/>
        <v>65.952446544690417</v>
      </c>
      <c r="H30" s="3">
        <f t="shared" si="20"/>
        <v>79.805521415074722</v>
      </c>
      <c r="I30" s="3">
        <f t="shared" si="20"/>
        <v>93.227886959002589</v>
      </c>
      <c r="J30" s="3">
        <f t="shared" si="20"/>
        <v>104.07272641874556</v>
      </c>
      <c r="K30" s="3">
        <f t="shared" si="20"/>
        <v>116.23641273088886</v>
      </c>
      <c r="L30" s="3">
        <f t="shared" si="20"/>
        <v>131.39989084197026</v>
      </c>
      <c r="M30" s="3">
        <f t="shared" si="20"/>
        <v>148.52746904863497</v>
      </c>
      <c r="N30" s="3">
        <f t="shared" si="20"/>
        <v>168.18564592075657</v>
      </c>
      <c r="O30" s="3">
        <f t="shared" si="20"/>
        <v>190.3443994320732</v>
      </c>
      <c r="P30" s="2"/>
      <c r="Q30" s="2"/>
      <c r="R30" s="2"/>
      <c r="S30" s="1"/>
    </row>
    <row r="31" spans="1:22" ht="15" x14ac:dyDescent="0.25">
      <c r="A31" s="2" t="s">
        <v>52</v>
      </c>
      <c r="B31" s="16">
        <v>20.233000000000001</v>
      </c>
      <c r="C31" s="16">
        <v>30.771999999999998</v>
      </c>
      <c r="D31" s="16">
        <v>26.187000000000001</v>
      </c>
      <c r="E31" s="16">
        <v>15.404349</v>
      </c>
      <c r="F31" s="3">
        <f>F29-F30</f>
        <v>20.437502688384562</v>
      </c>
      <c r="G31" s="3">
        <f t="shared" ref="G31:O31" si="21">G29-G30</f>
        <v>25.948292767866008</v>
      </c>
      <c r="H31" s="3">
        <f t="shared" si="21"/>
        <v>31.398638604973371</v>
      </c>
      <c r="I31" s="3">
        <f t="shared" si="21"/>
        <v>36.679526411540976</v>
      </c>
      <c r="J31" s="3">
        <f t="shared" si="21"/>
        <v>40.946313832857214</v>
      </c>
      <c r="K31" s="3">
        <f t="shared" si="21"/>
        <v>45.731987603884122</v>
      </c>
      <c r="L31" s="3">
        <f t="shared" si="21"/>
        <v>51.697897740953096</v>
      </c>
      <c r="M31" s="3">
        <f t="shared" si="21"/>
        <v>58.436562293903449</v>
      </c>
      <c r="N31" s="3">
        <f t="shared" si="21"/>
        <v>66.170864135377258</v>
      </c>
      <c r="O31" s="3">
        <f t="shared" si="21"/>
        <v>74.888991416569297</v>
      </c>
      <c r="P31" s="2"/>
      <c r="Q31" s="2"/>
      <c r="R31" s="2"/>
      <c r="S31" s="1"/>
    </row>
    <row r="32" spans="1:22" ht="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x14ac:dyDescent="0.25">
      <c r="A34" s="22" t="s">
        <v>56</v>
      </c>
      <c r="B34" s="13">
        <v>2020</v>
      </c>
      <c r="C34" s="13">
        <v>2021</v>
      </c>
      <c r="D34" s="13">
        <v>2022</v>
      </c>
      <c r="E34" s="13">
        <v>2023</v>
      </c>
      <c r="F34" s="13" t="s">
        <v>15</v>
      </c>
      <c r="G34" s="13" t="s">
        <v>16</v>
      </c>
      <c r="H34" s="13" t="s">
        <v>17</v>
      </c>
      <c r="I34" s="13" t="s">
        <v>18</v>
      </c>
      <c r="J34" s="13" t="s">
        <v>19</v>
      </c>
      <c r="K34" s="13" t="s">
        <v>20</v>
      </c>
      <c r="L34" s="13" t="s">
        <v>21</v>
      </c>
      <c r="M34" s="13" t="s">
        <v>22</v>
      </c>
      <c r="N34" s="13" t="s">
        <v>23</v>
      </c>
      <c r="O34" s="13" t="s">
        <v>24</v>
      </c>
      <c r="P34" s="2"/>
      <c r="Q34" s="2"/>
      <c r="R34" s="2"/>
      <c r="S34" s="1"/>
    </row>
    <row r="35" spans="1:22" ht="15" x14ac:dyDescent="0.25">
      <c r="A35" s="2" t="s">
        <v>54</v>
      </c>
      <c r="B35" s="16">
        <v>221</v>
      </c>
      <c r="C35" s="16">
        <v>253</v>
      </c>
      <c r="D35" s="16">
        <v>376</v>
      </c>
      <c r="E35" s="16">
        <v>496</v>
      </c>
      <c r="F35" s="3">
        <f>F37*F5</f>
        <v>594.39484751559723</v>
      </c>
      <c r="G35" s="3">
        <f t="shared" ref="G35:O35" si="22">G37*G5</f>
        <v>659.88854585287436</v>
      </c>
      <c r="H35" s="3">
        <f t="shared" si="22"/>
        <v>721.7014635952047</v>
      </c>
      <c r="I35" s="3">
        <f t="shared" si="22"/>
        <v>780.06753437322288</v>
      </c>
      <c r="J35" s="3">
        <f t="shared" si="22"/>
        <v>831.99240251359004</v>
      </c>
      <c r="K35" s="3">
        <f t="shared" si="22"/>
        <v>883.95921568632696</v>
      </c>
      <c r="L35" s="3">
        <f t="shared" si="22"/>
        <v>935.4771456584441</v>
      </c>
      <c r="M35" s="3">
        <f t="shared" si="22"/>
        <v>987.08492575082789</v>
      </c>
      <c r="N35" s="3">
        <f t="shared" si="22"/>
        <v>1039.7262524807502</v>
      </c>
      <c r="O35" s="3">
        <f t="shared" si="22"/>
        <v>1093.7131498462038</v>
      </c>
      <c r="P35" s="2"/>
      <c r="Q35" s="2"/>
      <c r="R35" s="2"/>
      <c r="S35" s="2"/>
      <c r="T35" s="2"/>
      <c r="U35" s="2"/>
      <c r="V35" s="2"/>
    </row>
    <row r="36" spans="1:22" ht="15" x14ac:dyDescent="0.25">
      <c r="A36" s="2" t="s">
        <v>10</v>
      </c>
      <c r="B36" s="7"/>
      <c r="C36" s="7">
        <f>C35/B35-1</f>
        <v>0.14479638009049767</v>
      </c>
      <c r="D36" s="7">
        <f>D35/C35-1</f>
        <v>0.48616600790513842</v>
      </c>
      <c r="E36" s="7">
        <f>E35/D35-1</f>
        <v>0.31914893617021267</v>
      </c>
      <c r="F36" s="7">
        <f t="shared" ref="F36:O36" si="23">F35/E35-1</f>
        <v>0.19837670870080082</v>
      </c>
      <c r="G36" s="7">
        <f t="shared" si="23"/>
        <v>0.11018550818706174</v>
      </c>
      <c r="H36" s="7">
        <f t="shared" si="23"/>
        <v>9.3671754314874622E-2</v>
      </c>
      <c r="I36" s="7">
        <f t="shared" si="23"/>
        <v>8.0872872956726072E-2</v>
      </c>
      <c r="J36" s="7">
        <f t="shared" si="23"/>
        <v>6.656458043993374E-2</v>
      </c>
      <c r="K36" s="7">
        <f t="shared" si="23"/>
        <v>6.2460682352069918E-2</v>
      </c>
      <c r="L36" s="7">
        <f t="shared" si="23"/>
        <v>5.8280890178985745E-2</v>
      </c>
      <c r="M36" s="7">
        <f t="shared" si="23"/>
        <v>5.5167333944924124E-2</v>
      </c>
      <c r="N36" s="7">
        <f t="shared" si="23"/>
        <v>5.3330088786312402E-2</v>
      </c>
      <c r="O36" s="7">
        <f t="shared" si="23"/>
        <v>5.1924145645685815E-2</v>
      </c>
      <c r="P36" s="2"/>
      <c r="Q36" s="2"/>
      <c r="R36" s="2"/>
      <c r="S36" s="2"/>
      <c r="T36" s="2"/>
      <c r="U36" s="2"/>
      <c r="V36" s="2"/>
    </row>
    <row r="37" spans="1:22" ht="15" x14ac:dyDescent="0.25">
      <c r="A37" s="2" t="s">
        <v>55</v>
      </c>
      <c r="B37" s="7">
        <f t="shared" ref="B37:C37" si="24">B35/B5</f>
        <v>0.51496665532652619</v>
      </c>
      <c r="C37" s="7">
        <f t="shared" si="24"/>
        <v>0.52072720686454299</v>
      </c>
      <c r="D37" s="7">
        <f>D35/D5</f>
        <v>0.45437242829435115</v>
      </c>
      <c r="E37" s="7">
        <f>E35/E5</f>
        <v>0.45531613719336156</v>
      </c>
      <c r="F37" s="10">
        <v>0.48</v>
      </c>
      <c r="G37" s="10">
        <f>F37+0.25%</f>
        <v>0.48249999999999998</v>
      </c>
      <c r="H37" s="10">
        <f t="shared" ref="H37:O37" si="25">G37+0.25%</f>
        <v>0.48499999999999999</v>
      </c>
      <c r="I37" s="10">
        <f t="shared" si="25"/>
        <v>0.48749999999999999</v>
      </c>
      <c r="J37" s="10">
        <f t="shared" si="25"/>
        <v>0.49</v>
      </c>
      <c r="K37" s="10">
        <f t="shared" si="25"/>
        <v>0.49249999999999999</v>
      </c>
      <c r="L37" s="10">
        <f t="shared" si="25"/>
        <v>0.495</v>
      </c>
      <c r="M37" s="10">
        <f t="shared" si="25"/>
        <v>0.4975</v>
      </c>
      <c r="N37" s="10">
        <f t="shared" si="25"/>
        <v>0.5</v>
      </c>
      <c r="O37" s="10">
        <f t="shared" si="25"/>
        <v>0.50249999999999995</v>
      </c>
      <c r="P37" s="2"/>
      <c r="Q37" s="2"/>
      <c r="R37" s="2"/>
      <c r="S37" s="2"/>
      <c r="T37" s="2"/>
      <c r="U37" s="2"/>
      <c r="V37" s="2"/>
    </row>
    <row r="38" spans="1:22" ht="1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</row>
    <row r="39" spans="1:22" ht="15" x14ac:dyDescent="0.25">
      <c r="A39" s="2" t="s">
        <v>56</v>
      </c>
      <c r="B39" s="3">
        <f>B29-B28-B22-B23-B18</f>
        <v>204.73299999999992</v>
      </c>
      <c r="C39" s="3">
        <f>C29-C28-C22-C23-C18</f>
        <v>259.27599999999995</v>
      </c>
      <c r="D39" s="3">
        <f>D29-D28-D22-D23-D18</f>
        <v>390.12200000000007</v>
      </c>
      <c r="E39" s="3">
        <f>E29-E28-E22-E23-E18</f>
        <v>493.57055900000034</v>
      </c>
      <c r="F39" s="3">
        <f t="shared" ref="F39:O39" si="26">F29-F28-F22-F23-F18</f>
        <v>579.39447553082334</v>
      </c>
      <c r="G39" s="3">
        <f t="shared" si="26"/>
        <v>644.29226176903194</v>
      </c>
      <c r="H39" s="3">
        <f t="shared" si="26"/>
        <v>703.30041259761572</v>
      </c>
      <c r="I39" s="3">
        <f t="shared" si="26"/>
        <v>757.22719252967499</v>
      </c>
      <c r="J39" s="3">
        <f t="shared" si="26"/>
        <v>802.8048404741819</v>
      </c>
      <c r="K39" s="3">
        <f t="shared" si="26"/>
        <v>847.98358155902804</v>
      </c>
      <c r="L39" s="3">
        <f t="shared" si="26"/>
        <v>895.91998341353133</v>
      </c>
      <c r="M39" s="3">
        <f t="shared" si="26"/>
        <v>943.89055619558962</v>
      </c>
      <c r="N39" s="3">
        <f t="shared" si="26"/>
        <v>992.76333000614852</v>
      </c>
      <c r="O39" s="3">
        <f t="shared" si="26"/>
        <v>1042.8254530980619</v>
      </c>
      <c r="P39" s="2"/>
      <c r="Q39" s="2"/>
      <c r="R39" s="2"/>
      <c r="S39" s="2"/>
      <c r="T39" s="2"/>
      <c r="U39" s="2"/>
      <c r="V39" s="2"/>
    </row>
    <row r="40" spans="1:22" ht="15" x14ac:dyDescent="0.25">
      <c r="A40" s="2" t="s">
        <v>58</v>
      </c>
      <c r="B40" s="3">
        <f>B35-B39</f>
        <v>16.267000000000081</v>
      </c>
      <c r="C40" s="3">
        <f>C35-C39</f>
        <v>-6.2759999999999536</v>
      </c>
      <c r="D40" s="3">
        <f>D35-D39</f>
        <v>-14.122000000000071</v>
      </c>
      <c r="E40" s="3">
        <f>E35-E39</f>
        <v>2.429440999999656</v>
      </c>
      <c r="F40" s="3">
        <f t="shared" ref="F40:O40" si="27">F35-F39</f>
        <v>15.000371984773892</v>
      </c>
      <c r="G40" s="3">
        <f t="shared" si="27"/>
        <v>15.59628408384242</v>
      </c>
      <c r="H40" s="3">
        <f t="shared" si="27"/>
        <v>18.401050997588982</v>
      </c>
      <c r="I40" s="3">
        <f t="shared" si="27"/>
        <v>22.84034184354789</v>
      </c>
      <c r="J40" s="3">
        <f t="shared" si="27"/>
        <v>29.187562039408135</v>
      </c>
      <c r="K40" s="3">
        <f t="shared" si="27"/>
        <v>35.975634127298918</v>
      </c>
      <c r="L40" s="3">
        <f t="shared" si="27"/>
        <v>39.557162244912774</v>
      </c>
      <c r="M40" s="3">
        <f t="shared" si="27"/>
        <v>43.194369555238268</v>
      </c>
      <c r="N40" s="3">
        <f t="shared" si="27"/>
        <v>46.962922474601669</v>
      </c>
      <c r="O40" s="3">
        <f t="shared" si="27"/>
        <v>50.887696748141934</v>
      </c>
      <c r="P40" s="2"/>
      <c r="Q40" s="2"/>
      <c r="R40" s="2"/>
      <c r="S40" s="2"/>
      <c r="T40" s="2"/>
      <c r="U40" s="2"/>
      <c r="V40" s="2"/>
    </row>
    <row r="41" spans="1:22" ht="15" x14ac:dyDescent="0.25">
      <c r="A41" s="2"/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x14ac:dyDescent="0.25">
      <c r="A42" s="2" t="s">
        <v>66</v>
      </c>
      <c r="B42" s="3">
        <f t="shared" ref="B42:O42" si="28">B75+B111</f>
        <v>7.0839999999999996</v>
      </c>
      <c r="C42" s="3">
        <f t="shared" si="28"/>
        <v>11.526</v>
      </c>
      <c r="D42" s="3">
        <f t="shared" si="28"/>
        <v>79.088999999999999</v>
      </c>
      <c r="E42" s="3">
        <f t="shared" si="28"/>
        <v>129.07</v>
      </c>
      <c r="F42" s="3">
        <f t="shared" si="28"/>
        <v>159.535785</v>
      </c>
      <c r="G42" s="3">
        <f t="shared" si="28"/>
        <v>171.91078499999998</v>
      </c>
      <c r="H42" s="3">
        <f t="shared" si="28"/>
        <v>181.39828499999999</v>
      </c>
      <c r="I42" s="3">
        <f t="shared" si="28"/>
        <v>188.70366000000001</v>
      </c>
      <c r="J42" s="3">
        <f t="shared" si="28"/>
        <v>195.40373250000002</v>
      </c>
      <c r="K42" s="3">
        <f t="shared" si="28"/>
        <v>201.32212987500003</v>
      </c>
      <c r="L42" s="3">
        <f t="shared" si="28"/>
        <v>206.29358367000003</v>
      </c>
      <c r="M42" s="3">
        <f t="shared" si="28"/>
        <v>210.17131763010005</v>
      </c>
      <c r="N42" s="3">
        <f t="shared" si="28"/>
        <v>212.83402828270206</v>
      </c>
      <c r="O42" s="3">
        <f t="shared" si="28"/>
        <v>214.19201071552908</v>
      </c>
      <c r="P42" s="2"/>
      <c r="Q42" s="2"/>
      <c r="R42" s="2"/>
      <c r="S42" s="2"/>
      <c r="T42" s="2"/>
      <c r="U42" s="2"/>
      <c r="V42" s="2"/>
    </row>
    <row r="43" spans="1:22" ht="15" x14ac:dyDescent="0.25">
      <c r="A43" s="2" t="s">
        <v>67</v>
      </c>
      <c r="B43" s="3">
        <f t="shared" ref="B43:O43" si="29">B35-B42</f>
        <v>213.916</v>
      </c>
      <c r="C43" s="3">
        <f t="shared" si="29"/>
        <v>241.47399999999999</v>
      </c>
      <c r="D43" s="3">
        <f t="shared" si="29"/>
        <v>296.911</v>
      </c>
      <c r="E43" s="3">
        <f t="shared" si="29"/>
        <v>366.93</v>
      </c>
      <c r="F43" s="3">
        <f t="shared" si="29"/>
        <v>434.8590625155972</v>
      </c>
      <c r="G43" s="3">
        <f t="shared" si="29"/>
        <v>487.97776085287438</v>
      </c>
      <c r="H43" s="3">
        <f t="shared" si="29"/>
        <v>540.30317859520471</v>
      </c>
      <c r="I43" s="3">
        <f t="shared" si="29"/>
        <v>591.36387437322287</v>
      </c>
      <c r="J43" s="3">
        <f t="shared" si="29"/>
        <v>636.58867001358999</v>
      </c>
      <c r="K43" s="3">
        <f t="shared" si="29"/>
        <v>682.63708581132687</v>
      </c>
      <c r="L43" s="3">
        <f t="shared" si="29"/>
        <v>729.18356198844413</v>
      </c>
      <c r="M43" s="3">
        <f t="shared" si="29"/>
        <v>776.91360812072787</v>
      </c>
      <c r="N43" s="3">
        <f t="shared" si="29"/>
        <v>826.8922241980481</v>
      </c>
      <c r="O43" s="3">
        <f t="shared" si="29"/>
        <v>879.52113913067478</v>
      </c>
      <c r="P43" s="2"/>
      <c r="Q43" s="2"/>
      <c r="R43" s="2"/>
      <c r="S43" s="2"/>
      <c r="T43" s="2"/>
      <c r="U43" s="2"/>
      <c r="V43" s="2"/>
    </row>
    <row r="44" spans="1:22" ht="15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2"/>
      <c r="R44" s="2"/>
      <c r="S44" s="2"/>
      <c r="T44" s="2"/>
      <c r="U44" s="2"/>
      <c r="V44" s="2"/>
    </row>
    <row r="45" spans="1:22" ht="15" x14ac:dyDescent="0.25">
      <c r="A45" s="2" t="s">
        <v>155</v>
      </c>
      <c r="B45" s="16">
        <v>351</v>
      </c>
      <c r="C45" s="16">
        <v>376</v>
      </c>
      <c r="D45" s="16">
        <v>411</v>
      </c>
      <c r="E45" s="16">
        <v>545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  <c r="V45" s="2"/>
    </row>
    <row r="46" spans="1:22" ht="15" x14ac:dyDescent="0.25">
      <c r="A46" s="2" t="s">
        <v>156</v>
      </c>
      <c r="B46" s="3"/>
      <c r="C46" s="3"/>
      <c r="D46" s="3"/>
      <c r="E46" s="16">
        <v>406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2"/>
      <c r="Q46" s="2"/>
      <c r="R46" s="2"/>
      <c r="S46" s="2"/>
      <c r="T46" s="2"/>
      <c r="U46" s="2"/>
      <c r="V46" s="2"/>
    </row>
    <row r="47" spans="1:22" ht="15" x14ac:dyDescent="0.25">
      <c r="A47" s="2"/>
      <c r="B47" s="2"/>
      <c r="C47" s="2"/>
      <c r="D47" s="2"/>
      <c r="E47" s="3">
        <f>E45-E46</f>
        <v>139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x14ac:dyDescent="0.25">
      <c r="A50" s="22" t="s">
        <v>59</v>
      </c>
      <c r="B50" s="13">
        <v>2020</v>
      </c>
      <c r="C50" s="13">
        <v>2021</v>
      </c>
      <c r="D50" s="13">
        <v>2022</v>
      </c>
      <c r="E50" s="13">
        <v>2023</v>
      </c>
      <c r="F50" s="13" t="s">
        <v>15</v>
      </c>
      <c r="G50" s="13" t="s">
        <v>16</v>
      </c>
      <c r="H50" s="13" t="s">
        <v>17</v>
      </c>
      <c r="I50" s="13" t="s">
        <v>18</v>
      </c>
      <c r="J50" s="13" t="s">
        <v>19</v>
      </c>
      <c r="K50" s="13" t="s">
        <v>20</v>
      </c>
      <c r="L50" s="13" t="s">
        <v>21</v>
      </c>
      <c r="M50" s="13" t="s">
        <v>22</v>
      </c>
      <c r="N50" s="13" t="s">
        <v>23</v>
      </c>
      <c r="O50" s="13" t="s">
        <v>24</v>
      </c>
      <c r="P50" s="2"/>
      <c r="Q50" s="2"/>
      <c r="R50" s="2"/>
      <c r="S50" s="2"/>
      <c r="T50" s="2"/>
      <c r="U50" s="2"/>
      <c r="V50" s="2"/>
    </row>
    <row r="51" spans="1:22" ht="15" x14ac:dyDescent="0.25">
      <c r="A51" s="2" t="str">
        <f t="shared" ref="A51:E59" si="30">A7</f>
        <v>Cost of devices and equipment</v>
      </c>
      <c r="B51" s="24">
        <f t="shared" si="30"/>
        <v>-4.984</v>
      </c>
      <c r="C51" s="24">
        <f t="shared" si="30"/>
        <v>-8.8800000000000008</v>
      </c>
      <c r="D51" s="24">
        <f t="shared" si="30"/>
        <v>-17.585999999999999</v>
      </c>
      <c r="E51" s="24">
        <f t="shared" si="30"/>
        <v>-29.717416</v>
      </c>
      <c r="F51" s="3">
        <f>F62*F$5</f>
        <v>-34.400449657274393</v>
      </c>
      <c r="G51" s="3">
        <f t="shared" ref="G51:O51" si="31">G62*G$5</f>
        <v>-38.676822801132118</v>
      </c>
      <c r="H51" s="3">
        <f t="shared" si="31"/>
        <v>-42.825730830192292</v>
      </c>
      <c r="I51" s="3">
        <f t="shared" si="31"/>
        <v>-46.851859622264165</v>
      </c>
      <c r="J51" s="3">
        <f t="shared" si="31"/>
        <v>-50.564554136064459</v>
      </c>
      <c r="K51" s="3">
        <f t="shared" si="31"/>
        <v>-54.347566387931906</v>
      </c>
      <c r="L51" s="3">
        <f t="shared" si="31"/>
        <v>-57.602481747782072</v>
      </c>
      <c r="M51" s="3">
        <f t="shared" si="31"/>
        <v>-60.871646727411559</v>
      </c>
      <c r="N51" s="3">
        <f t="shared" si="31"/>
        <v>-64.21323786768599</v>
      </c>
      <c r="O51" s="3">
        <f t="shared" si="31"/>
        <v>-67.646707107509727</v>
      </c>
      <c r="P51" s="2"/>
      <c r="Q51" s="2"/>
      <c r="R51" s="2"/>
      <c r="S51" s="2"/>
      <c r="T51" s="2"/>
      <c r="U51" s="2"/>
      <c r="V51" s="2"/>
    </row>
    <row r="52" spans="1:22" ht="15" x14ac:dyDescent="0.25">
      <c r="A52" s="2" t="str">
        <f t="shared" si="30"/>
        <v>Cost of interconnection and roaming</v>
      </c>
      <c r="B52" s="24">
        <f t="shared" si="30"/>
        <v>-19.158000000000001</v>
      </c>
      <c r="C52" s="24">
        <f t="shared" si="30"/>
        <v>-18.324999999999999</v>
      </c>
      <c r="D52" s="24">
        <f t="shared" si="30"/>
        <v>-27.048999999999999</v>
      </c>
      <c r="E52" s="24">
        <f t="shared" si="30"/>
        <v>-31.496331999999999</v>
      </c>
      <c r="F52" s="3">
        <f t="shared" ref="F52:O59" si="32">F63*F$5</f>
        <v>-34.565149462790771</v>
      </c>
      <c r="G52" s="3">
        <f t="shared" si="32"/>
        <v>-36.807255760961617</v>
      </c>
      <c r="H52" s="3">
        <f t="shared" si="32"/>
        <v>-38.559511436217008</v>
      </c>
      <c r="I52" s="3">
        <f t="shared" si="32"/>
        <v>-39.864058399947709</v>
      </c>
      <c r="J52" s="3">
        <f t="shared" si="32"/>
        <v>-40.602722549894622</v>
      </c>
      <c r="K52" s="3">
        <f t="shared" si="32"/>
        <v>-41.124976597183668</v>
      </c>
      <c r="L52" s="3">
        <f t="shared" si="32"/>
        <v>-40.467190658842718</v>
      </c>
      <c r="M52" s="3">
        <f t="shared" si="32"/>
        <v>-39.508951081087631</v>
      </c>
      <c r="N52" s="3">
        <f t="shared" si="32"/>
        <v>-38.288708357903381</v>
      </c>
      <c r="O52" s="3">
        <f t="shared" si="32"/>
        <v>-36.811619281319139</v>
      </c>
      <c r="P52" s="2"/>
      <c r="Q52" s="2"/>
      <c r="R52" s="2"/>
      <c r="S52" s="2"/>
      <c r="T52" s="2"/>
      <c r="U52" s="2"/>
      <c r="V52" s="2"/>
    </row>
    <row r="53" spans="1:22" ht="15" x14ac:dyDescent="0.25">
      <c r="A53" s="2" t="str">
        <f t="shared" si="30"/>
        <v>Government and regulatory costs</v>
      </c>
      <c r="B53" s="24">
        <f t="shared" si="30"/>
        <v>-20.187000000000001</v>
      </c>
      <c r="C53" s="24">
        <f t="shared" si="30"/>
        <v>-22.584</v>
      </c>
      <c r="D53" s="24">
        <f t="shared" si="30"/>
        <v>-50.13</v>
      </c>
      <c r="E53" s="24">
        <f t="shared" si="30"/>
        <v>-66.14281299999999</v>
      </c>
      <c r="F53" s="3">
        <f t="shared" si="32"/>
        <v>-75.807038965159606</v>
      </c>
      <c r="G53" s="3">
        <f t="shared" si="32"/>
        <v>-84.407636870919475</v>
      </c>
      <c r="H53" s="3">
        <f t="shared" si="32"/>
        <v>-92.582423780917424</v>
      </c>
      <c r="I53" s="3">
        <f t="shared" si="32"/>
        <v>-100.35672102608126</v>
      </c>
      <c r="J53" s="3">
        <f t="shared" si="32"/>
        <v>-107.33978913942416</v>
      </c>
      <c r="K53" s="3">
        <f t="shared" si="32"/>
        <v>-114.36282103150683</v>
      </c>
      <c r="L53" s="3">
        <f t="shared" si="32"/>
        <v>-120.79470614363376</v>
      </c>
      <c r="M53" s="3">
        <f t="shared" si="32"/>
        <v>-127.21495047856938</v>
      </c>
      <c r="N53" s="3">
        <f t="shared" si="32"/>
        <v>-133.74522890811744</v>
      </c>
      <c r="O53" s="3">
        <f t="shared" si="32"/>
        <v>-140.42519493860362</v>
      </c>
      <c r="P53" s="2"/>
      <c r="Q53" s="2"/>
      <c r="R53" s="2"/>
      <c r="S53" s="2"/>
      <c r="T53" s="2"/>
      <c r="U53" s="2"/>
      <c r="V53" s="2"/>
    </row>
    <row r="54" spans="1:22" ht="15" x14ac:dyDescent="0.25">
      <c r="A54" s="2" t="str">
        <f t="shared" si="30"/>
        <v>Advertising abd advertising and distribution costs</v>
      </c>
      <c r="B54" s="24">
        <f t="shared" si="30"/>
        <v>-3.653</v>
      </c>
      <c r="C54" s="24">
        <f t="shared" si="30"/>
        <v>-3.8210000000000002</v>
      </c>
      <c r="D54" s="24">
        <f t="shared" si="30"/>
        <v>-11.917</v>
      </c>
      <c r="E54" s="24">
        <f t="shared" si="30"/>
        <v>-17.546525000000003</v>
      </c>
      <c r="F54" s="3">
        <f t="shared" si="32"/>
        <v>-20.565182874923703</v>
      </c>
      <c r="G54" s="3">
        <f t="shared" si="32"/>
        <v>-23.396694121006863</v>
      </c>
      <c r="H54" s="3">
        <f t="shared" si="32"/>
        <v>-26.200427160235197</v>
      </c>
      <c r="I54" s="3">
        <f t="shared" si="32"/>
        <v>-28.974172905055148</v>
      </c>
      <c r="J54" s="3">
        <f t="shared" si="32"/>
        <v>-31.594130924883647</v>
      </c>
      <c r="K54" s="3">
        <f t="shared" si="32"/>
        <v>-34.294548912125272</v>
      </c>
      <c r="L54" s="3">
        <f t="shared" si="32"/>
        <v>-36.582429633913904</v>
      </c>
      <c r="M54" s="3">
        <f t="shared" si="32"/>
        <v>-38.902634534130335</v>
      </c>
      <c r="N54" s="3">
        <f t="shared" si="32"/>
        <v>-41.292292036658061</v>
      </c>
      <c r="O54" s="3">
        <f t="shared" si="32"/>
        <v>-43.764393629190842</v>
      </c>
      <c r="P54" s="2"/>
      <c r="Q54" s="2"/>
      <c r="R54" s="2"/>
      <c r="S54" s="2"/>
      <c r="T54" s="2"/>
      <c r="U54" s="2"/>
      <c r="V54" s="2"/>
    </row>
    <row r="55" spans="1:22" ht="15" x14ac:dyDescent="0.25">
      <c r="A55" s="2" t="str">
        <f t="shared" si="30"/>
        <v>Commision to sales agents</v>
      </c>
      <c r="B55" s="24">
        <f t="shared" si="30"/>
        <v>-27.29</v>
      </c>
      <c r="C55" s="24">
        <f t="shared" si="30"/>
        <v>-38.283000000000001</v>
      </c>
      <c r="D55" s="24">
        <f t="shared" si="30"/>
        <v>-120.607</v>
      </c>
      <c r="E55" s="24">
        <f t="shared" si="30"/>
        <v>-156.71112500000001</v>
      </c>
      <c r="F55" s="3">
        <f t="shared" si="32"/>
        <v>-178.76061553955944</v>
      </c>
      <c r="G55" s="3">
        <f t="shared" si="32"/>
        <v>-198.11299021782997</v>
      </c>
      <c r="H55" s="3">
        <f t="shared" si="32"/>
        <v>-216.29774502366124</v>
      </c>
      <c r="I55" s="3">
        <f t="shared" si="32"/>
        <v>-233.39150939469309</v>
      </c>
      <c r="J55" s="3">
        <f t="shared" si="32"/>
        <v>-248.50605282235961</v>
      </c>
      <c r="K55" s="3">
        <f t="shared" si="32"/>
        <v>-263.58508777354803</v>
      </c>
      <c r="L55" s="3">
        <f t="shared" si="32"/>
        <v>-278.01070098971945</v>
      </c>
      <c r="M55" s="3">
        <f t="shared" si="32"/>
        <v>-292.36972314838425</v>
      </c>
      <c r="N55" s="3">
        <f t="shared" si="32"/>
        <v>-306.94188043634597</v>
      </c>
      <c r="O55" s="3">
        <f t="shared" si="32"/>
        <v>-321.81734518985735</v>
      </c>
      <c r="P55" s="2"/>
      <c r="Q55" s="2"/>
      <c r="R55" s="2"/>
      <c r="S55" s="2"/>
      <c r="T55" s="2"/>
      <c r="U55" s="2"/>
      <c r="V55" s="2"/>
    </row>
    <row r="56" spans="1:22" ht="15" x14ac:dyDescent="0.25">
      <c r="A56" s="2" t="str">
        <f t="shared" si="30"/>
        <v>Net impairment on financial and contract assets</v>
      </c>
      <c r="B56" s="24">
        <f t="shared" si="30"/>
        <v>-0.23300000000000001</v>
      </c>
      <c r="C56" s="24">
        <f t="shared" si="30"/>
        <v>-0.67900000000000005</v>
      </c>
      <c r="D56" s="24">
        <f t="shared" si="30"/>
        <v>-1.907</v>
      </c>
      <c r="E56" s="24">
        <f t="shared" si="30"/>
        <v>-9.4825350000000004</v>
      </c>
      <c r="F56" s="3">
        <f t="shared" si="32"/>
        <v>-10.779276677276776</v>
      </c>
      <c r="G56" s="3">
        <f t="shared" si="32"/>
        <v>-11.904991591313369</v>
      </c>
      <c r="H56" s="3">
        <f t="shared" si="32"/>
        <v>-12.953038847854</v>
      </c>
      <c r="I56" s="3">
        <f t="shared" si="32"/>
        <v>-13.928790424215418</v>
      </c>
      <c r="J56" s="3">
        <f t="shared" si="32"/>
        <v>-14.780158828538884</v>
      </c>
      <c r="K56" s="3">
        <f t="shared" si="32"/>
        <v>-15.623625260463518</v>
      </c>
      <c r="L56" s="3">
        <f t="shared" si="32"/>
        <v>-16.450678068423461</v>
      </c>
      <c r="M56" s="3">
        <f t="shared" si="32"/>
        <v>-17.270990892315748</v>
      </c>
      <c r="N56" s="3">
        <f t="shared" si="32"/>
        <v>-18.10109409818039</v>
      </c>
      <c r="O56" s="3">
        <f t="shared" si="32"/>
        <v>-18.946246710925944</v>
      </c>
      <c r="P56" s="2"/>
      <c r="Q56" s="2"/>
      <c r="R56" s="2"/>
      <c r="S56" s="2"/>
      <c r="T56" s="2"/>
      <c r="U56" s="2"/>
      <c r="V56" s="2"/>
    </row>
    <row r="57" spans="1:22" ht="15" x14ac:dyDescent="0.25">
      <c r="A57" s="2" t="str">
        <f t="shared" si="30"/>
        <v>Technology operation costs</v>
      </c>
      <c r="B57" s="24">
        <f t="shared" si="30"/>
        <v>-35.529000000000003</v>
      </c>
      <c r="C57" s="24">
        <f t="shared" si="30"/>
        <v>-43.27</v>
      </c>
      <c r="D57" s="24">
        <f t="shared" si="30"/>
        <v>-68.861999999999995</v>
      </c>
      <c r="E57" s="24">
        <f t="shared" si="30"/>
        <v>-96.690866</v>
      </c>
      <c r="F57" s="3">
        <f t="shared" si="32"/>
        <v>-109.91339307257962</v>
      </c>
      <c r="G57" s="3">
        <f t="shared" si="32"/>
        <v>-121.39200611300751</v>
      </c>
      <c r="H57" s="3">
        <f t="shared" si="32"/>
        <v>-132.07866288188183</v>
      </c>
      <c r="I57" s="3">
        <f t="shared" si="32"/>
        <v>-142.02813999103572</v>
      </c>
      <c r="J57" s="3">
        <f t="shared" si="32"/>
        <v>-150.7093152568348</v>
      </c>
      <c r="K57" s="3">
        <f t="shared" si="32"/>
        <v>-159.30991622954124</v>
      </c>
      <c r="L57" s="3">
        <f t="shared" si="32"/>
        <v>-167.74315188112371</v>
      </c>
      <c r="M57" s="3">
        <f t="shared" si="32"/>
        <v>-176.10766172295934</v>
      </c>
      <c r="N57" s="3">
        <f t="shared" si="32"/>
        <v>-184.57200146380168</v>
      </c>
      <c r="O57" s="3">
        <f t="shared" si="32"/>
        <v>-193.1897959700735</v>
      </c>
      <c r="P57" s="2"/>
      <c r="Q57" s="2"/>
      <c r="R57" s="2"/>
      <c r="S57" s="2"/>
      <c r="T57" s="2"/>
      <c r="U57" s="2"/>
      <c r="V57" s="2"/>
    </row>
    <row r="58" spans="1:22" ht="15" x14ac:dyDescent="0.25">
      <c r="A58" s="2" t="str">
        <f t="shared" si="30"/>
        <v>Staff costs</v>
      </c>
      <c r="B58" s="24">
        <f t="shared" si="30"/>
        <v>-37.959000000000003</v>
      </c>
      <c r="C58" s="24">
        <f t="shared" si="30"/>
        <v>-52.34</v>
      </c>
      <c r="D58" s="24">
        <f t="shared" si="30"/>
        <v>-83.924999999999997</v>
      </c>
      <c r="E58" s="24">
        <f t="shared" si="30"/>
        <v>-111.97529399999999</v>
      </c>
      <c r="F58" s="3">
        <f t="shared" si="32"/>
        <v>-127.90713598615989</v>
      </c>
      <c r="G58" s="3">
        <f t="shared" si="32"/>
        <v>-141.94871643603889</v>
      </c>
      <c r="H58" s="3">
        <f t="shared" si="32"/>
        <v>-155.18909034070657</v>
      </c>
      <c r="I58" s="3">
        <f t="shared" si="32"/>
        <v>-167.67954371756989</v>
      </c>
      <c r="J58" s="3">
        <f t="shared" si="32"/>
        <v>-178.77757963384263</v>
      </c>
      <c r="K58" s="3">
        <f t="shared" si="32"/>
        <v>-189.87738627184754</v>
      </c>
      <c r="L58" s="3">
        <f t="shared" si="32"/>
        <v>-200.30671321854939</v>
      </c>
      <c r="M58" s="3">
        <f t="shared" si="32"/>
        <v>-210.69182263598663</v>
      </c>
      <c r="N58" s="3">
        <f t="shared" si="32"/>
        <v>-221.23428656348753</v>
      </c>
      <c r="O58" s="3">
        <f t="shared" si="32"/>
        <v>-231.99917725449552</v>
      </c>
      <c r="P58" s="2"/>
      <c r="Q58" s="2"/>
      <c r="R58" s="2"/>
      <c r="S58" s="2"/>
      <c r="T58" s="2"/>
      <c r="U58" s="2"/>
      <c r="V58" s="2"/>
    </row>
    <row r="59" spans="1:22" ht="15" x14ac:dyDescent="0.25">
      <c r="A59" s="2" t="str">
        <f t="shared" si="30"/>
        <v>Other operating expenses</v>
      </c>
      <c r="B59" s="24">
        <f t="shared" si="30"/>
        <v>-38.546999999999997</v>
      </c>
      <c r="C59" s="24">
        <f t="shared" si="30"/>
        <v>-44.039000000000001</v>
      </c>
      <c r="D59" s="24">
        <f t="shared" si="30"/>
        <v>-61.392000000000003</v>
      </c>
      <c r="E59" s="24">
        <f t="shared" si="30"/>
        <v>-74.529984999999996</v>
      </c>
      <c r="F59" s="3">
        <f t="shared" si="32"/>
        <v>-83.483677274280168</v>
      </c>
      <c r="G59" s="3">
        <f t="shared" si="32"/>
        <v>-90.83450449861428</v>
      </c>
      <c r="H59" s="3">
        <f t="shared" si="32"/>
        <v>-97.343009633067183</v>
      </c>
      <c r="I59" s="3">
        <f t="shared" si="32"/>
        <v>-103.07571370366227</v>
      </c>
      <c r="J59" s="3">
        <f t="shared" si="32"/>
        <v>-107.67805908302935</v>
      </c>
      <c r="K59" s="3">
        <f t="shared" si="32"/>
        <v>-112.02813361804587</v>
      </c>
      <c r="L59" s="3">
        <f t="shared" si="32"/>
        <v>-116.06860624699304</v>
      </c>
      <c r="M59" s="3">
        <f t="shared" si="32"/>
        <v>-119.87227531533438</v>
      </c>
      <c r="N59" s="3">
        <f t="shared" si="32"/>
        <v>-123.55429652395236</v>
      </c>
      <c r="O59" s="3">
        <f t="shared" si="32"/>
        <v>-127.14658856927356</v>
      </c>
      <c r="P59" s="2"/>
      <c r="Q59" s="2"/>
      <c r="R59" s="2"/>
      <c r="S59" s="2"/>
      <c r="T59" s="2"/>
      <c r="U59" s="2"/>
      <c r="V59" s="2"/>
    </row>
    <row r="60" spans="1:22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" x14ac:dyDescent="0.25">
      <c r="A61" s="2" t="s">
        <v>60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" x14ac:dyDescent="0.25">
      <c r="A62" s="2" t="str">
        <f>A51</f>
        <v>Cost of devices and equipment</v>
      </c>
      <c r="B62" s="25">
        <f>B51/B$5</f>
        <v>-1.1613546652250707E-2</v>
      </c>
      <c r="C62" s="25">
        <f t="shared" ref="C62:E62" si="33">C51/C$5</f>
        <v>-1.8276907497854319E-2</v>
      </c>
      <c r="D62" s="25">
        <f t="shared" si="33"/>
        <v>-2.1251578521235263E-2</v>
      </c>
      <c r="E62" s="25">
        <f t="shared" si="33"/>
        <v>-2.7279877138081044E-2</v>
      </c>
      <c r="F62" s="26">
        <f>E62-0.05%</f>
        <v>-2.7779877138081045E-2</v>
      </c>
      <c r="G62" s="26">
        <f t="shared" ref="G62:K62" si="34">F62-0.05%</f>
        <v>-2.8279877138081045E-2</v>
      </c>
      <c r="H62" s="26">
        <f t="shared" si="34"/>
        <v>-2.8779877138081045E-2</v>
      </c>
      <c r="I62" s="26">
        <f t="shared" si="34"/>
        <v>-2.9279877138081046E-2</v>
      </c>
      <c r="J62" s="26">
        <f t="shared" si="34"/>
        <v>-2.9779877138081046E-2</v>
      </c>
      <c r="K62" s="26">
        <f t="shared" si="34"/>
        <v>-3.0279877138081047E-2</v>
      </c>
      <c r="L62" s="26">
        <f>K62-0.02%</f>
        <v>-3.0479877138081046E-2</v>
      </c>
      <c r="M62" s="26">
        <f t="shared" ref="M62:O62" si="35">L62-0.02%</f>
        <v>-3.0679877138081044E-2</v>
      </c>
      <c r="N62" s="26">
        <f t="shared" si="35"/>
        <v>-3.0879877138081043E-2</v>
      </c>
      <c r="O62" s="26">
        <f t="shared" si="35"/>
        <v>-3.1079877138081042E-2</v>
      </c>
      <c r="P62" s="2"/>
      <c r="Q62" s="2"/>
      <c r="R62" s="2"/>
      <c r="S62" s="2"/>
      <c r="T62" s="2"/>
      <c r="U62" s="2"/>
      <c r="V62" s="2"/>
    </row>
    <row r="63" spans="1:22" ht="15" x14ac:dyDescent="0.25">
      <c r="A63" s="2" t="str">
        <f t="shared" ref="A63:A70" si="36">A52</f>
        <v>Cost of interconnection and roaming</v>
      </c>
      <c r="B63" s="25">
        <f t="shared" ref="B63:E63" si="37">B52/B$5</f>
        <v>-4.4641317568984561E-2</v>
      </c>
      <c r="C63" s="25">
        <f t="shared" si="37"/>
        <v>-3.7716703817362654E-2</v>
      </c>
      <c r="D63" s="25">
        <f t="shared" si="37"/>
        <v>-3.2687020779079534E-2</v>
      </c>
      <c r="E63" s="25">
        <f t="shared" si="37"/>
        <v>-2.8912879479838029E-2</v>
      </c>
      <c r="F63" s="26">
        <f>E63+0.1%</f>
        <v>-2.7912879479838029E-2</v>
      </c>
      <c r="G63" s="26">
        <f t="shared" ref="G63:K63" si="38">F63+0.1%</f>
        <v>-2.6912879479838028E-2</v>
      </c>
      <c r="H63" s="26">
        <f t="shared" si="38"/>
        <v>-2.5912879479838027E-2</v>
      </c>
      <c r="I63" s="26">
        <f t="shared" si="38"/>
        <v>-2.4912879479838026E-2</v>
      </c>
      <c r="J63" s="26">
        <f t="shared" si="38"/>
        <v>-2.3912879479838025E-2</v>
      </c>
      <c r="K63" s="26">
        <f t="shared" si="38"/>
        <v>-2.2912879479838024E-2</v>
      </c>
      <c r="L63" s="26">
        <f>K63+0.15%</f>
        <v>-2.1412879479838023E-2</v>
      </c>
      <c r="M63" s="26">
        <f t="shared" ref="M63:O63" si="39">L63+0.15%</f>
        <v>-1.9912879479838021E-2</v>
      </c>
      <c r="N63" s="26">
        <f t="shared" si="39"/>
        <v>-1.841287947983802E-2</v>
      </c>
      <c r="O63" s="26">
        <f t="shared" si="39"/>
        <v>-1.6912879479838019E-2</v>
      </c>
      <c r="P63" s="2"/>
      <c r="Q63" s="2"/>
      <c r="R63" s="2"/>
      <c r="S63" s="2"/>
      <c r="T63" s="2"/>
      <c r="U63" s="2"/>
      <c r="V63" s="2"/>
    </row>
    <row r="64" spans="1:22" ht="15" x14ac:dyDescent="0.25">
      <c r="A64" s="2" t="str">
        <f t="shared" si="36"/>
        <v>Government and regulatory costs</v>
      </c>
      <c r="B64" s="25">
        <f t="shared" ref="B64:E64" si="40">B53/B$5</f>
        <v>-4.7039058240165535E-2</v>
      </c>
      <c r="C64" s="25">
        <f t="shared" si="40"/>
        <v>-4.648262150129976E-2</v>
      </c>
      <c r="D64" s="25">
        <f t="shared" si="40"/>
        <v>-6.0578962314882516E-2</v>
      </c>
      <c r="E64" s="25">
        <f t="shared" si="40"/>
        <v>-6.0717520399723494E-2</v>
      </c>
      <c r="F64" s="26">
        <f>E64-0.05%</f>
        <v>-6.1217520399723495E-2</v>
      </c>
      <c r="G64" s="26">
        <f t="shared" ref="G64:K64" si="41">F64-0.05%</f>
        <v>-6.1717520399723495E-2</v>
      </c>
      <c r="H64" s="26">
        <f t="shared" si="41"/>
        <v>-6.2217520399723496E-2</v>
      </c>
      <c r="I64" s="26">
        <f t="shared" si="41"/>
        <v>-6.2717520399723489E-2</v>
      </c>
      <c r="J64" s="26">
        <f t="shared" si="41"/>
        <v>-6.321752039972349E-2</v>
      </c>
      <c r="K64" s="26">
        <f t="shared" si="41"/>
        <v>-6.371752039972349E-2</v>
      </c>
      <c r="L64" s="26">
        <f>K64-0.02%</f>
        <v>-6.3917520399723496E-2</v>
      </c>
      <c r="M64" s="26">
        <f t="shared" ref="M64:O64" si="42">L64-0.02%</f>
        <v>-6.4117520399723502E-2</v>
      </c>
      <c r="N64" s="26">
        <f t="shared" si="42"/>
        <v>-6.4317520399723507E-2</v>
      </c>
      <c r="O64" s="26">
        <f t="shared" si="42"/>
        <v>-6.4517520399723513E-2</v>
      </c>
      <c r="P64" s="2"/>
      <c r="Q64" s="2"/>
      <c r="R64" s="2"/>
      <c r="S64" s="2"/>
      <c r="T64" s="2"/>
      <c r="U64" s="2"/>
      <c r="V64" s="2"/>
    </row>
    <row r="65" spans="1:22" ht="15" x14ac:dyDescent="0.25">
      <c r="A65" s="2" t="str">
        <f t="shared" si="36"/>
        <v>Advertising abd advertising and distribution costs</v>
      </c>
      <c r="B65" s="25">
        <f t="shared" ref="B65:E65" si="43">B54/B$5</f>
        <v>-8.5120958909855205E-3</v>
      </c>
      <c r="C65" s="25">
        <f t="shared" si="43"/>
        <v>-7.8644215708672683E-3</v>
      </c>
      <c r="D65" s="25">
        <f t="shared" si="43"/>
        <v>-1.4400947414850486E-2</v>
      </c>
      <c r="E65" s="25">
        <f t="shared" si="43"/>
        <v>-1.6107290290658768E-2</v>
      </c>
      <c r="F65" s="26">
        <f>E65-0.05%</f>
        <v>-1.6607290290658768E-2</v>
      </c>
      <c r="G65" s="26">
        <f t="shared" ref="G65:K65" si="44">F65-0.05%</f>
        <v>-1.7107290290658769E-2</v>
      </c>
      <c r="H65" s="26">
        <f t="shared" si="44"/>
        <v>-1.7607290290658769E-2</v>
      </c>
      <c r="I65" s="26">
        <f t="shared" si="44"/>
        <v>-1.8107290290658769E-2</v>
      </c>
      <c r="J65" s="26">
        <f t="shared" si="44"/>
        <v>-1.860729029065877E-2</v>
      </c>
      <c r="K65" s="26">
        <f t="shared" si="44"/>
        <v>-1.910729029065877E-2</v>
      </c>
      <c r="L65" s="26">
        <f>K65-0.025%</f>
        <v>-1.9357290290658771E-2</v>
      </c>
      <c r="M65" s="26">
        <f t="shared" ref="M65:O65" si="45">L65-0.025%</f>
        <v>-1.9607290290658771E-2</v>
      </c>
      <c r="N65" s="26">
        <f t="shared" si="45"/>
        <v>-1.9857290290658771E-2</v>
      </c>
      <c r="O65" s="26">
        <f t="shared" si="45"/>
        <v>-2.0107290290658771E-2</v>
      </c>
      <c r="P65" s="2"/>
      <c r="Q65" s="2"/>
      <c r="R65" s="2"/>
      <c r="S65" s="2"/>
      <c r="T65" s="2"/>
      <c r="U65" s="2"/>
      <c r="V65" s="2"/>
    </row>
    <row r="66" spans="1:22" ht="15" x14ac:dyDescent="0.25">
      <c r="A66" s="2" t="str">
        <f t="shared" si="36"/>
        <v>Commision to sales agents</v>
      </c>
      <c r="B66" s="25">
        <f t="shared" ref="B66:E66" si="46">B55/B$5</f>
        <v>-6.3590226352311763E-2</v>
      </c>
      <c r="C66" s="25">
        <f t="shared" si="46"/>
        <v>-7.8794465060850999E-2</v>
      </c>
      <c r="D66" s="25">
        <f t="shared" si="46"/>
        <v>-0.14574599856195961</v>
      </c>
      <c r="E66" s="25">
        <f t="shared" si="46"/>
        <v>-0.14385706469803636</v>
      </c>
      <c r="F66" s="26">
        <f>E66-0.05%</f>
        <v>-0.14435706469803636</v>
      </c>
      <c r="G66" s="26">
        <f t="shared" ref="G66:K66" si="47">F66-0.05%</f>
        <v>-0.14485706469803636</v>
      </c>
      <c r="H66" s="26">
        <f t="shared" si="47"/>
        <v>-0.14535706469803636</v>
      </c>
      <c r="I66" s="26">
        <f t="shared" si="47"/>
        <v>-0.14585706469803636</v>
      </c>
      <c r="J66" s="26">
        <f t="shared" si="47"/>
        <v>-0.14635706469803636</v>
      </c>
      <c r="K66" s="26">
        <f t="shared" si="47"/>
        <v>-0.14685706469803636</v>
      </c>
      <c r="L66" s="26">
        <f>K66-0.025%</f>
        <v>-0.14710706469803636</v>
      </c>
      <c r="M66" s="26">
        <f t="shared" ref="M66:O66" si="48">L66-0.025%</f>
        <v>-0.14735706469803636</v>
      </c>
      <c r="N66" s="26">
        <f t="shared" si="48"/>
        <v>-0.14760706469803636</v>
      </c>
      <c r="O66" s="26">
        <f t="shared" si="48"/>
        <v>-0.14785706469803636</v>
      </c>
      <c r="P66" s="2"/>
      <c r="Q66" s="2"/>
      <c r="R66" s="2"/>
      <c r="S66" s="2"/>
      <c r="T66" s="2"/>
      <c r="U66" s="2"/>
      <c r="V66" s="2"/>
    </row>
    <row r="67" spans="1:22" ht="15" x14ac:dyDescent="0.25">
      <c r="A67" s="2" t="str">
        <f t="shared" si="36"/>
        <v>Net impairment on financial and contract assets</v>
      </c>
      <c r="B67" s="25">
        <f t="shared" ref="B67:E67" si="49">B56/B$5</f>
        <v>-5.4292864566099822E-4</v>
      </c>
      <c r="C67" s="25">
        <f t="shared" si="49"/>
        <v>-1.3975247962886353E-3</v>
      </c>
      <c r="D67" s="25">
        <f t="shared" si="49"/>
        <v>-2.30448994882268E-3</v>
      </c>
      <c r="E67" s="25">
        <f t="shared" si="49"/>
        <v>-8.7047403366952679E-3</v>
      </c>
      <c r="F67" s="26">
        <f t="shared" ref="F67:O68" si="50">E67</f>
        <v>-8.7047403366952679E-3</v>
      </c>
      <c r="G67" s="26">
        <f t="shared" si="50"/>
        <v>-8.7047403366952679E-3</v>
      </c>
      <c r="H67" s="26">
        <f t="shared" si="50"/>
        <v>-8.7047403366952679E-3</v>
      </c>
      <c r="I67" s="26">
        <f t="shared" si="50"/>
        <v>-8.7047403366952679E-3</v>
      </c>
      <c r="J67" s="26">
        <f t="shared" si="50"/>
        <v>-8.7047403366952679E-3</v>
      </c>
      <c r="K67" s="26">
        <f t="shared" si="50"/>
        <v>-8.7047403366952679E-3</v>
      </c>
      <c r="L67" s="26">
        <f t="shared" si="50"/>
        <v>-8.7047403366952679E-3</v>
      </c>
      <c r="M67" s="26">
        <f t="shared" si="50"/>
        <v>-8.7047403366952679E-3</v>
      </c>
      <c r="N67" s="26">
        <f t="shared" si="50"/>
        <v>-8.7047403366952679E-3</v>
      </c>
      <c r="O67" s="26">
        <f t="shared" si="50"/>
        <v>-8.7047403366952679E-3</v>
      </c>
      <c r="P67" s="2"/>
      <c r="Q67" s="2"/>
      <c r="R67" s="2"/>
      <c r="S67" s="2"/>
      <c r="T67" s="2"/>
      <c r="U67" s="2"/>
      <c r="V67" s="2"/>
    </row>
    <row r="68" spans="1:22" ht="15" x14ac:dyDescent="0.25">
      <c r="A68" s="2" t="str">
        <f t="shared" si="36"/>
        <v>Technology operation costs</v>
      </c>
      <c r="B68" s="25">
        <f t="shared" ref="B68:E68" si="51">B57/B$5</f>
        <v>-8.2788462882788003E-2</v>
      </c>
      <c r="C68" s="25">
        <f t="shared" si="51"/>
        <v>-8.905875984596355E-2</v>
      </c>
      <c r="D68" s="25">
        <f t="shared" si="51"/>
        <v>-8.3215409992568101E-2</v>
      </c>
      <c r="E68" s="25">
        <f t="shared" si="51"/>
        <v>-8.8759902437501884E-2</v>
      </c>
      <c r="F68" s="26">
        <f t="shared" si="50"/>
        <v>-8.8759902437501884E-2</v>
      </c>
      <c r="G68" s="26">
        <f t="shared" si="50"/>
        <v>-8.8759902437501884E-2</v>
      </c>
      <c r="H68" s="26">
        <f t="shared" si="50"/>
        <v>-8.8759902437501884E-2</v>
      </c>
      <c r="I68" s="26">
        <f t="shared" si="50"/>
        <v>-8.8759902437501884E-2</v>
      </c>
      <c r="J68" s="26">
        <f t="shared" si="50"/>
        <v>-8.8759902437501884E-2</v>
      </c>
      <c r="K68" s="26">
        <f t="shared" si="50"/>
        <v>-8.8759902437501884E-2</v>
      </c>
      <c r="L68" s="26">
        <f t="shared" si="50"/>
        <v>-8.8759902437501884E-2</v>
      </c>
      <c r="M68" s="26">
        <f t="shared" si="50"/>
        <v>-8.8759902437501884E-2</v>
      </c>
      <c r="N68" s="26">
        <f t="shared" si="50"/>
        <v>-8.8759902437501884E-2</v>
      </c>
      <c r="O68" s="26">
        <f t="shared" si="50"/>
        <v>-8.8759902437501884E-2</v>
      </c>
    </row>
    <row r="69" spans="1:22" ht="15" x14ac:dyDescent="0.25">
      <c r="A69" s="2" t="str">
        <f t="shared" si="36"/>
        <v>Staff costs</v>
      </c>
      <c r="B69" s="25">
        <f t="shared" ref="B69:E69" si="52">B58/B$5</f>
        <v>-8.8450765925518593E-2</v>
      </c>
      <c r="C69" s="25">
        <f t="shared" si="52"/>
        <v>-0.10772672730154223</v>
      </c>
      <c r="D69" s="25">
        <f t="shared" si="52"/>
        <v>-0.10141810118245591</v>
      </c>
      <c r="E69" s="25">
        <f t="shared" si="52"/>
        <v>-0.10279064178461893</v>
      </c>
      <c r="F69" s="26">
        <f>E69-0.05%</f>
        <v>-0.10329064178461893</v>
      </c>
      <c r="G69" s="26">
        <f t="shared" ref="G69:K69" si="53">F69-0.05%</f>
        <v>-0.10379064178461893</v>
      </c>
      <c r="H69" s="26">
        <f t="shared" si="53"/>
        <v>-0.10429064178461893</v>
      </c>
      <c r="I69" s="26">
        <f t="shared" si="53"/>
        <v>-0.10479064178461893</v>
      </c>
      <c r="J69" s="26">
        <f t="shared" si="53"/>
        <v>-0.10529064178461893</v>
      </c>
      <c r="K69" s="26">
        <f t="shared" si="53"/>
        <v>-0.10579064178461893</v>
      </c>
      <c r="L69" s="26">
        <f>K69-0.02%</f>
        <v>-0.10599064178461894</v>
      </c>
      <c r="M69" s="26">
        <f t="shared" ref="M69:O69" si="54">L69-0.02%</f>
        <v>-0.10619064178461894</v>
      </c>
      <c r="N69" s="26">
        <f t="shared" si="54"/>
        <v>-0.10639064178461895</v>
      </c>
      <c r="O69" s="26">
        <f t="shared" si="54"/>
        <v>-0.10659064178461895</v>
      </c>
    </row>
    <row r="70" spans="1:22" ht="15" x14ac:dyDescent="0.25">
      <c r="A70" s="2" t="str">
        <f t="shared" si="36"/>
        <v>Other operating expenses</v>
      </c>
      <c r="B70" s="25">
        <f t="shared" ref="B70:E70" si="55">B59/B$5</f>
        <v>-8.9820903451907699E-2</v>
      </c>
      <c r="C70" s="25">
        <f t="shared" si="55"/>
        <v>-9.0641523569595303E-2</v>
      </c>
      <c r="D70" s="25">
        <f t="shared" si="55"/>
        <v>-7.4188383292145763E-2</v>
      </c>
      <c r="E70" s="25">
        <f t="shared" si="55"/>
        <v>-6.8416743700159627E-2</v>
      </c>
      <c r="F70" s="26">
        <f>E70+0.1%</f>
        <v>-6.7416743700159626E-2</v>
      </c>
      <c r="G70" s="26">
        <f t="shared" ref="G70:O70" si="56">F70+0.1%</f>
        <v>-6.6416743700159625E-2</v>
      </c>
      <c r="H70" s="26">
        <f t="shared" si="56"/>
        <v>-6.5416743700159624E-2</v>
      </c>
      <c r="I70" s="26">
        <f t="shared" si="56"/>
        <v>-6.4416743700159623E-2</v>
      </c>
      <c r="J70" s="26">
        <f t="shared" si="56"/>
        <v>-6.3416743700159622E-2</v>
      </c>
      <c r="K70" s="26">
        <f t="shared" si="56"/>
        <v>-6.2416743700159621E-2</v>
      </c>
      <c r="L70" s="26">
        <f t="shared" si="56"/>
        <v>-6.1416743700159621E-2</v>
      </c>
      <c r="M70" s="26">
        <f t="shared" si="56"/>
        <v>-6.041674370015962E-2</v>
      </c>
      <c r="N70" s="26">
        <f t="shared" si="56"/>
        <v>-5.9416743700159619E-2</v>
      </c>
      <c r="O70" s="26">
        <f t="shared" si="56"/>
        <v>-5.8416743700159618E-2</v>
      </c>
      <c r="P70" s="2"/>
      <c r="Q70" s="2"/>
      <c r="R70" s="2"/>
      <c r="S70" s="2"/>
    </row>
    <row r="71" spans="1:22" ht="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2" ht="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22" ht="15" x14ac:dyDescent="0.25">
      <c r="A73" s="22" t="s">
        <v>61</v>
      </c>
      <c r="B73" s="13">
        <v>2020</v>
      </c>
      <c r="C73" s="13">
        <v>2021</v>
      </c>
      <c r="D73" s="13">
        <v>2022</v>
      </c>
      <c r="E73" s="13">
        <v>2023</v>
      </c>
      <c r="F73" s="13" t="s">
        <v>15</v>
      </c>
      <c r="G73" s="13" t="s">
        <v>16</v>
      </c>
      <c r="H73" s="13" t="s">
        <v>17</v>
      </c>
      <c r="I73" s="13" t="s">
        <v>18</v>
      </c>
      <c r="J73" s="13" t="s">
        <v>19</v>
      </c>
      <c r="K73" s="13" t="s">
        <v>20</v>
      </c>
      <c r="L73" s="13" t="s">
        <v>21</v>
      </c>
      <c r="M73" s="13" t="s">
        <v>22</v>
      </c>
      <c r="N73" s="13" t="s">
        <v>23</v>
      </c>
      <c r="O73" s="13" t="s">
        <v>24</v>
      </c>
      <c r="P73" s="2"/>
      <c r="Q73" s="2"/>
      <c r="R73" s="2"/>
      <c r="S73" s="2"/>
    </row>
    <row r="74" spans="1:22" ht="15" x14ac:dyDescent="0.25">
      <c r="A74" s="2" t="s">
        <v>62</v>
      </c>
      <c r="B74" s="16">
        <v>102</v>
      </c>
      <c r="C74" s="16">
        <v>96</v>
      </c>
      <c r="D74" s="16">
        <v>117</v>
      </c>
      <c r="E74" s="16">
        <v>148</v>
      </c>
      <c r="F74" s="3">
        <f>E74*(1+F80)</f>
        <v>162.80000000000001</v>
      </c>
      <c r="G74" s="3">
        <f t="shared" ref="G74:O74" si="57">F74*(1+G80)</f>
        <v>177.45200000000003</v>
      </c>
      <c r="H74" s="3">
        <f t="shared" si="57"/>
        <v>191.64816000000005</v>
      </c>
      <c r="I74" s="3">
        <f t="shared" si="57"/>
        <v>205.06353120000006</v>
      </c>
      <c r="J74" s="3">
        <f t="shared" si="57"/>
        <v>217.36734307200007</v>
      </c>
      <c r="K74" s="3">
        <f t="shared" si="57"/>
        <v>228.23571022560009</v>
      </c>
      <c r="L74" s="3">
        <f t="shared" si="57"/>
        <v>237.36513863462409</v>
      </c>
      <c r="M74" s="3">
        <f t="shared" si="57"/>
        <v>244.48609279366281</v>
      </c>
      <c r="N74" s="3">
        <f t="shared" si="57"/>
        <v>249.37581464953607</v>
      </c>
      <c r="O74" s="3">
        <f t="shared" si="57"/>
        <v>251.86957279603143</v>
      </c>
      <c r="P74" s="2"/>
      <c r="Q74" s="2"/>
      <c r="R74" s="2"/>
      <c r="S74" s="2"/>
    </row>
    <row r="75" spans="1:22" ht="15" x14ac:dyDescent="0.25">
      <c r="A75" s="2" t="s">
        <v>64</v>
      </c>
      <c r="B75" s="16">
        <v>4</v>
      </c>
      <c r="C75" s="16">
        <v>8</v>
      </c>
      <c r="D75" s="16">
        <v>38</v>
      </c>
      <c r="E75" s="16">
        <v>66</v>
      </c>
      <c r="F75" s="3">
        <f t="shared" ref="F75:O75" si="58">E75*(1+F81)</f>
        <v>82.5</v>
      </c>
      <c r="G75" s="3">
        <f t="shared" si="58"/>
        <v>94.874999999999986</v>
      </c>
      <c r="H75" s="3">
        <f t="shared" si="58"/>
        <v>104.3625</v>
      </c>
      <c r="I75" s="3">
        <f t="shared" si="58"/>
        <v>111.66787500000001</v>
      </c>
      <c r="J75" s="3">
        <f t="shared" si="58"/>
        <v>118.36794750000001</v>
      </c>
      <c r="K75" s="3">
        <f t="shared" si="58"/>
        <v>124.28634487500003</v>
      </c>
      <c r="L75" s="3">
        <f t="shared" si="58"/>
        <v>129.25779867000003</v>
      </c>
      <c r="M75" s="3">
        <f t="shared" si="58"/>
        <v>133.13553263010004</v>
      </c>
      <c r="N75" s="3">
        <f t="shared" si="58"/>
        <v>135.79824328270206</v>
      </c>
      <c r="O75" s="3">
        <f t="shared" si="58"/>
        <v>137.15622571552908</v>
      </c>
      <c r="P75" s="2"/>
      <c r="Q75" s="2"/>
      <c r="R75" s="2"/>
      <c r="S75" s="2"/>
    </row>
    <row r="76" spans="1:22" ht="15" x14ac:dyDescent="0.25">
      <c r="A76" s="2" t="s">
        <v>63</v>
      </c>
      <c r="B76" s="16">
        <v>7</v>
      </c>
      <c r="C76" s="16">
        <v>8</v>
      </c>
      <c r="D76" s="16">
        <v>23</v>
      </c>
      <c r="E76" s="16">
        <v>37</v>
      </c>
      <c r="F76" s="3">
        <f t="shared" ref="F76:O76" si="59">E76*(1+F82)</f>
        <v>46.25</v>
      </c>
      <c r="G76" s="3">
        <f t="shared" si="59"/>
        <v>51.800000000000004</v>
      </c>
      <c r="H76" s="3">
        <f t="shared" si="59"/>
        <v>55.94400000000001</v>
      </c>
      <c r="I76" s="3">
        <f t="shared" si="59"/>
        <v>59.860080000000011</v>
      </c>
      <c r="J76" s="3">
        <f t="shared" si="59"/>
        <v>63.451684800000017</v>
      </c>
      <c r="K76" s="3">
        <f t="shared" si="59"/>
        <v>66.624269040000016</v>
      </c>
      <c r="L76" s="3">
        <f t="shared" si="59"/>
        <v>69.289239801600019</v>
      </c>
      <c r="M76" s="3">
        <f t="shared" si="59"/>
        <v>71.367916995648017</v>
      </c>
      <c r="N76" s="3">
        <f t="shared" si="59"/>
        <v>72.795275335560973</v>
      </c>
      <c r="O76" s="3">
        <f t="shared" si="59"/>
        <v>73.523228088916582</v>
      </c>
      <c r="P76" s="2"/>
      <c r="Q76" s="2"/>
      <c r="R76" s="2"/>
      <c r="S76" s="2"/>
    </row>
    <row r="77" spans="1:22" ht="15" x14ac:dyDescent="0.25">
      <c r="A77" s="5" t="s">
        <v>65</v>
      </c>
      <c r="B77" s="4">
        <f>SUM(B74:B76)</f>
        <v>113</v>
      </c>
      <c r="C77" s="4">
        <f t="shared" ref="C77:O77" si="60">SUM(C74:C76)</f>
        <v>112</v>
      </c>
      <c r="D77" s="4">
        <f t="shared" si="60"/>
        <v>178</v>
      </c>
      <c r="E77" s="4">
        <f t="shared" si="60"/>
        <v>251</v>
      </c>
      <c r="F77" s="4">
        <f t="shared" si="60"/>
        <v>291.55</v>
      </c>
      <c r="G77" s="4">
        <f t="shared" si="60"/>
        <v>324.12700000000001</v>
      </c>
      <c r="H77" s="4">
        <f t="shared" si="60"/>
        <v>351.95466000000005</v>
      </c>
      <c r="I77" s="4">
        <f t="shared" si="60"/>
        <v>376.59148620000008</v>
      </c>
      <c r="J77" s="4">
        <f t="shared" si="60"/>
        <v>399.18697537200006</v>
      </c>
      <c r="K77" s="4">
        <f t="shared" si="60"/>
        <v>419.14632414060014</v>
      </c>
      <c r="L77" s="4">
        <f t="shared" si="60"/>
        <v>435.91217710622414</v>
      </c>
      <c r="M77" s="4">
        <f t="shared" si="60"/>
        <v>448.9895424194109</v>
      </c>
      <c r="N77" s="4">
        <f t="shared" si="60"/>
        <v>457.96933326779913</v>
      </c>
      <c r="O77" s="4">
        <f t="shared" si="60"/>
        <v>462.54902660047713</v>
      </c>
      <c r="P77" s="2"/>
      <c r="Q77" s="2"/>
      <c r="R77" s="2"/>
      <c r="S77" s="2"/>
    </row>
    <row r="78" spans="1:22" ht="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22" ht="15" x14ac:dyDescent="0.25">
      <c r="A79" s="2" t="s">
        <v>10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22" ht="15" x14ac:dyDescent="0.25">
      <c r="A80" s="2" t="str">
        <f>A74</f>
        <v>Depreciation of PP&amp;E</v>
      </c>
      <c r="B80" s="2"/>
      <c r="C80" s="27">
        <f t="shared" ref="C80:D80" si="61">C74/B74-1</f>
        <v>-5.8823529411764719E-2</v>
      </c>
      <c r="D80" s="27">
        <f t="shared" si="61"/>
        <v>0.21875</v>
      </c>
      <c r="E80" s="27">
        <f>E74/D74-1</f>
        <v>0.2649572649572649</v>
      </c>
      <c r="F80" s="28">
        <v>0.1</v>
      </c>
      <c r="G80" s="28">
        <v>0.09</v>
      </c>
      <c r="H80" s="28">
        <v>0.08</v>
      </c>
      <c r="I80" s="28">
        <v>7.0000000000000007E-2</v>
      </c>
      <c r="J80" s="28">
        <v>0.06</v>
      </c>
      <c r="K80" s="28">
        <v>0.05</v>
      </c>
      <c r="L80" s="28">
        <v>0.04</v>
      </c>
      <c r="M80" s="28">
        <v>0.03</v>
      </c>
      <c r="N80" s="28">
        <v>0.02</v>
      </c>
      <c r="O80" s="28">
        <v>0.01</v>
      </c>
      <c r="P80" s="2"/>
      <c r="Q80" s="2"/>
      <c r="R80" s="2"/>
      <c r="S80" s="2"/>
    </row>
    <row r="81" spans="1:22" ht="15" x14ac:dyDescent="0.25">
      <c r="A81" s="2" t="str">
        <f t="shared" ref="A81:A82" si="62">A75</f>
        <v xml:space="preserve">Amortisation of RoU assets </v>
      </c>
      <c r="B81" s="2"/>
      <c r="C81" s="27">
        <f t="shared" ref="C81:E82" si="63">C75/B75-1</f>
        <v>1</v>
      </c>
      <c r="D81" s="27">
        <f t="shared" si="63"/>
        <v>3.75</v>
      </c>
      <c r="E81" s="27">
        <f t="shared" si="63"/>
        <v>0.73684210526315796</v>
      </c>
      <c r="F81" s="28">
        <v>0.25</v>
      </c>
      <c r="G81" s="28">
        <v>0.15</v>
      </c>
      <c r="H81" s="28">
        <v>0.1</v>
      </c>
      <c r="I81" s="28">
        <v>7.0000000000000007E-2</v>
      </c>
      <c r="J81" s="28">
        <v>0.06</v>
      </c>
      <c r="K81" s="28">
        <v>0.05</v>
      </c>
      <c r="L81" s="28">
        <v>0.04</v>
      </c>
      <c r="M81" s="28">
        <v>0.03</v>
      </c>
      <c r="N81" s="28">
        <v>0.02</v>
      </c>
      <c r="O81" s="28">
        <v>0.01</v>
      </c>
      <c r="P81" s="2"/>
      <c r="Q81" s="2"/>
      <c r="R81" s="2"/>
      <c r="S81" s="2"/>
    </row>
    <row r="82" spans="1:22" ht="15" x14ac:dyDescent="0.25">
      <c r="A82" s="2" t="str">
        <f t="shared" si="62"/>
        <v xml:space="preserve">Amortisation of intangible </v>
      </c>
      <c r="B82" s="2"/>
      <c r="C82" s="27">
        <f t="shared" si="63"/>
        <v>0.14285714285714279</v>
      </c>
      <c r="D82" s="27">
        <f t="shared" si="63"/>
        <v>1.875</v>
      </c>
      <c r="E82" s="27">
        <f t="shared" si="63"/>
        <v>0.60869565217391308</v>
      </c>
      <c r="F82" s="28">
        <v>0.25</v>
      </c>
      <c r="G82" s="28">
        <v>0.12</v>
      </c>
      <c r="H82" s="28">
        <v>0.08</v>
      </c>
      <c r="I82" s="28">
        <v>7.0000000000000007E-2</v>
      </c>
      <c r="J82" s="28">
        <v>0.06</v>
      </c>
      <c r="K82" s="28">
        <v>0.05</v>
      </c>
      <c r="L82" s="28">
        <v>0.04</v>
      </c>
      <c r="M82" s="28">
        <v>0.03</v>
      </c>
      <c r="N82" s="28">
        <v>0.02</v>
      </c>
      <c r="O82" s="28">
        <v>0.01</v>
      </c>
      <c r="P82" s="2"/>
      <c r="Q82" s="2"/>
      <c r="R82" s="2"/>
      <c r="S82" s="2"/>
    </row>
    <row r="83" spans="1:22" ht="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22" ht="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22" ht="15" x14ac:dyDescent="0.25">
      <c r="A85" s="22" t="s">
        <v>14</v>
      </c>
      <c r="B85" s="13">
        <v>2020</v>
      </c>
      <c r="C85" s="13">
        <v>2021</v>
      </c>
      <c r="D85" s="13">
        <v>2022</v>
      </c>
      <c r="E85" s="13">
        <v>2023</v>
      </c>
      <c r="F85" s="13" t="s">
        <v>15</v>
      </c>
      <c r="G85" s="13" t="s">
        <v>16</v>
      </c>
      <c r="H85" s="13" t="s">
        <v>17</v>
      </c>
      <c r="I85" s="13" t="s">
        <v>18</v>
      </c>
      <c r="J85" s="13" t="s">
        <v>19</v>
      </c>
      <c r="K85" s="13" t="s">
        <v>20</v>
      </c>
      <c r="L85" s="13" t="s">
        <v>21</v>
      </c>
      <c r="M85" s="13" t="s">
        <v>22</v>
      </c>
      <c r="N85" s="13" t="s">
        <v>23</v>
      </c>
      <c r="O85" s="13" t="s">
        <v>24</v>
      </c>
      <c r="P85" s="2"/>
      <c r="Q85" s="2"/>
      <c r="R85" s="2"/>
      <c r="S85" s="2"/>
      <c r="T85" s="2"/>
      <c r="U85" s="2"/>
      <c r="V85" s="2"/>
    </row>
    <row r="86" spans="1:22" ht="15" x14ac:dyDescent="0.25">
      <c r="A86" s="2" t="s">
        <v>68</v>
      </c>
      <c r="B86" s="29">
        <f>B6/B5</f>
        <v>6.6577498986377853E-2</v>
      </c>
      <c r="C86" s="29">
        <f>C6/C5</f>
        <v>6.8799795825537857E-2</v>
      </c>
      <c r="D86" s="29">
        <f>D6/D5</f>
        <v>1.8827453278792528E-2</v>
      </c>
      <c r="E86" s="29">
        <f>E6/E5</f>
        <v>2.0705868529301338E-2</v>
      </c>
      <c r="F86" s="30">
        <v>0.02</v>
      </c>
      <c r="G86" s="30">
        <v>0.02</v>
      </c>
      <c r="H86" s="30">
        <v>0.02</v>
      </c>
      <c r="I86" s="30">
        <v>0.02</v>
      </c>
      <c r="J86" s="30">
        <v>0.02</v>
      </c>
      <c r="K86" s="30">
        <v>0.02</v>
      </c>
      <c r="L86" s="30">
        <v>0.02</v>
      </c>
      <c r="M86" s="30">
        <v>0.02</v>
      </c>
      <c r="N86" s="30">
        <v>0.02</v>
      </c>
      <c r="O86" s="30">
        <v>0.02</v>
      </c>
      <c r="P86" s="2"/>
      <c r="Q86" s="2"/>
      <c r="R86" s="2"/>
      <c r="S86" s="2"/>
      <c r="T86" s="2"/>
      <c r="U86" s="2"/>
      <c r="V86" s="2"/>
    </row>
    <row r="87" spans="1:22" ht="15" x14ac:dyDescent="0.25">
      <c r="A87" s="2" t="s">
        <v>37</v>
      </c>
      <c r="B87" s="24">
        <f>B16</f>
        <v>-0.17699999999999999</v>
      </c>
      <c r="C87" s="24">
        <f>C16</f>
        <v>-17.960999999999999</v>
      </c>
      <c r="D87" s="24">
        <f>D16</f>
        <v>-3.5219999999999998</v>
      </c>
      <c r="E87" s="24">
        <f>E16</f>
        <v>-2.6459000000000001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2"/>
      <c r="Q87" s="2"/>
      <c r="R87" s="2"/>
      <c r="S87" s="2"/>
    </row>
    <row r="88" spans="1:22" ht="15" x14ac:dyDescent="0.25">
      <c r="A88" s="2" t="s">
        <v>69</v>
      </c>
      <c r="B88" s="29">
        <f>B17/B5</f>
        <v>-9.4742213750774781E-2</v>
      </c>
      <c r="C88" s="29">
        <f>C17/C5</f>
        <v>-4.245882035734648E-2</v>
      </c>
      <c r="D88" s="29">
        <f>D17/D5</f>
        <v>-2.6146958061183181E-2</v>
      </c>
      <c r="E88" s="29">
        <f>E17/E5</f>
        <v>-2.4762123939622877E-2</v>
      </c>
      <c r="F88" s="30">
        <v>-0.02</v>
      </c>
      <c r="G88" s="30">
        <v>-0.02</v>
      </c>
      <c r="H88" s="30">
        <v>-0.02</v>
      </c>
      <c r="I88" s="30">
        <v>-0.02</v>
      </c>
      <c r="J88" s="30">
        <v>-0.02</v>
      </c>
      <c r="K88" s="30">
        <v>-0.02</v>
      </c>
      <c r="L88" s="30">
        <v>-0.02</v>
      </c>
      <c r="M88" s="30">
        <v>-0.02</v>
      </c>
      <c r="N88" s="30">
        <v>-0.02</v>
      </c>
      <c r="O88" s="30">
        <v>-0.02</v>
      </c>
      <c r="P88" s="2"/>
      <c r="Q88" s="2"/>
      <c r="R88" s="2"/>
      <c r="S88" s="2"/>
    </row>
    <row r="89" spans="1:22" ht="15" x14ac:dyDescent="0.25">
      <c r="A89" s="2" t="s">
        <v>40</v>
      </c>
      <c r="B89" s="3">
        <f t="shared" ref="B89:E90" si="64">B19</f>
        <v>-8.9149999999999991</v>
      </c>
      <c r="C89" s="3">
        <f t="shared" si="64"/>
        <v>4.0999999999999996</v>
      </c>
      <c r="D89" s="3">
        <f t="shared" si="64"/>
        <v>3.0169999999999999</v>
      </c>
      <c r="E89" s="3">
        <f t="shared" si="64"/>
        <v>-5.1637529999999998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2"/>
      <c r="Q89" s="2"/>
      <c r="R89" s="2"/>
      <c r="S89" s="2"/>
    </row>
    <row r="90" spans="1:22" ht="15" x14ac:dyDescent="0.25">
      <c r="A90" s="2" t="s">
        <v>53</v>
      </c>
      <c r="B90" s="3">
        <f t="shared" si="64"/>
        <v>3.2000000000000001E-2</v>
      </c>
      <c r="C90" s="3">
        <f t="shared" si="64"/>
        <v>-0.14099999999999999</v>
      </c>
      <c r="D90" s="3">
        <f t="shared" si="64"/>
        <v>2.6659999999999999</v>
      </c>
      <c r="E90" s="3">
        <f t="shared" si="64"/>
        <v>0.61507600000000007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2"/>
      <c r="Q90" s="2"/>
      <c r="R90" s="2"/>
      <c r="S90" s="2"/>
    </row>
    <row r="91" spans="1:22" ht="15" x14ac:dyDescent="0.25">
      <c r="A91" s="2" t="str">
        <f t="shared" ref="A91:E92" si="65">A24</f>
        <v>Non-operating income</v>
      </c>
      <c r="B91" s="3">
        <f t="shared" si="65"/>
        <v>0</v>
      </c>
      <c r="C91" s="3">
        <f t="shared" si="65"/>
        <v>0</v>
      </c>
      <c r="D91" s="3">
        <f t="shared" si="65"/>
        <v>1.823</v>
      </c>
      <c r="E91" s="3">
        <f t="shared" si="65"/>
        <v>6.4983940000000002</v>
      </c>
      <c r="F91" s="11">
        <f>E91</f>
        <v>6.4983940000000002</v>
      </c>
      <c r="G91" s="11">
        <f t="shared" ref="G91:O91" si="66">F91</f>
        <v>6.4983940000000002</v>
      </c>
      <c r="H91" s="11">
        <f t="shared" si="66"/>
        <v>6.4983940000000002</v>
      </c>
      <c r="I91" s="11">
        <f t="shared" si="66"/>
        <v>6.4983940000000002</v>
      </c>
      <c r="J91" s="11">
        <f t="shared" si="66"/>
        <v>6.4983940000000002</v>
      </c>
      <c r="K91" s="11">
        <f t="shared" si="66"/>
        <v>6.4983940000000002</v>
      </c>
      <c r="L91" s="11">
        <f t="shared" si="66"/>
        <v>6.4983940000000002</v>
      </c>
      <c r="M91" s="11">
        <f t="shared" si="66"/>
        <v>6.4983940000000002</v>
      </c>
      <c r="N91" s="11">
        <f t="shared" si="66"/>
        <v>6.4983940000000002</v>
      </c>
      <c r="O91" s="11">
        <f t="shared" si="66"/>
        <v>6.4983940000000002</v>
      </c>
      <c r="P91" s="2"/>
      <c r="Q91" s="2"/>
      <c r="R91" s="2"/>
      <c r="S91" s="2"/>
    </row>
    <row r="92" spans="1:22" ht="15" x14ac:dyDescent="0.25">
      <c r="A92" s="2" t="str">
        <f t="shared" si="65"/>
        <v>Non-operating expenses</v>
      </c>
      <c r="B92" s="3">
        <f t="shared" si="65"/>
        <v>-32.209000000000003</v>
      </c>
      <c r="C92" s="3">
        <f t="shared" si="65"/>
        <v>-15.6</v>
      </c>
      <c r="D92" s="3">
        <f t="shared" si="65"/>
        <v>-6.3090000000000002</v>
      </c>
      <c r="E92" s="3">
        <f t="shared" si="65"/>
        <v>-16.746316</v>
      </c>
      <c r="F92" s="11">
        <f>E92</f>
        <v>-16.746316</v>
      </c>
      <c r="G92" s="11">
        <f t="shared" ref="G92:O92" si="67">F92</f>
        <v>-16.746316</v>
      </c>
      <c r="H92" s="11">
        <f t="shared" si="67"/>
        <v>-16.746316</v>
      </c>
      <c r="I92" s="11">
        <f t="shared" si="67"/>
        <v>-16.746316</v>
      </c>
      <c r="J92" s="11">
        <f t="shared" si="67"/>
        <v>-16.746316</v>
      </c>
      <c r="K92" s="11">
        <f t="shared" si="67"/>
        <v>-16.746316</v>
      </c>
      <c r="L92" s="11">
        <f t="shared" si="67"/>
        <v>-16.746316</v>
      </c>
      <c r="M92" s="11">
        <f t="shared" si="67"/>
        <v>-16.746316</v>
      </c>
      <c r="N92" s="11">
        <f t="shared" si="67"/>
        <v>-16.746316</v>
      </c>
      <c r="O92" s="11">
        <f t="shared" si="67"/>
        <v>-16.746316</v>
      </c>
      <c r="P92" s="2"/>
      <c r="Q92" s="2"/>
      <c r="R92" s="2"/>
      <c r="S92" s="2"/>
    </row>
    <row r="93" spans="1:22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22" ht="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22" ht="15" x14ac:dyDescent="0.25">
      <c r="A95" s="22" t="s">
        <v>157</v>
      </c>
      <c r="B95" s="13">
        <v>2020</v>
      </c>
      <c r="C95" s="13">
        <v>2021</v>
      </c>
      <c r="D95" s="13">
        <v>2022</v>
      </c>
      <c r="E95" s="13">
        <v>2023</v>
      </c>
      <c r="F95" s="13" t="s">
        <v>15</v>
      </c>
      <c r="G95" s="13" t="s">
        <v>16</v>
      </c>
      <c r="H95" s="13" t="s">
        <v>17</v>
      </c>
      <c r="I95" s="13" t="s">
        <v>18</v>
      </c>
      <c r="J95" s="13" t="s">
        <v>19</v>
      </c>
      <c r="K95" s="13" t="s">
        <v>20</v>
      </c>
      <c r="L95" s="13" t="s">
        <v>21</v>
      </c>
      <c r="M95" s="13" t="s">
        <v>22</v>
      </c>
      <c r="N95" s="13" t="s">
        <v>23</v>
      </c>
      <c r="O95" s="13" t="s">
        <v>24</v>
      </c>
      <c r="P95" s="2"/>
      <c r="Q95" s="2"/>
    </row>
    <row r="96" spans="1:22" ht="15" x14ac:dyDescent="0.25">
      <c r="A96" s="2" t="s">
        <v>43</v>
      </c>
      <c r="B96" s="3">
        <f>B22</f>
        <v>20.138999999999999</v>
      </c>
      <c r="C96" s="3">
        <f>C22</f>
        <v>24.907</v>
      </c>
      <c r="D96" s="3">
        <f>D22</f>
        <v>47.843000000000004</v>
      </c>
      <c r="E96" s="3">
        <f>E22</f>
        <v>52.060082999999999</v>
      </c>
      <c r="F96" s="3">
        <f>SUM(F97:F100)</f>
        <v>51.654202999999995</v>
      </c>
      <c r="G96" s="3">
        <f t="shared" ref="G96:O96" si="68">SUM(G97:G100)</f>
        <v>50.393673679892707</v>
      </c>
      <c r="H96" s="3">
        <f t="shared" si="68"/>
        <v>49.932760180770501</v>
      </c>
      <c r="I96" s="3">
        <f t="shared" si="68"/>
        <v>50.40727391379987</v>
      </c>
      <c r="J96" s="3">
        <f t="shared" si="68"/>
        <v>51.473847103421463</v>
      </c>
      <c r="K96" s="3">
        <f t="shared" si="68"/>
        <v>53.227766183624333</v>
      </c>
      <c r="L96" s="3">
        <f t="shared" si="68"/>
        <v>55.682650115641806</v>
      </c>
      <c r="M96" s="3">
        <f t="shared" si="68"/>
        <v>58.770321845717262</v>
      </c>
      <c r="N96" s="3">
        <f t="shared" si="68"/>
        <v>62.469890734283616</v>
      </c>
      <c r="O96" s="3">
        <f t="shared" si="68"/>
        <v>66.125110802568756</v>
      </c>
      <c r="P96" s="2"/>
      <c r="Q96" s="2"/>
    </row>
    <row r="97" spans="1:17" ht="15" x14ac:dyDescent="0.25">
      <c r="A97" s="56" t="s">
        <v>202</v>
      </c>
      <c r="B97" s="16">
        <v>3.234</v>
      </c>
      <c r="C97" s="16">
        <v>2.7069999999999999</v>
      </c>
      <c r="D97" s="16">
        <v>2.1520000000000001</v>
      </c>
      <c r="E97" s="16">
        <v>4.7830000000000004</v>
      </c>
      <c r="F97" s="3">
        <f>F103*E102</f>
        <v>3.8393699999999997</v>
      </c>
      <c r="G97" s="3">
        <f t="shared" ref="G97:O97" si="69">G103*F102</f>
        <v>2.5788406798927097</v>
      </c>
      <c r="H97" s="3">
        <f t="shared" si="69"/>
        <v>2.1179271807705002</v>
      </c>
      <c r="I97" s="3">
        <f t="shared" si="69"/>
        <v>2.592440913799869</v>
      </c>
      <c r="J97" s="3">
        <f t="shared" si="69"/>
        <v>3.6590141034214603</v>
      </c>
      <c r="K97" s="3">
        <f t="shared" si="69"/>
        <v>5.4129331836243342</v>
      </c>
      <c r="L97" s="3">
        <f t="shared" si="69"/>
        <v>7.8678171156418086</v>
      </c>
      <c r="M97" s="3">
        <f t="shared" si="69"/>
        <v>10.955488845717264</v>
      </c>
      <c r="N97" s="3">
        <f t="shared" si="69"/>
        <v>14.655057734283616</v>
      </c>
      <c r="O97" s="3">
        <f t="shared" si="69"/>
        <v>18.310277802568759</v>
      </c>
      <c r="P97" s="2"/>
      <c r="Q97" s="2"/>
    </row>
    <row r="98" spans="1:17" ht="15" x14ac:dyDescent="0.25">
      <c r="A98" s="56" t="s">
        <v>203</v>
      </c>
      <c r="B98" s="16">
        <v>0</v>
      </c>
      <c r="C98" s="16">
        <v>0</v>
      </c>
      <c r="D98" s="16">
        <v>5.5880000000000001</v>
      </c>
      <c r="E98" s="16">
        <v>7.5890000000000004</v>
      </c>
      <c r="F98" s="3">
        <f>F105*AVERAGE(E104:F104)</f>
        <v>8.1267499999999995</v>
      </c>
      <c r="G98" s="3">
        <f t="shared" ref="G98:O98" si="70">G105*AVERAGE(F104:G104)</f>
        <v>8.1267499999999995</v>
      </c>
      <c r="H98" s="3">
        <f t="shared" si="70"/>
        <v>8.1267499999999995</v>
      </c>
      <c r="I98" s="3">
        <f t="shared" si="70"/>
        <v>8.1267499999999995</v>
      </c>
      <c r="J98" s="3">
        <f t="shared" si="70"/>
        <v>8.1267499999999995</v>
      </c>
      <c r="K98" s="3">
        <f t="shared" si="70"/>
        <v>8.1267499999999995</v>
      </c>
      <c r="L98" s="3">
        <f t="shared" si="70"/>
        <v>8.1267499999999995</v>
      </c>
      <c r="M98" s="3">
        <f t="shared" si="70"/>
        <v>8.1267499999999995</v>
      </c>
      <c r="N98" s="3">
        <f t="shared" si="70"/>
        <v>8.1267499999999995</v>
      </c>
      <c r="O98" s="3">
        <f t="shared" si="70"/>
        <v>8.1267499999999995</v>
      </c>
      <c r="P98" s="2"/>
      <c r="Q98" s="2"/>
    </row>
    <row r="99" spans="1:17" ht="15" x14ac:dyDescent="0.25">
      <c r="A99" s="56" t="s">
        <v>204</v>
      </c>
      <c r="B99" s="16">
        <v>10.183</v>
      </c>
      <c r="C99" s="16">
        <v>14.993</v>
      </c>
      <c r="D99" s="16">
        <v>24.355</v>
      </c>
      <c r="E99" s="16">
        <v>29.234000000000002</v>
      </c>
      <c r="F99" s="11">
        <f>E99</f>
        <v>29.234000000000002</v>
      </c>
      <c r="G99" s="11">
        <f t="shared" ref="G99:O100" si="71">F99</f>
        <v>29.234000000000002</v>
      </c>
      <c r="H99" s="11">
        <f t="shared" si="71"/>
        <v>29.234000000000002</v>
      </c>
      <c r="I99" s="11">
        <f t="shared" si="71"/>
        <v>29.234000000000002</v>
      </c>
      <c r="J99" s="11">
        <f t="shared" si="71"/>
        <v>29.234000000000002</v>
      </c>
      <c r="K99" s="11">
        <f t="shared" si="71"/>
        <v>29.234000000000002</v>
      </c>
      <c r="L99" s="11">
        <f t="shared" si="71"/>
        <v>29.234000000000002</v>
      </c>
      <c r="M99" s="11">
        <f t="shared" si="71"/>
        <v>29.234000000000002</v>
      </c>
      <c r="N99" s="11">
        <f t="shared" si="71"/>
        <v>29.234000000000002</v>
      </c>
      <c r="O99" s="11">
        <f t="shared" si="71"/>
        <v>29.234000000000002</v>
      </c>
      <c r="P99" s="2"/>
      <c r="Q99" s="2"/>
    </row>
    <row r="100" spans="1:17" ht="15" x14ac:dyDescent="0.25">
      <c r="A100" s="56" t="s">
        <v>14</v>
      </c>
      <c r="B100" s="3">
        <f>B96-B97-B98-B99</f>
        <v>6.7220000000000013</v>
      </c>
      <c r="C100" s="3">
        <f t="shared" ref="C100:E100" si="72">C96-C97-C98-C99</f>
        <v>7.206999999999999</v>
      </c>
      <c r="D100" s="3">
        <f t="shared" si="72"/>
        <v>15.748000000000001</v>
      </c>
      <c r="E100" s="3">
        <f t="shared" si="72"/>
        <v>10.454082999999997</v>
      </c>
      <c r="F100" s="11">
        <f>E100</f>
        <v>10.454082999999997</v>
      </c>
      <c r="G100" s="11">
        <f t="shared" si="71"/>
        <v>10.454082999999997</v>
      </c>
      <c r="H100" s="11">
        <f t="shared" si="71"/>
        <v>10.454082999999997</v>
      </c>
      <c r="I100" s="11">
        <f t="shared" si="71"/>
        <v>10.454082999999997</v>
      </c>
      <c r="J100" s="11">
        <f t="shared" si="71"/>
        <v>10.454082999999997</v>
      </c>
      <c r="K100" s="11">
        <f t="shared" si="71"/>
        <v>10.454082999999997</v>
      </c>
      <c r="L100" s="11">
        <f t="shared" si="71"/>
        <v>10.454082999999997</v>
      </c>
      <c r="M100" s="11">
        <f t="shared" si="71"/>
        <v>10.454082999999997</v>
      </c>
      <c r="N100" s="11">
        <f t="shared" si="71"/>
        <v>10.454082999999997</v>
      </c>
      <c r="O100" s="11">
        <f t="shared" si="71"/>
        <v>10.454082999999997</v>
      </c>
      <c r="P100" s="2"/>
      <c r="Q100" s="2"/>
    </row>
    <row r="101" spans="1:17" ht="15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2"/>
    </row>
    <row r="102" spans="1:17" ht="15" x14ac:dyDescent="0.25">
      <c r="A102" s="2" t="s">
        <v>158</v>
      </c>
      <c r="B102" s="3">
        <f>'BS and debt'!B57</f>
        <v>62.007999999999996</v>
      </c>
      <c r="C102" s="3">
        <f>'BS and debt'!C57</f>
        <v>111.952</v>
      </c>
      <c r="D102" s="3">
        <f>'BS and debt'!D57</f>
        <v>199.27199999999999</v>
      </c>
      <c r="E102" s="3">
        <f>'BS and debt'!E57</f>
        <v>127.979</v>
      </c>
      <c r="F102" s="3">
        <f>'BS and debt'!F57</f>
        <v>85.961355996423663</v>
      </c>
      <c r="G102" s="3">
        <f>'BS and debt'!G57</f>
        <v>70.597572692350013</v>
      </c>
      <c r="H102" s="3">
        <f>'BS and debt'!H57</f>
        <v>86.414697126662304</v>
      </c>
      <c r="I102" s="3">
        <f>'BS and debt'!I57</f>
        <v>121.96713678071535</v>
      </c>
      <c r="J102" s="3">
        <f>'BS and debt'!J57</f>
        <v>180.43110612081114</v>
      </c>
      <c r="K102" s="3">
        <f>'BS and debt'!K57</f>
        <v>262.26057052139362</v>
      </c>
      <c r="L102" s="3">
        <f>'BS and debt'!L57</f>
        <v>365.18296152390883</v>
      </c>
      <c r="M102" s="3">
        <f>'BS and debt'!M57</f>
        <v>488.50192447612056</v>
      </c>
      <c r="N102" s="3">
        <f>'BS and debt'!N57</f>
        <v>610.3425934189587</v>
      </c>
      <c r="O102" s="3">
        <f>'BS and debt'!O57</f>
        <v>727.2150102168473</v>
      </c>
      <c r="P102" s="2"/>
      <c r="Q102" s="2"/>
    </row>
    <row r="103" spans="1:17" ht="15" x14ac:dyDescent="0.25">
      <c r="A103" s="2" t="s">
        <v>159</v>
      </c>
      <c r="B103" s="2"/>
      <c r="C103" s="7">
        <f t="shared" ref="C103:D103" si="73">C97/AVERAGE(B102:C102)</f>
        <v>3.1122097033800877E-2</v>
      </c>
      <c r="D103" s="7">
        <f t="shared" si="73"/>
        <v>1.3829267665732722E-2</v>
      </c>
      <c r="E103" s="7">
        <f>E97/AVERAGE(D102:E102)</f>
        <v>2.9231385083620835E-2</v>
      </c>
      <c r="F103" s="10">
        <v>0.03</v>
      </c>
      <c r="G103" s="10">
        <v>0.03</v>
      </c>
      <c r="H103" s="10">
        <v>0.03</v>
      </c>
      <c r="I103" s="10">
        <v>0.03</v>
      </c>
      <c r="J103" s="10">
        <v>0.03</v>
      </c>
      <c r="K103" s="10">
        <v>0.03</v>
      </c>
      <c r="L103" s="10">
        <v>0.03</v>
      </c>
      <c r="M103" s="10">
        <v>0.03</v>
      </c>
      <c r="N103" s="10">
        <v>0.03</v>
      </c>
      <c r="O103" s="10">
        <v>0.03</v>
      </c>
      <c r="P103" s="2"/>
      <c r="Q103" s="2"/>
    </row>
    <row r="104" spans="1:17" ht="15" x14ac:dyDescent="0.25">
      <c r="A104" s="2" t="s">
        <v>174</v>
      </c>
      <c r="B104" s="3">
        <f>'BS and debt'!B14</f>
        <v>23.54</v>
      </c>
      <c r="C104" s="3">
        <f>'BS and debt'!C14</f>
        <v>82.198999999999998</v>
      </c>
      <c r="D104" s="3">
        <f>'BS and debt'!D14</f>
        <v>277.34399999999999</v>
      </c>
      <c r="E104" s="3">
        <f>'BS and debt'!E14</f>
        <v>325.07</v>
      </c>
      <c r="F104" s="3">
        <f>'BS and debt'!F14</f>
        <v>325.07</v>
      </c>
      <c r="G104" s="3">
        <f>'BS and debt'!G14</f>
        <v>325.07</v>
      </c>
      <c r="H104" s="3">
        <f>'BS and debt'!H14</f>
        <v>325.07</v>
      </c>
      <c r="I104" s="3">
        <f>'BS and debt'!I14</f>
        <v>325.07</v>
      </c>
      <c r="J104" s="3">
        <f>'BS and debt'!J14</f>
        <v>325.07</v>
      </c>
      <c r="K104" s="3">
        <f>'BS and debt'!K14</f>
        <v>325.07</v>
      </c>
      <c r="L104" s="3">
        <f>'BS and debt'!L14</f>
        <v>325.07</v>
      </c>
      <c r="M104" s="3">
        <f>'BS and debt'!M14</f>
        <v>325.07</v>
      </c>
      <c r="N104" s="3">
        <f>'BS and debt'!N14</f>
        <v>325.07</v>
      </c>
      <c r="O104" s="3">
        <f>'BS and debt'!O14</f>
        <v>325.07</v>
      </c>
      <c r="P104" s="2"/>
      <c r="Q104" s="2"/>
    </row>
    <row r="105" spans="1:17" ht="15" x14ac:dyDescent="0.25">
      <c r="A105" s="2" t="s">
        <v>159</v>
      </c>
      <c r="B105" s="2"/>
      <c r="C105" s="7">
        <f>C98/AVERAGE(B104:C104)</f>
        <v>0</v>
      </c>
      <c r="D105" s="7">
        <f>D98/AVERAGE(C104:D104)</f>
        <v>3.108390373335039E-2</v>
      </c>
      <c r="E105" s="7">
        <f>E98/AVERAGE(D104:E104)</f>
        <v>2.5195297586045478E-2</v>
      </c>
      <c r="F105" s="10">
        <v>2.5000000000000001E-2</v>
      </c>
      <c r="G105" s="10">
        <v>2.5000000000000001E-2</v>
      </c>
      <c r="H105" s="10">
        <v>2.5000000000000001E-2</v>
      </c>
      <c r="I105" s="10">
        <v>2.5000000000000001E-2</v>
      </c>
      <c r="J105" s="10">
        <v>2.5000000000000001E-2</v>
      </c>
      <c r="K105" s="10">
        <v>2.5000000000000001E-2</v>
      </c>
      <c r="L105" s="10">
        <v>2.5000000000000001E-2</v>
      </c>
      <c r="M105" s="10">
        <v>2.5000000000000001E-2</v>
      </c>
      <c r="N105" s="10">
        <v>2.5000000000000001E-2</v>
      </c>
      <c r="O105" s="10">
        <v>2.5000000000000001E-2</v>
      </c>
      <c r="P105" s="2"/>
      <c r="Q105" s="2"/>
    </row>
    <row r="106" spans="1:17" ht="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5" x14ac:dyDescent="0.25">
      <c r="A108" s="2" t="s">
        <v>44</v>
      </c>
      <c r="B108" s="3">
        <f>-B23</f>
        <v>59.664999999999999</v>
      </c>
      <c r="C108" s="3">
        <f>-C23</f>
        <v>57.582000000000001</v>
      </c>
      <c r="D108" s="3">
        <f>-D23</f>
        <v>145.47999999999999</v>
      </c>
      <c r="E108" s="3">
        <f>-E23</f>
        <v>208.32627299999999</v>
      </c>
      <c r="F108" s="3">
        <f>SUM(F109:F113)</f>
        <v>224.30755800000003</v>
      </c>
      <c r="G108" s="3">
        <f t="shared" ref="G108:O108" si="74">SUM(G109:G113)</f>
        <v>224.30755800000003</v>
      </c>
      <c r="H108" s="3">
        <f t="shared" si="74"/>
        <v>224.30755800000003</v>
      </c>
      <c r="I108" s="3">
        <f t="shared" si="74"/>
        <v>224.30755800000003</v>
      </c>
      <c r="J108" s="3">
        <f t="shared" si="74"/>
        <v>224.30755800000003</v>
      </c>
      <c r="K108" s="3">
        <f t="shared" si="74"/>
        <v>224.30755800000003</v>
      </c>
      <c r="L108" s="3">
        <f t="shared" si="74"/>
        <v>224.30755800000003</v>
      </c>
      <c r="M108" s="3">
        <f t="shared" si="74"/>
        <v>224.30755800000003</v>
      </c>
      <c r="N108" s="3">
        <f t="shared" si="74"/>
        <v>224.30755800000003</v>
      </c>
      <c r="O108" s="3">
        <f t="shared" si="74"/>
        <v>224.30755800000003</v>
      </c>
      <c r="P108" s="2"/>
      <c r="Q108" s="2"/>
    </row>
    <row r="109" spans="1:17" ht="15" x14ac:dyDescent="0.25">
      <c r="A109" s="56" t="s">
        <v>160</v>
      </c>
      <c r="B109" s="55">
        <v>17.382999999999999</v>
      </c>
      <c r="C109" s="55">
        <v>17.498999999999999</v>
      </c>
      <c r="D109" s="55">
        <v>14.051</v>
      </c>
      <c r="E109" s="55">
        <v>13.808999999999999</v>
      </c>
      <c r="F109" s="3">
        <f>F116*E115</f>
        <v>16.3125</v>
      </c>
      <c r="G109" s="3">
        <f t="shared" ref="G109:O109" si="75">G116*F115</f>
        <v>16.3125</v>
      </c>
      <c r="H109" s="3">
        <f t="shared" si="75"/>
        <v>16.3125</v>
      </c>
      <c r="I109" s="3">
        <f t="shared" si="75"/>
        <v>16.3125</v>
      </c>
      <c r="J109" s="3">
        <f t="shared" si="75"/>
        <v>16.3125</v>
      </c>
      <c r="K109" s="3">
        <f t="shared" si="75"/>
        <v>16.3125</v>
      </c>
      <c r="L109" s="3">
        <f t="shared" si="75"/>
        <v>16.3125</v>
      </c>
      <c r="M109" s="3">
        <f t="shared" si="75"/>
        <v>16.3125</v>
      </c>
      <c r="N109" s="3">
        <f t="shared" si="75"/>
        <v>16.3125</v>
      </c>
      <c r="O109" s="3">
        <f t="shared" si="75"/>
        <v>16.3125</v>
      </c>
      <c r="P109" s="2"/>
      <c r="Q109" s="2"/>
    </row>
    <row r="110" spans="1:17" ht="15" x14ac:dyDescent="0.25">
      <c r="A110" s="56" t="s">
        <v>161</v>
      </c>
      <c r="B110" s="55">
        <v>0</v>
      </c>
      <c r="C110" s="55">
        <v>0</v>
      </c>
      <c r="D110" s="55">
        <v>28.2</v>
      </c>
      <c r="E110" s="55">
        <v>32.438000000000002</v>
      </c>
      <c r="F110" s="3">
        <f>F118*E117</f>
        <v>31.95</v>
      </c>
      <c r="G110" s="3">
        <f t="shared" ref="G110:O110" si="76">G118*F117</f>
        <v>31.95</v>
      </c>
      <c r="H110" s="3">
        <f t="shared" si="76"/>
        <v>31.95</v>
      </c>
      <c r="I110" s="3">
        <f t="shared" si="76"/>
        <v>31.95</v>
      </c>
      <c r="J110" s="3">
        <f t="shared" si="76"/>
        <v>31.95</v>
      </c>
      <c r="K110" s="3">
        <f t="shared" si="76"/>
        <v>31.95</v>
      </c>
      <c r="L110" s="3">
        <f t="shared" si="76"/>
        <v>31.95</v>
      </c>
      <c r="M110" s="3">
        <f t="shared" si="76"/>
        <v>31.95</v>
      </c>
      <c r="N110" s="3">
        <f t="shared" si="76"/>
        <v>31.95</v>
      </c>
      <c r="O110" s="3">
        <f t="shared" si="76"/>
        <v>31.95</v>
      </c>
      <c r="P110" s="2"/>
      <c r="Q110" s="2"/>
    </row>
    <row r="111" spans="1:17" ht="15" x14ac:dyDescent="0.25">
      <c r="A111" s="56" t="s">
        <v>162</v>
      </c>
      <c r="B111" s="55">
        <v>3.0840000000000001</v>
      </c>
      <c r="C111" s="55">
        <v>3.5259999999999998</v>
      </c>
      <c r="D111" s="55">
        <v>41.088999999999999</v>
      </c>
      <c r="E111" s="55">
        <v>63.07</v>
      </c>
      <c r="F111" s="3">
        <f>F120*E119</f>
        <v>77.035785000000004</v>
      </c>
      <c r="G111" s="3">
        <f t="shared" ref="G111:O111" si="77">G120*F119</f>
        <v>77.035785000000004</v>
      </c>
      <c r="H111" s="3">
        <f t="shared" si="77"/>
        <v>77.035785000000004</v>
      </c>
      <c r="I111" s="3">
        <f t="shared" si="77"/>
        <v>77.035785000000004</v>
      </c>
      <c r="J111" s="3">
        <f t="shared" si="77"/>
        <v>77.035785000000004</v>
      </c>
      <c r="K111" s="3">
        <f t="shared" si="77"/>
        <v>77.035785000000004</v>
      </c>
      <c r="L111" s="3">
        <f t="shared" si="77"/>
        <v>77.035785000000004</v>
      </c>
      <c r="M111" s="3">
        <f t="shared" si="77"/>
        <v>77.035785000000004</v>
      </c>
      <c r="N111" s="3">
        <f t="shared" si="77"/>
        <v>77.035785000000004</v>
      </c>
      <c r="O111" s="3">
        <f t="shared" si="77"/>
        <v>77.035785000000004</v>
      </c>
      <c r="P111" s="2"/>
      <c r="Q111" s="2"/>
    </row>
    <row r="112" spans="1:17" ht="15" x14ac:dyDescent="0.25">
      <c r="A112" s="56" t="s">
        <v>163</v>
      </c>
      <c r="B112" s="55">
        <v>21.012</v>
      </c>
      <c r="C112" s="55">
        <v>24.689</v>
      </c>
      <c r="D112" s="55">
        <v>45.286000000000001</v>
      </c>
      <c r="E112" s="55">
        <v>77.284000000000006</v>
      </c>
      <c r="F112" s="11">
        <f>E112</f>
        <v>77.284000000000006</v>
      </c>
      <c r="G112" s="11">
        <f t="shared" ref="G112:O112" si="78">F112</f>
        <v>77.284000000000006</v>
      </c>
      <c r="H112" s="11">
        <f t="shared" si="78"/>
        <v>77.284000000000006</v>
      </c>
      <c r="I112" s="11">
        <f t="shared" si="78"/>
        <v>77.284000000000006</v>
      </c>
      <c r="J112" s="11">
        <f t="shared" si="78"/>
        <v>77.284000000000006</v>
      </c>
      <c r="K112" s="11">
        <f t="shared" si="78"/>
        <v>77.284000000000006</v>
      </c>
      <c r="L112" s="11">
        <f t="shared" si="78"/>
        <v>77.284000000000006</v>
      </c>
      <c r="M112" s="11">
        <f t="shared" si="78"/>
        <v>77.284000000000006</v>
      </c>
      <c r="N112" s="11">
        <f t="shared" si="78"/>
        <v>77.284000000000006</v>
      </c>
      <c r="O112" s="11">
        <f t="shared" si="78"/>
        <v>77.284000000000006</v>
      </c>
      <c r="P112" s="2"/>
      <c r="Q112" s="2"/>
    </row>
    <row r="113" spans="1:17" ht="15" x14ac:dyDescent="0.25">
      <c r="A113" s="56" t="s">
        <v>14</v>
      </c>
      <c r="B113" s="3">
        <f>B108-B109-B110-B111-B112</f>
        <v>18.185999999999993</v>
      </c>
      <c r="C113" s="3">
        <f>C108-C109-C110-C111-C112</f>
        <v>11.868000000000002</v>
      </c>
      <c r="D113" s="3">
        <f>D108-D109-D110-D111-D112</f>
        <v>16.853999999999999</v>
      </c>
      <c r="E113" s="3">
        <f>E108-E109-E110-E111-E112</f>
        <v>21.725273000000001</v>
      </c>
      <c r="F113" s="11">
        <f>E113</f>
        <v>21.725273000000001</v>
      </c>
      <c r="G113" s="11">
        <f t="shared" ref="G113:O113" si="79">F113</f>
        <v>21.725273000000001</v>
      </c>
      <c r="H113" s="11">
        <f t="shared" si="79"/>
        <v>21.725273000000001</v>
      </c>
      <c r="I113" s="11">
        <f t="shared" si="79"/>
        <v>21.725273000000001</v>
      </c>
      <c r="J113" s="11">
        <f t="shared" si="79"/>
        <v>21.725273000000001</v>
      </c>
      <c r="K113" s="11">
        <f t="shared" si="79"/>
        <v>21.725273000000001</v>
      </c>
      <c r="L113" s="11">
        <f t="shared" si="79"/>
        <v>21.725273000000001</v>
      </c>
      <c r="M113" s="11">
        <f t="shared" si="79"/>
        <v>21.725273000000001</v>
      </c>
      <c r="N113" s="11">
        <f t="shared" si="79"/>
        <v>21.725273000000001</v>
      </c>
      <c r="O113" s="11">
        <f t="shared" si="79"/>
        <v>21.725273000000001</v>
      </c>
      <c r="P113" s="2"/>
      <c r="Q113" s="2"/>
    </row>
    <row r="114" spans="1:17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5" x14ac:dyDescent="0.25">
      <c r="A115" s="2" t="s">
        <v>164</v>
      </c>
      <c r="B115" s="3">
        <f>'BS and debt'!B41+'BS and debt'!B45</f>
        <v>291.25700000000001</v>
      </c>
      <c r="C115" s="3">
        <f>'BS and debt'!C41+'BS and debt'!C45</f>
        <v>346.47699999999998</v>
      </c>
      <c r="D115" s="3">
        <f>'BS and debt'!D41+'BS and debt'!D45</f>
        <v>306</v>
      </c>
      <c r="E115" s="3">
        <f>'BS and debt'!E41+'BS and debt'!E45</f>
        <v>435</v>
      </c>
      <c r="F115" s="3">
        <f>'BS and debt'!F41+'BS and debt'!F45</f>
        <v>435</v>
      </c>
      <c r="G115" s="3">
        <f>'BS and debt'!G41+'BS and debt'!G45</f>
        <v>435</v>
      </c>
      <c r="H115" s="3">
        <f>'BS and debt'!H41+'BS and debt'!H45</f>
        <v>435</v>
      </c>
      <c r="I115" s="3">
        <f>'BS and debt'!I41+'BS and debt'!I45</f>
        <v>435</v>
      </c>
      <c r="J115" s="3">
        <f>'BS and debt'!J41+'BS and debt'!J45</f>
        <v>435</v>
      </c>
      <c r="K115" s="3">
        <f>'BS and debt'!K41+'BS and debt'!K45</f>
        <v>435</v>
      </c>
      <c r="L115" s="3">
        <f>'BS and debt'!L41+'BS and debt'!L45</f>
        <v>435</v>
      </c>
      <c r="M115" s="3">
        <f>'BS and debt'!M41+'BS and debt'!M45</f>
        <v>435</v>
      </c>
      <c r="N115" s="3">
        <f>'BS and debt'!N41+'BS and debt'!N45</f>
        <v>435</v>
      </c>
      <c r="O115" s="3">
        <f>'BS and debt'!O41+'BS and debt'!O45</f>
        <v>435</v>
      </c>
      <c r="P115" s="2"/>
      <c r="Q115" s="2"/>
    </row>
    <row r="116" spans="1:17" ht="15" x14ac:dyDescent="0.25">
      <c r="A116" s="2" t="s">
        <v>159</v>
      </c>
      <c r="B116" s="7"/>
      <c r="C116" s="7">
        <f t="shared" ref="C116:D116" si="80">C109/AVERAGE(B115:C115)</f>
        <v>5.487867982575808E-2</v>
      </c>
      <c r="D116" s="7">
        <f t="shared" si="80"/>
        <v>4.3069717400000311E-2</v>
      </c>
      <c r="E116" s="7">
        <f>E109/AVERAGE(D115:E115)</f>
        <v>3.7271255060728745E-2</v>
      </c>
      <c r="F116" s="10">
        <v>3.7499999999999999E-2</v>
      </c>
      <c r="G116" s="10">
        <v>3.7499999999999999E-2</v>
      </c>
      <c r="H116" s="10">
        <v>3.7499999999999999E-2</v>
      </c>
      <c r="I116" s="10">
        <v>3.7499999999999999E-2</v>
      </c>
      <c r="J116" s="10">
        <v>3.7499999999999999E-2</v>
      </c>
      <c r="K116" s="10">
        <v>3.7499999999999999E-2</v>
      </c>
      <c r="L116" s="10">
        <v>3.7499999999999999E-2</v>
      </c>
      <c r="M116" s="10">
        <v>3.7499999999999999E-2</v>
      </c>
      <c r="N116" s="10">
        <v>3.7499999999999999E-2</v>
      </c>
      <c r="O116" s="10">
        <v>3.7499999999999999E-2</v>
      </c>
      <c r="P116" s="2"/>
      <c r="Q116" s="2"/>
    </row>
    <row r="117" spans="1:17" ht="15" x14ac:dyDescent="0.25">
      <c r="A117" s="2" t="s">
        <v>165</v>
      </c>
      <c r="B117" s="3">
        <f>'BS and debt'!B42+'BS and debt'!B46</f>
        <v>0</v>
      </c>
      <c r="C117" s="3">
        <f>'BS and debt'!C42+'BS and debt'!C46</f>
        <v>0</v>
      </c>
      <c r="D117" s="3">
        <f>'BS and debt'!D42+'BS and debt'!D46</f>
        <v>425</v>
      </c>
      <c r="E117" s="3">
        <f>'BS and debt'!E42+'BS and debt'!E46</f>
        <v>426</v>
      </c>
      <c r="F117" s="3">
        <f>'BS and debt'!F42+'BS and debt'!F46</f>
        <v>426</v>
      </c>
      <c r="G117" s="3">
        <f>'BS and debt'!G42+'BS and debt'!G46</f>
        <v>426</v>
      </c>
      <c r="H117" s="3">
        <f>'BS and debt'!H42+'BS and debt'!H46</f>
        <v>426</v>
      </c>
      <c r="I117" s="3">
        <f>'BS and debt'!I42+'BS and debt'!I46</f>
        <v>426</v>
      </c>
      <c r="J117" s="3">
        <f>'BS and debt'!J42+'BS and debt'!J46</f>
        <v>426</v>
      </c>
      <c r="K117" s="3">
        <f>'BS and debt'!K42+'BS and debt'!K46</f>
        <v>426</v>
      </c>
      <c r="L117" s="3">
        <f>'BS and debt'!L42+'BS and debt'!L46</f>
        <v>426</v>
      </c>
      <c r="M117" s="3">
        <f>'BS and debt'!M42+'BS and debt'!M46</f>
        <v>426</v>
      </c>
      <c r="N117" s="3">
        <f>'BS and debt'!N42+'BS and debt'!N46</f>
        <v>426</v>
      </c>
      <c r="O117" s="3">
        <f>'BS and debt'!O42+'BS and debt'!O46</f>
        <v>426</v>
      </c>
      <c r="P117" s="2"/>
      <c r="Q117" s="2"/>
    </row>
    <row r="118" spans="1:17" ht="15" x14ac:dyDescent="0.25">
      <c r="A118" s="2" t="s">
        <v>159</v>
      </c>
      <c r="B118" s="2"/>
      <c r="C118" s="7"/>
      <c r="D118" s="7">
        <f t="shared" ref="D118" si="81">D110/AVERAGE(C117:D117)</f>
        <v>0.13270588235294117</v>
      </c>
      <c r="E118" s="7">
        <f>E110/AVERAGE(D117:E117)</f>
        <v>7.6235017626321983E-2</v>
      </c>
      <c r="F118" s="10">
        <v>7.4999999999999997E-2</v>
      </c>
      <c r="G118" s="10">
        <v>7.4999999999999997E-2</v>
      </c>
      <c r="H118" s="10">
        <v>7.4999999999999997E-2</v>
      </c>
      <c r="I118" s="10">
        <v>7.4999999999999997E-2</v>
      </c>
      <c r="J118" s="10">
        <v>7.4999999999999997E-2</v>
      </c>
      <c r="K118" s="10">
        <v>7.4999999999999997E-2</v>
      </c>
      <c r="L118" s="10">
        <v>7.4999999999999997E-2</v>
      </c>
      <c r="M118" s="10">
        <v>7.4999999999999997E-2</v>
      </c>
      <c r="N118" s="10">
        <v>7.4999999999999997E-2</v>
      </c>
      <c r="O118" s="10">
        <v>7.4999999999999997E-2</v>
      </c>
      <c r="P118" s="2"/>
      <c r="Q118" s="2"/>
    </row>
    <row r="119" spans="1:17" ht="15" x14ac:dyDescent="0.25">
      <c r="A119" s="2" t="s">
        <v>135</v>
      </c>
      <c r="B119" s="3">
        <f>'BS and debt'!B43+'BS and debt'!B47</f>
        <v>37.999000000000002</v>
      </c>
      <c r="C119" s="3">
        <f>'BS and debt'!C43+'BS and debt'!C47</f>
        <v>51.253</v>
      </c>
      <c r="D119" s="3">
        <f>'BS and debt'!D43+'BS and debt'!D47</f>
        <v>422.49599999999998</v>
      </c>
      <c r="E119" s="3">
        <f>'BS and debt'!E43+'BS and debt'!E47</f>
        <v>810.90300000000002</v>
      </c>
      <c r="F119" s="3">
        <f>'BS and debt'!F43+'BS and debt'!F47</f>
        <v>810.90300000000002</v>
      </c>
      <c r="G119" s="3">
        <f>'BS and debt'!G43+'BS and debt'!G47</f>
        <v>810.90300000000002</v>
      </c>
      <c r="H119" s="3">
        <f>'BS and debt'!H43+'BS and debt'!H47</f>
        <v>810.90300000000002</v>
      </c>
      <c r="I119" s="3">
        <f>'BS and debt'!I43+'BS and debt'!I47</f>
        <v>810.90300000000002</v>
      </c>
      <c r="J119" s="3">
        <f>'BS and debt'!J43+'BS and debt'!J47</f>
        <v>810.90300000000002</v>
      </c>
      <c r="K119" s="3">
        <f>'BS and debt'!K43+'BS and debt'!K47</f>
        <v>810.90300000000002</v>
      </c>
      <c r="L119" s="3">
        <f>'BS and debt'!L43+'BS and debt'!L47</f>
        <v>810.90300000000002</v>
      </c>
      <c r="M119" s="3">
        <f>'BS and debt'!M43+'BS and debt'!M47</f>
        <v>810.90300000000002</v>
      </c>
      <c r="N119" s="3">
        <f>'BS and debt'!N43+'BS and debt'!N47</f>
        <v>810.90300000000002</v>
      </c>
      <c r="O119" s="3">
        <f>'BS and debt'!O43+'BS and debt'!O47</f>
        <v>810.90300000000002</v>
      </c>
      <c r="P119" s="2"/>
      <c r="Q119" s="2"/>
    </row>
    <row r="120" spans="1:17" ht="15" x14ac:dyDescent="0.25">
      <c r="A120" s="2" t="s">
        <v>159</v>
      </c>
      <c r="B120" s="7">
        <f t="shared" ref="B120:D120" si="82">B111/AVERAGE(A119:B119)</f>
        <v>8.1160030527119134E-2</v>
      </c>
      <c r="C120" s="7">
        <f t="shared" si="82"/>
        <v>7.9012235019943519E-2</v>
      </c>
      <c r="D120" s="7">
        <f t="shared" si="82"/>
        <v>0.1734631629829298</v>
      </c>
      <c r="E120" s="7">
        <f>E111/AVERAGE(D119:E119)</f>
        <v>0.10227023047691786</v>
      </c>
      <c r="F120" s="10">
        <v>9.5000000000000001E-2</v>
      </c>
      <c r="G120" s="10">
        <v>9.5000000000000001E-2</v>
      </c>
      <c r="H120" s="10">
        <v>9.5000000000000001E-2</v>
      </c>
      <c r="I120" s="10">
        <v>9.5000000000000001E-2</v>
      </c>
      <c r="J120" s="10">
        <v>9.5000000000000001E-2</v>
      </c>
      <c r="K120" s="10">
        <v>9.5000000000000001E-2</v>
      </c>
      <c r="L120" s="10">
        <v>9.5000000000000001E-2</v>
      </c>
      <c r="M120" s="10">
        <v>9.5000000000000001E-2</v>
      </c>
      <c r="N120" s="10">
        <v>9.5000000000000001E-2</v>
      </c>
      <c r="O120" s="10">
        <v>9.5000000000000001E-2</v>
      </c>
      <c r="P120" s="2"/>
      <c r="Q120" s="2"/>
    </row>
    <row r="121" spans="1:17" ht="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" x14ac:dyDescent="0.25">
      <c r="A123" s="22" t="s">
        <v>74</v>
      </c>
      <c r="B123" s="13">
        <v>2020</v>
      </c>
      <c r="C123" s="13">
        <v>2021</v>
      </c>
      <c r="D123" s="13">
        <v>2022</v>
      </c>
      <c r="E123" s="13">
        <v>2023</v>
      </c>
      <c r="F123" s="13" t="s">
        <v>15</v>
      </c>
      <c r="G123" s="13" t="s">
        <v>16</v>
      </c>
      <c r="H123" s="13" t="s">
        <v>17</v>
      </c>
      <c r="I123" s="13" t="s">
        <v>18</v>
      </c>
      <c r="J123" s="13" t="s">
        <v>19</v>
      </c>
      <c r="K123" s="13" t="s">
        <v>20</v>
      </c>
      <c r="L123" s="13" t="s">
        <v>21</v>
      </c>
      <c r="M123" s="13" t="s">
        <v>22</v>
      </c>
      <c r="N123" s="13" t="s">
        <v>23</v>
      </c>
      <c r="O123" s="13" t="s">
        <v>24</v>
      </c>
      <c r="P123" s="2"/>
      <c r="Q123" s="2"/>
    </row>
    <row r="124" spans="1:17" ht="15" x14ac:dyDescent="0.25">
      <c r="A124" s="2" t="str">
        <f>A26</f>
        <v>Share of profit in joint ventures and associates</v>
      </c>
      <c r="B124" s="24">
        <f>B26</f>
        <v>16.475000000000001</v>
      </c>
      <c r="C124" s="24">
        <f>C26</f>
        <v>22.442</v>
      </c>
      <c r="D124" s="24">
        <f>D26</f>
        <v>14.364000000000001</v>
      </c>
      <c r="E124" s="24">
        <f>E26</f>
        <v>20.371642999999999</v>
      </c>
      <c r="F124" s="24">
        <f>E124*(1+F125)</f>
        <v>27.501718050000001</v>
      </c>
      <c r="G124" s="24">
        <f t="shared" ref="G124:O124" si="83">F124*(1+G125)</f>
        <v>34.377147562499999</v>
      </c>
      <c r="H124" s="24">
        <f t="shared" si="83"/>
        <v>39.533719696874996</v>
      </c>
      <c r="I124" s="24">
        <f t="shared" si="83"/>
        <v>43.487091666562499</v>
      </c>
      <c r="J124" s="24">
        <f t="shared" si="83"/>
        <v>45.661446249890624</v>
      </c>
      <c r="K124" s="24">
        <f t="shared" si="83"/>
        <v>47.944518562385156</v>
      </c>
      <c r="L124" s="24">
        <f t="shared" si="83"/>
        <v>50.341744490504418</v>
      </c>
      <c r="M124" s="24">
        <f t="shared" si="83"/>
        <v>52.858831715029638</v>
      </c>
      <c r="N124" s="24">
        <f t="shared" si="83"/>
        <v>55.501773300781124</v>
      </c>
      <c r="O124" s="24">
        <f t="shared" si="83"/>
        <v>58.276861965820181</v>
      </c>
      <c r="P124" s="2"/>
      <c r="Q124" s="2"/>
    </row>
    <row r="125" spans="1:17" ht="15" x14ac:dyDescent="0.25">
      <c r="A125" s="2" t="s">
        <v>10</v>
      </c>
      <c r="B125" s="2"/>
      <c r="C125" s="7">
        <f>C124/B124-1</f>
        <v>0.36218512898330801</v>
      </c>
      <c r="D125" s="7">
        <f>D124/C124-1</f>
        <v>-0.35995009357454766</v>
      </c>
      <c r="E125" s="7">
        <f>E124/D124-1</f>
        <v>0.41824303815093278</v>
      </c>
      <c r="F125" s="10">
        <v>0.35</v>
      </c>
      <c r="G125" s="10">
        <v>0.25</v>
      </c>
      <c r="H125" s="10">
        <v>0.15</v>
      </c>
      <c r="I125" s="10">
        <v>0.1</v>
      </c>
      <c r="J125" s="10">
        <v>0.05</v>
      </c>
      <c r="K125" s="10">
        <v>0.05</v>
      </c>
      <c r="L125" s="10">
        <v>0.05</v>
      </c>
      <c r="M125" s="10">
        <v>0.05</v>
      </c>
      <c r="N125" s="10">
        <v>0.05</v>
      </c>
      <c r="O125" s="10">
        <v>0.05</v>
      </c>
      <c r="P125" s="2"/>
      <c r="Q125" s="2"/>
    </row>
    <row r="126" spans="1:17" ht="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5" x14ac:dyDescent="0.25">
      <c r="A128" s="22" t="s">
        <v>70</v>
      </c>
      <c r="B128" s="13">
        <v>2020</v>
      </c>
      <c r="C128" s="13">
        <v>2021</v>
      </c>
      <c r="D128" s="13">
        <v>2022</v>
      </c>
      <c r="E128" s="13">
        <v>2023</v>
      </c>
      <c r="F128" s="13" t="s">
        <v>15</v>
      </c>
      <c r="G128" s="13" t="s">
        <v>16</v>
      </c>
      <c r="H128" s="13" t="s">
        <v>17</v>
      </c>
      <c r="I128" s="13" t="s">
        <v>18</v>
      </c>
      <c r="J128" s="13" t="s">
        <v>19</v>
      </c>
      <c r="K128" s="13" t="s">
        <v>20</v>
      </c>
      <c r="L128" s="13" t="s">
        <v>21</v>
      </c>
      <c r="M128" s="13" t="s">
        <v>22</v>
      </c>
      <c r="N128" s="13" t="s">
        <v>23</v>
      </c>
      <c r="O128" s="13" t="s">
        <v>24</v>
      </c>
      <c r="P128" s="2"/>
      <c r="Q128" s="2"/>
    </row>
    <row r="129" spans="1:17" ht="15" x14ac:dyDescent="0.25">
      <c r="A129" s="2" t="str">
        <f t="shared" ref="A129:O129" si="84">A27</f>
        <v>Profit before tax</v>
      </c>
      <c r="B129" s="24">
        <f t="shared" si="84"/>
        <v>51.884999999999913</v>
      </c>
      <c r="C129" s="24">
        <f t="shared" si="84"/>
        <v>114.30199999999996</v>
      </c>
      <c r="D129" s="24">
        <f t="shared" si="84"/>
        <v>113.99800000000003</v>
      </c>
      <c r="E129" s="24">
        <f t="shared" si="84"/>
        <v>86.818833000000325</v>
      </c>
      <c r="F129" s="24">
        <f t="shared" si="84"/>
        <v>115.1911205308233</v>
      </c>
      <c r="G129" s="24">
        <f t="shared" si="84"/>
        <v>146.2513774489247</v>
      </c>
      <c r="H129" s="24">
        <f t="shared" si="84"/>
        <v>176.97095477838616</v>
      </c>
      <c r="I129" s="24">
        <f t="shared" si="84"/>
        <v>206.73542224347477</v>
      </c>
      <c r="J129" s="24">
        <f t="shared" si="84"/>
        <v>230.78415420560322</v>
      </c>
      <c r="K129" s="24">
        <f t="shared" si="84"/>
        <v>257.75746560205221</v>
      </c>
      <c r="L129" s="24">
        <f t="shared" si="84"/>
        <v>291.38289842294898</v>
      </c>
      <c r="M129" s="24">
        <f t="shared" si="84"/>
        <v>329.36377762189602</v>
      </c>
      <c r="N129" s="24">
        <f t="shared" si="84"/>
        <v>372.956329472633</v>
      </c>
      <c r="O129" s="24">
        <f t="shared" si="84"/>
        <v>422.09397930015342</v>
      </c>
      <c r="P129" s="2"/>
      <c r="Q129" s="2"/>
    </row>
    <row r="130" spans="1:17" ht="15" x14ac:dyDescent="0.25">
      <c r="A130" s="2" t="str">
        <f>A28</f>
        <v>Income tax</v>
      </c>
      <c r="B130" s="24">
        <f>B28</f>
        <v>-0.25800000000000001</v>
      </c>
      <c r="C130" s="24">
        <f>C28</f>
        <v>-26.88</v>
      </c>
      <c r="D130" s="24">
        <f>D28</f>
        <v>-29.923999999999999</v>
      </c>
      <c r="E130" s="24">
        <f>E28</f>
        <v>-32.264030999999996</v>
      </c>
      <c r="F130" s="24">
        <f>F129*F131</f>
        <v>-42.80787653217137</v>
      </c>
      <c r="G130" s="24">
        <f t="shared" ref="G130:O130" si="85">G129*G131</f>
        <v>-54.350638136368282</v>
      </c>
      <c r="H130" s="24">
        <f t="shared" si="85"/>
        <v>-65.766794758338065</v>
      </c>
      <c r="I130" s="24">
        <f t="shared" si="85"/>
        <v>-76.828008872931221</v>
      </c>
      <c r="J130" s="24">
        <f t="shared" si="85"/>
        <v>-85.765113954000441</v>
      </c>
      <c r="K130" s="24">
        <f t="shared" si="85"/>
        <v>-95.789065267279213</v>
      </c>
      <c r="L130" s="24">
        <f t="shared" si="85"/>
        <v>-108.28510984002563</v>
      </c>
      <c r="M130" s="24">
        <f t="shared" si="85"/>
        <v>-122.3997462793576</v>
      </c>
      <c r="N130" s="24">
        <f t="shared" si="85"/>
        <v>-138.59981941649917</v>
      </c>
      <c r="O130" s="24">
        <f t="shared" si="85"/>
        <v>-156.86058845151092</v>
      </c>
      <c r="P130" s="2"/>
      <c r="Q130" s="2"/>
    </row>
    <row r="131" spans="1:17" ht="15" x14ac:dyDescent="0.25">
      <c r="A131" s="2" t="s">
        <v>71</v>
      </c>
      <c r="B131" s="29">
        <f>B130/B129</f>
        <v>-4.9725354148597942E-3</v>
      </c>
      <c r="C131" s="29">
        <f t="shared" ref="C131:E131" si="86">C130/C129</f>
        <v>-0.23516648877534957</v>
      </c>
      <c r="D131" s="29">
        <f t="shared" si="86"/>
        <v>-0.26249583326023257</v>
      </c>
      <c r="E131" s="29">
        <f t="shared" si="86"/>
        <v>-0.37162479481842237</v>
      </c>
      <c r="F131" s="30">
        <f>E131</f>
        <v>-0.37162479481842237</v>
      </c>
      <c r="G131" s="30">
        <f t="shared" ref="G131:O131" si="87">F131</f>
        <v>-0.37162479481842237</v>
      </c>
      <c r="H131" s="30">
        <f t="shared" si="87"/>
        <v>-0.37162479481842237</v>
      </c>
      <c r="I131" s="30">
        <f t="shared" si="87"/>
        <v>-0.37162479481842237</v>
      </c>
      <c r="J131" s="30">
        <f t="shared" si="87"/>
        <v>-0.37162479481842237</v>
      </c>
      <c r="K131" s="30">
        <f t="shared" si="87"/>
        <v>-0.37162479481842237</v>
      </c>
      <c r="L131" s="30">
        <f t="shared" si="87"/>
        <v>-0.37162479481842237</v>
      </c>
      <c r="M131" s="30">
        <f t="shared" si="87"/>
        <v>-0.37162479481842237</v>
      </c>
      <c r="N131" s="30">
        <f t="shared" si="87"/>
        <v>-0.37162479481842237</v>
      </c>
      <c r="O131" s="30">
        <f t="shared" si="87"/>
        <v>-0.37162479481842237</v>
      </c>
      <c r="P131" s="2"/>
      <c r="Q131" s="2"/>
    </row>
    <row r="132" spans="1:17" ht="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5" x14ac:dyDescent="0.25">
      <c r="A134" s="22" t="s">
        <v>72</v>
      </c>
      <c r="B134" s="13">
        <v>2020</v>
      </c>
      <c r="C134" s="13">
        <v>2021</v>
      </c>
      <c r="D134" s="13">
        <v>2022</v>
      </c>
      <c r="E134" s="13">
        <v>2023</v>
      </c>
      <c r="F134" s="13" t="s">
        <v>15</v>
      </c>
      <c r="G134" s="13" t="s">
        <v>16</v>
      </c>
      <c r="H134" s="13" t="s">
        <v>17</v>
      </c>
      <c r="I134" s="13" t="s">
        <v>18</v>
      </c>
      <c r="J134" s="13" t="s">
        <v>19</v>
      </c>
      <c r="K134" s="13" t="s">
        <v>20</v>
      </c>
      <c r="L134" s="13" t="s">
        <v>21</v>
      </c>
      <c r="M134" s="13" t="s">
        <v>22</v>
      </c>
      <c r="N134" s="13" t="s">
        <v>23</v>
      </c>
      <c r="O134" s="13" t="s">
        <v>24</v>
      </c>
      <c r="P134" s="2"/>
      <c r="Q134" s="2"/>
    </row>
    <row r="135" spans="1:17" ht="15" x14ac:dyDescent="0.25">
      <c r="A135" s="2" t="s">
        <v>73</v>
      </c>
      <c r="B135" s="29">
        <f>B30/B29</f>
        <v>0.60797644643306903</v>
      </c>
      <c r="C135" s="29">
        <f>C30/C29</f>
        <v>0.64792615131202691</v>
      </c>
      <c r="D135" s="29">
        <f>D30/D29</f>
        <v>0.68847681804124905</v>
      </c>
      <c r="E135" s="29">
        <f>E30/E29</f>
        <v>0.71764870487477472</v>
      </c>
      <c r="F135" s="30">
        <f>E135</f>
        <v>0.71764870487477472</v>
      </c>
      <c r="G135" s="30">
        <f t="shared" ref="G135:O135" si="88">F135</f>
        <v>0.71764870487477472</v>
      </c>
      <c r="H135" s="30">
        <f t="shared" si="88"/>
        <v>0.71764870487477472</v>
      </c>
      <c r="I135" s="30">
        <f t="shared" si="88"/>
        <v>0.71764870487477472</v>
      </c>
      <c r="J135" s="30">
        <f t="shared" si="88"/>
        <v>0.71764870487477472</v>
      </c>
      <c r="K135" s="30">
        <f t="shared" si="88"/>
        <v>0.71764870487477472</v>
      </c>
      <c r="L135" s="30">
        <f t="shared" si="88"/>
        <v>0.71764870487477472</v>
      </c>
      <c r="M135" s="30">
        <f t="shared" si="88"/>
        <v>0.71764870487477472</v>
      </c>
      <c r="N135" s="30">
        <f t="shared" si="88"/>
        <v>0.71764870487477472</v>
      </c>
      <c r="O135" s="30">
        <f t="shared" si="88"/>
        <v>0.71764870487477472</v>
      </c>
      <c r="P135" s="2"/>
      <c r="Q135" s="2"/>
    </row>
    <row r="136" spans="1:17" ht="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5" x14ac:dyDescent="0.25">
      <c r="A141" s="2" t="s">
        <v>255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5" x14ac:dyDescent="0.25">
      <c r="A142" s="2"/>
      <c r="B142" s="2">
        <f>B134</f>
        <v>2020</v>
      </c>
      <c r="C142" s="2">
        <f t="shared" ref="C142:O142" si="89">C134</f>
        <v>2021</v>
      </c>
      <c r="D142" s="2">
        <f t="shared" si="89"/>
        <v>2022</v>
      </c>
      <c r="E142" s="2">
        <f t="shared" si="89"/>
        <v>2023</v>
      </c>
      <c r="F142" s="2" t="str">
        <f t="shared" si="89"/>
        <v>2024E</v>
      </c>
      <c r="G142" s="2" t="str">
        <f t="shared" si="89"/>
        <v>2025E</v>
      </c>
      <c r="H142" s="2" t="str">
        <f t="shared" si="89"/>
        <v>2026E</v>
      </c>
      <c r="I142" s="2" t="str">
        <f t="shared" si="89"/>
        <v>2027E</v>
      </c>
      <c r="J142" s="2" t="str">
        <f t="shared" si="89"/>
        <v>2028E</v>
      </c>
      <c r="K142" s="2" t="str">
        <f t="shared" si="89"/>
        <v>2029E</v>
      </c>
      <c r="L142" s="2" t="str">
        <f t="shared" si="89"/>
        <v>2030E</v>
      </c>
      <c r="M142" s="2" t="str">
        <f t="shared" si="89"/>
        <v>2031E</v>
      </c>
      <c r="N142" s="2" t="str">
        <f t="shared" si="89"/>
        <v>2032E</v>
      </c>
      <c r="O142" s="2" t="str">
        <f t="shared" si="89"/>
        <v>2033E</v>
      </c>
      <c r="P142" s="2"/>
      <c r="Q142" s="2"/>
    </row>
    <row r="143" spans="1:17" ht="15" x14ac:dyDescent="0.25">
      <c r="A143" s="2" t="s">
        <v>0</v>
      </c>
      <c r="B143" s="98">
        <f>Revenue!B$5</f>
        <v>0</v>
      </c>
      <c r="C143" s="98">
        <f>Revenue!C$5</f>
        <v>0.13213205515968629</v>
      </c>
      <c r="D143" s="98">
        <f>Revenue!D$5</f>
        <v>0.70319989955933715</v>
      </c>
      <c r="E143" s="98">
        <f>Revenue!E$5</f>
        <v>0.31641480819078827</v>
      </c>
      <c r="F143" s="98">
        <f>Revenue!F$5</f>
        <v>0.13675052897529771</v>
      </c>
      <c r="G143" s="98">
        <f>Revenue!G$5</f>
        <v>0.1044332516679578</v>
      </c>
      <c r="H143" s="98">
        <f>Revenue!H$5</f>
        <v>8.8034271045210222E-2</v>
      </c>
      <c r="I143" s="98">
        <f>Revenue!I$5</f>
        <v>7.5329935146691618E-2</v>
      </c>
      <c r="J143" s="98">
        <f>Revenue!J$5</f>
        <v>6.1122924417281066E-2</v>
      </c>
      <c r="K143" s="98">
        <f>Revenue!K$5</f>
        <v>5.7067480918810753E-2</v>
      </c>
      <c r="L143" s="98">
        <f>Revenue!L$5</f>
        <v>5.2936037198283881E-2</v>
      </c>
      <c r="M143" s="98">
        <f>Revenue!M$5</f>
        <v>4.986498553314056E-2</v>
      </c>
      <c r="N143" s="98">
        <f>Revenue!N$5</f>
        <v>4.8063438342381026E-2</v>
      </c>
      <c r="O143" s="98">
        <f>Revenue!O$5</f>
        <v>4.6690692184762295E-2</v>
      </c>
      <c r="P143" s="2"/>
      <c r="Q143" s="2"/>
    </row>
    <row r="144" spans="1:17" ht="15" x14ac:dyDescent="0.25">
      <c r="A144" s="2" t="s">
        <v>56</v>
      </c>
      <c r="B144" s="7">
        <f>B36</f>
        <v>0</v>
      </c>
      <c r="C144" s="7">
        <f t="shared" ref="C144:O144" si="90">C36</f>
        <v>0.14479638009049767</v>
      </c>
      <c r="D144" s="7">
        <f t="shared" si="90"/>
        <v>0.48616600790513842</v>
      </c>
      <c r="E144" s="7">
        <f t="shared" si="90"/>
        <v>0.31914893617021267</v>
      </c>
      <c r="F144" s="7">
        <f t="shared" si="90"/>
        <v>0.19837670870080082</v>
      </c>
      <c r="G144" s="7">
        <f t="shared" si="90"/>
        <v>0.11018550818706174</v>
      </c>
      <c r="H144" s="7">
        <f t="shared" si="90"/>
        <v>9.3671754314874622E-2</v>
      </c>
      <c r="I144" s="7">
        <f t="shared" si="90"/>
        <v>8.0872872956726072E-2</v>
      </c>
      <c r="J144" s="7">
        <f t="shared" si="90"/>
        <v>6.656458043993374E-2</v>
      </c>
      <c r="K144" s="7">
        <f t="shared" si="90"/>
        <v>6.2460682352069918E-2</v>
      </c>
      <c r="L144" s="7">
        <f t="shared" si="90"/>
        <v>5.8280890178985745E-2</v>
      </c>
      <c r="M144" s="7">
        <f t="shared" si="90"/>
        <v>5.5167333944924124E-2</v>
      </c>
      <c r="N144" s="7">
        <f t="shared" si="90"/>
        <v>5.3330088786312402E-2</v>
      </c>
      <c r="O144" s="7">
        <f t="shared" si="90"/>
        <v>5.1924145645685815E-2</v>
      </c>
      <c r="P144" s="2"/>
      <c r="Q144" s="2"/>
    </row>
    <row r="145" spans="1:17" ht="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</sheetData>
  <pageMargins left="0.7" right="0.7" top="0.75" bottom="0.75" header="0.3" footer="0.3"/>
  <ignoredErrors>
    <ignoredError sqref="B77:E77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C8CD-EEFA-4F40-B4D7-DEF1A7FA60AF}">
  <dimension ref="A1:T22"/>
  <sheetViews>
    <sheetView workbookViewId="0">
      <pane ySplit="1" topLeftCell="A2" activePane="bottomLeft" state="frozen"/>
      <selection pane="bottomLeft" activeCell="B6" sqref="B6"/>
    </sheetView>
  </sheetViews>
  <sheetFormatPr defaultRowHeight="12.75" x14ac:dyDescent="0.2"/>
  <cols>
    <col min="1" max="1" width="18.85546875" bestFit="1" customWidth="1"/>
  </cols>
  <sheetData>
    <row r="1" spans="1:20" ht="21.75" customHeight="1" x14ac:dyDescent="0.25">
      <c r="A1" s="19" t="s">
        <v>112</v>
      </c>
      <c r="B1" s="20">
        <v>2020</v>
      </c>
      <c r="C1" s="20">
        <v>2021</v>
      </c>
      <c r="D1" s="20">
        <v>2022</v>
      </c>
      <c r="E1" s="20">
        <v>2023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"/>
      <c r="Q1" s="2"/>
      <c r="R1" s="2"/>
      <c r="S1" s="2"/>
      <c r="T1" s="2"/>
    </row>
    <row r="2" spans="1:20" ht="15" x14ac:dyDescent="0.25">
      <c r="A2" s="5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 x14ac:dyDescent="0.25">
      <c r="A5" s="22" t="s">
        <v>112</v>
      </c>
      <c r="B5" s="13">
        <v>2020</v>
      </c>
      <c r="C5" s="13">
        <v>2021</v>
      </c>
      <c r="D5" s="13">
        <v>2022</v>
      </c>
      <c r="E5" s="13">
        <v>2023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3" t="s">
        <v>23</v>
      </c>
      <c r="O5" s="13" t="s">
        <v>24</v>
      </c>
      <c r="P5" s="2"/>
      <c r="Q5" s="2"/>
      <c r="R5" s="2"/>
      <c r="S5" s="2"/>
      <c r="T5" s="2"/>
    </row>
    <row r="6" spans="1:20" ht="15" x14ac:dyDescent="0.25">
      <c r="A6" s="2" t="s">
        <v>112</v>
      </c>
      <c r="B6" s="16">
        <v>116</v>
      </c>
      <c r="C6" s="16">
        <v>148</v>
      </c>
      <c r="D6" s="16">
        <v>269</v>
      </c>
      <c r="E6" s="16">
        <v>353</v>
      </c>
      <c r="F6" s="3">
        <f t="shared" ref="F6:O6" si="0">F7*F13</f>
        <v>408.64645766697311</v>
      </c>
      <c r="G6" s="3">
        <f t="shared" si="0"/>
        <v>423.96984293138047</v>
      </c>
      <c r="H6" s="3">
        <f t="shared" si="0"/>
        <v>431.53283390228728</v>
      </c>
      <c r="I6" s="3">
        <f t="shared" si="0"/>
        <v>448.03878897333823</v>
      </c>
      <c r="J6" s="3">
        <f t="shared" si="0"/>
        <v>458.44479322177403</v>
      </c>
      <c r="K6" s="3">
        <f t="shared" si="0"/>
        <v>466.65867224049742</v>
      </c>
      <c r="L6" s="3">
        <f t="shared" si="0"/>
        <v>472.46320487800199</v>
      </c>
      <c r="M6" s="3">
        <f t="shared" si="0"/>
        <v>476.18167272401735</v>
      </c>
      <c r="N6" s="3">
        <f t="shared" si="0"/>
        <v>499.06860119075998</v>
      </c>
      <c r="O6" s="3">
        <f t="shared" si="0"/>
        <v>522.37045962803757</v>
      </c>
      <c r="P6" s="2"/>
      <c r="Q6" s="2"/>
      <c r="R6" s="2"/>
      <c r="S6" s="2"/>
      <c r="T6" s="2"/>
    </row>
    <row r="7" spans="1:20" ht="15" x14ac:dyDescent="0.25">
      <c r="A7" s="2" t="s">
        <v>142</v>
      </c>
      <c r="B7" s="53">
        <f>B6/B13</f>
        <v>0.27029923989989607</v>
      </c>
      <c r="C7" s="53">
        <f>C6/C13</f>
        <v>0.30461512496423859</v>
      </c>
      <c r="D7" s="53">
        <f>D6/D13</f>
        <v>0.32506963619994805</v>
      </c>
      <c r="E7" s="53">
        <f>E6/E13</f>
        <v>0.32404555731704965</v>
      </c>
      <c r="F7" s="54">
        <v>0.33</v>
      </c>
      <c r="G7" s="54">
        <f>F7-2%</f>
        <v>0.31</v>
      </c>
      <c r="H7" s="54">
        <f t="shared" ref="H7" si="1">G7-2%</f>
        <v>0.28999999999999998</v>
      </c>
      <c r="I7" s="54">
        <f t="shared" ref="I7:L7" si="2">H7-1%</f>
        <v>0.27999999999999997</v>
      </c>
      <c r="J7" s="54">
        <f t="shared" si="2"/>
        <v>0.26999999999999996</v>
      </c>
      <c r="K7" s="54">
        <f t="shared" si="2"/>
        <v>0.25999999999999995</v>
      </c>
      <c r="L7" s="54">
        <f t="shared" si="2"/>
        <v>0.24999999999999994</v>
      </c>
      <c r="M7" s="54">
        <f>L7-1%</f>
        <v>0.23999999999999994</v>
      </c>
      <c r="N7" s="54">
        <f>M7</f>
        <v>0.23999999999999994</v>
      </c>
      <c r="O7" s="54">
        <f>N7</f>
        <v>0.23999999999999994</v>
      </c>
      <c r="P7" s="2"/>
      <c r="Q7" s="2"/>
      <c r="R7" s="2"/>
      <c r="S7" s="2"/>
      <c r="T7" s="2"/>
    </row>
    <row r="8" spans="1:20" ht="15" x14ac:dyDescent="0.25">
      <c r="A8" s="2" t="s">
        <v>10</v>
      </c>
      <c r="B8" s="53"/>
      <c r="C8" s="53">
        <f t="shared" ref="C8:D8" si="3">C6/B6-1</f>
        <v>0.27586206896551735</v>
      </c>
      <c r="D8" s="53">
        <f t="shared" si="3"/>
        <v>0.81756756756756754</v>
      </c>
      <c r="E8" s="53">
        <f>E6/D6-1</f>
        <v>0.31226765799256495</v>
      </c>
      <c r="F8" s="53">
        <f t="shared" ref="F8:O8" si="4">F6/E6-1</f>
        <v>0.15763869027471133</v>
      </c>
      <c r="G8" s="53">
        <f t="shared" si="4"/>
        <v>3.7497903082021056E-2</v>
      </c>
      <c r="H8" s="53">
        <f t="shared" si="4"/>
        <v>1.783851162293848E-2</v>
      </c>
      <c r="I8" s="53">
        <f t="shared" si="4"/>
        <v>3.8249592555426259E-2</v>
      </c>
      <c r="J8" s="53">
        <f t="shared" si="4"/>
        <v>2.3225677116663679E-2</v>
      </c>
      <c r="K8" s="53">
        <f t="shared" si="4"/>
        <v>1.7916833477373384E-2</v>
      </c>
      <c r="L8" s="53">
        <f t="shared" si="4"/>
        <v>1.2438497306042073E-2</v>
      </c>
      <c r="M8" s="53">
        <f t="shared" si="4"/>
        <v>7.8703861118147866E-3</v>
      </c>
      <c r="N8" s="53">
        <f t="shared" si="4"/>
        <v>4.8063438342381026E-2</v>
      </c>
      <c r="O8" s="53">
        <f t="shared" si="4"/>
        <v>4.6690692184762073E-2</v>
      </c>
      <c r="P8" s="2"/>
      <c r="Q8" s="2"/>
      <c r="R8" s="2"/>
      <c r="S8" s="2"/>
      <c r="T8" s="2"/>
    </row>
    <row r="9" spans="1:20" ht="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" x14ac:dyDescent="0.25">
      <c r="A10" s="2" t="s">
        <v>143</v>
      </c>
      <c r="B10" s="16">
        <f>96.199+19.32</f>
        <v>115.51900000000001</v>
      </c>
      <c r="C10" s="16">
        <f>130.816+16.986</f>
        <v>147.80199999999999</v>
      </c>
      <c r="D10" s="16">
        <f>225.349+43.507</f>
        <v>268.85599999999999</v>
      </c>
      <c r="E10" s="16">
        <f>309.711+43.545</f>
        <v>353.25600000000003</v>
      </c>
      <c r="F10" s="3">
        <f>F6</f>
        <v>408.64645766697311</v>
      </c>
      <c r="G10" s="3">
        <f t="shared" ref="G10:O10" si="5">G6</f>
        <v>423.96984293138047</v>
      </c>
      <c r="H10" s="3">
        <f t="shared" si="5"/>
        <v>431.53283390228728</v>
      </c>
      <c r="I10" s="3">
        <f t="shared" si="5"/>
        <v>448.03878897333823</v>
      </c>
      <c r="J10" s="3">
        <f t="shared" si="5"/>
        <v>458.44479322177403</v>
      </c>
      <c r="K10" s="3">
        <f t="shared" si="5"/>
        <v>466.65867224049742</v>
      </c>
      <c r="L10" s="3">
        <f t="shared" si="5"/>
        <v>472.46320487800199</v>
      </c>
      <c r="M10" s="3">
        <f t="shared" si="5"/>
        <v>476.18167272401735</v>
      </c>
      <c r="N10" s="3">
        <f t="shared" si="5"/>
        <v>499.06860119075998</v>
      </c>
      <c r="O10" s="3">
        <f t="shared" si="5"/>
        <v>522.37045962803757</v>
      </c>
      <c r="P10" s="2"/>
      <c r="Q10" s="2"/>
      <c r="R10" s="2"/>
      <c r="S10" s="2"/>
      <c r="T10" s="2"/>
    </row>
    <row r="11" spans="1:20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" x14ac:dyDescent="0.25">
      <c r="A13" s="2" t="s">
        <v>0</v>
      </c>
      <c r="B13" s="24">
        <f>Revenue!B4</f>
        <v>429.154</v>
      </c>
      <c r="C13" s="24">
        <f>Revenue!C4</f>
        <v>485.85899999999998</v>
      </c>
      <c r="D13" s="24">
        <f>Revenue!D4</f>
        <v>827.51499999999999</v>
      </c>
      <c r="E13" s="24">
        <f>Revenue!E4</f>
        <v>1089.3530000000001</v>
      </c>
      <c r="F13" s="3">
        <f>Revenue!F4</f>
        <v>1238.3225989908276</v>
      </c>
      <c r="G13" s="3">
        <f>Revenue!G4</f>
        <v>1367.6446546173563</v>
      </c>
      <c r="H13" s="3">
        <f>Revenue!H4</f>
        <v>1488.0442548354736</v>
      </c>
      <c r="I13" s="3">
        <f>Revenue!I4</f>
        <v>1600.1385320476368</v>
      </c>
      <c r="J13" s="3">
        <f>Revenue!J4</f>
        <v>1697.9436785991634</v>
      </c>
      <c r="K13" s="3">
        <f>Revenue!K4</f>
        <v>1794.8410470788365</v>
      </c>
      <c r="L13" s="3">
        <f>Revenue!L4</f>
        <v>1889.8528195120084</v>
      </c>
      <c r="M13" s="3">
        <f>Revenue!M4</f>
        <v>1984.0903030167394</v>
      </c>
      <c r="N13" s="3">
        <f>Revenue!N4</f>
        <v>2079.4525049615004</v>
      </c>
      <c r="O13" s="3">
        <f>Revenue!O4</f>
        <v>2176.5435817834905</v>
      </c>
      <c r="P13" s="2"/>
      <c r="Q13" s="2"/>
      <c r="R13" s="2"/>
      <c r="S13" s="2"/>
      <c r="T13" s="2"/>
    </row>
    <row r="14" spans="1:20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19DD-C3F7-4276-A073-0B5F261AC2FB}">
  <dimension ref="A1:S109"/>
  <sheetViews>
    <sheetView zoomScale="70" zoomScaleNormal="70" workbookViewId="0">
      <pane ySplit="1" topLeftCell="A12" activePane="bottomLeft" state="frozen"/>
      <selection pane="bottomLeft" activeCell="L60" sqref="L60"/>
    </sheetView>
  </sheetViews>
  <sheetFormatPr defaultRowHeight="12.75" x14ac:dyDescent="0.2"/>
  <cols>
    <col min="1" max="1" width="39" customWidth="1"/>
    <col min="5" max="5" width="9" customWidth="1"/>
  </cols>
  <sheetData>
    <row r="1" spans="1:19" ht="22.5" customHeight="1" x14ac:dyDescent="0.25">
      <c r="A1" s="19" t="s">
        <v>196</v>
      </c>
      <c r="B1" s="20">
        <v>2020</v>
      </c>
      <c r="C1" s="20">
        <v>2021</v>
      </c>
      <c r="D1" s="20">
        <v>2022</v>
      </c>
      <c r="E1" s="20">
        <v>2023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"/>
      <c r="Q1" s="2"/>
      <c r="R1" s="2"/>
      <c r="S1" s="2"/>
    </row>
    <row r="2" spans="1:19" ht="15" x14ac:dyDescent="0.25">
      <c r="A2" s="5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5">
      <c r="A5" s="22" t="s">
        <v>176</v>
      </c>
      <c r="B5" s="13">
        <v>2020</v>
      </c>
      <c r="C5" s="13">
        <v>2021</v>
      </c>
      <c r="D5" s="13">
        <v>2022</v>
      </c>
      <c r="E5" s="13">
        <v>2023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3" t="s">
        <v>23</v>
      </c>
      <c r="O5" s="13" t="s">
        <v>24</v>
      </c>
      <c r="P5" s="2"/>
      <c r="Q5" s="2"/>
      <c r="R5" s="2"/>
      <c r="S5" s="2"/>
    </row>
    <row r="6" spans="1:19" ht="15" x14ac:dyDescent="0.25">
      <c r="A6" s="2" t="s">
        <v>138</v>
      </c>
      <c r="B6" s="16">
        <v>495.375</v>
      </c>
      <c r="C6" s="16">
        <v>495.78899999999999</v>
      </c>
      <c r="D6" s="16">
        <v>670.04200000000003</v>
      </c>
      <c r="E6" s="16">
        <v>967.94299999999998</v>
      </c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</row>
    <row r="7" spans="1:19" ht="15" x14ac:dyDescent="0.25">
      <c r="A7" s="2" t="s">
        <v>139</v>
      </c>
      <c r="B7" s="16">
        <v>36.631999999999998</v>
      </c>
      <c r="C7" s="16">
        <v>44.006999999999998</v>
      </c>
      <c r="D7" s="16">
        <v>392.17200000000003</v>
      </c>
      <c r="E7" s="16">
        <v>642.29999999999995</v>
      </c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2"/>
      <c r="S7" s="2"/>
    </row>
    <row r="8" spans="1:19" ht="15" x14ac:dyDescent="0.25">
      <c r="A8" s="2" t="s">
        <v>140</v>
      </c>
      <c r="B8" s="16">
        <v>84.082999999999998</v>
      </c>
      <c r="C8" s="16">
        <v>86.968000000000004</v>
      </c>
      <c r="D8" s="16">
        <v>211.68</v>
      </c>
      <c r="E8" s="16">
        <v>287.28899999999999</v>
      </c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</row>
    <row r="9" spans="1:19" ht="15" x14ac:dyDescent="0.25">
      <c r="A9" s="2" t="s">
        <v>141</v>
      </c>
      <c r="B9" s="16">
        <f>851.462-B6-B7-B8</f>
        <v>235.37199999999999</v>
      </c>
      <c r="C9" s="16">
        <f>823.356-C6-C7-C8</f>
        <v>196.59199999999998</v>
      </c>
      <c r="D9" s="16">
        <f>1641.003-D6-D7-D8</f>
        <v>367.10899999999987</v>
      </c>
      <c r="E9" s="16">
        <f>2348.9-E6-E7-E8</f>
        <v>451.36800000000017</v>
      </c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2"/>
    </row>
    <row r="10" spans="1:19" ht="15" x14ac:dyDescent="0.25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  <c r="Q10" s="2"/>
      <c r="R10" s="2"/>
      <c r="S10" s="2"/>
    </row>
    <row r="11" spans="1:19" ht="15" x14ac:dyDescent="0.25">
      <c r="A11" s="2" t="s">
        <v>172</v>
      </c>
      <c r="B11" s="16">
        <v>11.553000000000001</v>
      </c>
      <c r="C11" s="16">
        <v>17.044</v>
      </c>
      <c r="D11" s="16">
        <v>23.227</v>
      </c>
      <c r="E11" s="16">
        <v>27.516999999999999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  <c r="Q11" s="2"/>
      <c r="R11" s="2"/>
      <c r="S11" s="2"/>
    </row>
    <row r="12" spans="1:19" ht="15" x14ac:dyDescent="0.25">
      <c r="A12" s="2" t="s">
        <v>173</v>
      </c>
      <c r="B12" s="16">
        <v>275.31700000000001</v>
      </c>
      <c r="C12" s="16">
        <v>141.01300000000001</v>
      </c>
      <c r="D12" s="16">
        <v>160.16900000000001</v>
      </c>
      <c r="E12" s="16">
        <v>270.69099999999997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2"/>
      <c r="Q12" s="2"/>
      <c r="R12" s="2"/>
      <c r="S12" s="2"/>
    </row>
    <row r="13" spans="1:19" ht="15" x14ac:dyDescent="0.25">
      <c r="A13" s="2" t="s">
        <v>120</v>
      </c>
      <c r="B13" s="16">
        <v>71.061999999999998</v>
      </c>
      <c r="C13" s="16">
        <v>134.506</v>
      </c>
      <c r="D13" s="16">
        <v>226.59</v>
      </c>
      <c r="E13" s="16">
        <v>181.846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2"/>
      <c r="Q13" s="2"/>
      <c r="R13" s="2"/>
      <c r="S13" s="2"/>
    </row>
    <row r="14" spans="1:19" ht="15" x14ac:dyDescent="0.25">
      <c r="A14" s="2" t="s">
        <v>174</v>
      </c>
      <c r="B14" s="16">
        <v>23.54</v>
      </c>
      <c r="C14" s="16">
        <v>82.198999999999998</v>
      </c>
      <c r="D14" s="16">
        <v>277.34399999999999</v>
      </c>
      <c r="E14" s="16">
        <v>325.07</v>
      </c>
      <c r="F14" s="11">
        <f>E14</f>
        <v>325.07</v>
      </c>
      <c r="G14" s="11">
        <f t="shared" ref="G14:O14" si="0">F14</f>
        <v>325.07</v>
      </c>
      <c r="H14" s="11">
        <f t="shared" si="0"/>
        <v>325.07</v>
      </c>
      <c r="I14" s="11">
        <f t="shared" si="0"/>
        <v>325.07</v>
      </c>
      <c r="J14" s="11">
        <f t="shared" si="0"/>
        <v>325.07</v>
      </c>
      <c r="K14" s="11">
        <f t="shared" si="0"/>
        <v>325.07</v>
      </c>
      <c r="L14" s="11">
        <f t="shared" si="0"/>
        <v>325.07</v>
      </c>
      <c r="M14" s="11">
        <f t="shared" si="0"/>
        <v>325.07</v>
      </c>
      <c r="N14" s="11">
        <f t="shared" si="0"/>
        <v>325.07</v>
      </c>
      <c r="O14" s="11">
        <f t="shared" si="0"/>
        <v>325.07</v>
      </c>
      <c r="P14" s="2"/>
      <c r="Q14" s="2"/>
      <c r="R14" s="2"/>
      <c r="S14" s="2"/>
    </row>
    <row r="15" spans="1:19" ht="15" x14ac:dyDescent="0.25">
      <c r="A15" s="2" t="s">
        <v>175</v>
      </c>
      <c r="B15" s="16">
        <f>381.474-B11-B12-B13-B14</f>
        <v>1.9999999999882334E-3</v>
      </c>
      <c r="C15" s="16">
        <f>381.072-C11-C12-C13-C14</f>
        <v>6.3100000000000165</v>
      </c>
      <c r="D15" s="16">
        <f>714.581-D11-D12-D13-D14</f>
        <v>27.251000000000033</v>
      </c>
      <c r="E15" s="16">
        <f>839.44-E11-E12-E13-E14</f>
        <v>34.315999999999974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  <c r="Q15" s="2"/>
      <c r="R15" s="2"/>
      <c r="S15" s="2"/>
    </row>
    <row r="16" spans="1:19" ht="15" x14ac:dyDescent="0.25">
      <c r="A16" s="14" t="s">
        <v>177</v>
      </c>
      <c r="B16" s="15">
        <f>SUM(B6:B15)</f>
        <v>1232.9359999999997</v>
      </c>
      <c r="C16" s="15">
        <f>SUM(C6:C15)</f>
        <v>1204.4279999999999</v>
      </c>
      <c r="D16" s="15">
        <f>SUM(D6:D15)</f>
        <v>2355.5840000000003</v>
      </c>
      <c r="E16" s="15">
        <f>SUM(E6:E15)</f>
        <v>3188.3399999999997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"/>
      <c r="Q16" s="2"/>
      <c r="R16" s="2"/>
      <c r="S16" s="2"/>
    </row>
    <row r="17" spans="1:19" ht="15" x14ac:dyDescent="0.25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2"/>
      <c r="R17" s="2"/>
      <c r="S17" s="2"/>
    </row>
    <row r="18" spans="1:19" ht="15" x14ac:dyDescent="0.25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2"/>
      <c r="R18" s="2"/>
      <c r="S18" s="2"/>
    </row>
    <row r="19" spans="1:19" ht="15" x14ac:dyDescent="0.25">
      <c r="A19" s="2" t="s">
        <v>181</v>
      </c>
      <c r="B19" s="24">
        <f>B21-B20</f>
        <v>149.96600000000001</v>
      </c>
      <c r="C19" s="24">
        <f>C21-C20</f>
        <v>76.13600000000001</v>
      </c>
      <c r="D19" s="24">
        <f>D21-D20</f>
        <v>23.996000000000009</v>
      </c>
      <c r="E19" s="24">
        <f>E21-E20</f>
        <v>61.213000000000022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2"/>
      <c r="Q19" s="2"/>
      <c r="R19" s="2"/>
      <c r="S19" s="2"/>
    </row>
    <row r="20" spans="1:19" ht="15" x14ac:dyDescent="0.25">
      <c r="A20" s="2" t="s">
        <v>178</v>
      </c>
      <c r="B20" s="16">
        <v>23.524999999999999</v>
      </c>
      <c r="C20" s="16">
        <v>83.706000000000003</v>
      </c>
      <c r="D20" s="16">
        <v>139.345</v>
      </c>
      <c r="E20" s="16">
        <v>153.59299999999999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2"/>
      <c r="Q20" s="2"/>
      <c r="R20" s="2"/>
      <c r="S20" s="2"/>
    </row>
    <row r="21" spans="1:19" ht="15" x14ac:dyDescent="0.25">
      <c r="A21" s="5" t="s">
        <v>179</v>
      </c>
      <c r="B21" s="32">
        <v>173.49100000000001</v>
      </c>
      <c r="C21" s="32">
        <v>159.84200000000001</v>
      </c>
      <c r="D21" s="32">
        <v>163.34100000000001</v>
      </c>
      <c r="E21" s="32">
        <v>214.80600000000001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2"/>
      <c r="Q21" s="2"/>
      <c r="R21" s="2"/>
      <c r="S21" s="2"/>
    </row>
    <row r="22" spans="1:19" ht="15" x14ac:dyDescent="0.25">
      <c r="A22" s="2" t="s">
        <v>52</v>
      </c>
      <c r="B22" s="16">
        <v>63.552999999999997</v>
      </c>
      <c r="C22" s="16">
        <v>91.152000000000001</v>
      </c>
      <c r="D22" s="16">
        <v>99.968000000000004</v>
      </c>
      <c r="E22" s="16">
        <v>90.525000000000006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2"/>
      <c r="S22" s="2"/>
    </row>
    <row r="23" spans="1:19" ht="15" x14ac:dyDescent="0.25">
      <c r="A23" s="14" t="s">
        <v>180</v>
      </c>
      <c r="B23" s="15">
        <f>B21+B22</f>
        <v>237.04400000000001</v>
      </c>
      <c r="C23" s="15">
        <f>C21+C22</f>
        <v>250.99400000000003</v>
      </c>
      <c r="D23" s="15">
        <f>D21+D22</f>
        <v>263.30900000000003</v>
      </c>
      <c r="E23" s="15">
        <f>E21+E22</f>
        <v>305.33100000000002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"/>
      <c r="Q23" s="2"/>
      <c r="R23" s="2"/>
      <c r="S23" s="2"/>
    </row>
    <row r="24" spans="1:19" ht="15" x14ac:dyDescent="0.25">
      <c r="A24" s="2"/>
      <c r="B24" s="2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2"/>
      <c r="Q24" s="2"/>
      <c r="R24" s="2"/>
      <c r="S24" s="2"/>
    </row>
    <row r="25" spans="1:19" ht="15" x14ac:dyDescent="0.25">
      <c r="A25" s="2" t="s">
        <v>117</v>
      </c>
      <c r="B25" s="16">
        <v>190.733</v>
      </c>
      <c r="C25" s="16">
        <v>267.47699999999998</v>
      </c>
      <c r="D25" s="16">
        <v>674.74300000000005</v>
      </c>
      <c r="E25" s="16">
        <v>731.49800000000005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2"/>
      <c r="Q25" s="2"/>
      <c r="R25" s="2"/>
      <c r="S25" s="2"/>
    </row>
    <row r="26" spans="1:19" ht="15" x14ac:dyDescent="0.25">
      <c r="A26" s="2" t="s">
        <v>182</v>
      </c>
      <c r="B26" s="16">
        <v>33.692</v>
      </c>
      <c r="C26" s="16">
        <v>45.31</v>
      </c>
      <c r="D26" s="16">
        <v>380.49599999999998</v>
      </c>
      <c r="E26" s="16">
        <v>774.51700000000005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  <c r="Q26" s="2"/>
      <c r="R26" s="2"/>
      <c r="S26" s="2"/>
    </row>
    <row r="27" spans="1:19" ht="15" x14ac:dyDescent="0.25">
      <c r="A27" s="2" t="s">
        <v>184</v>
      </c>
      <c r="B27" s="16">
        <f>393.942-B25-B26</f>
        <v>169.517</v>
      </c>
      <c r="C27" s="16">
        <f>469.958-C25-C26</f>
        <v>157.17100000000005</v>
      </c>
      <c r="D27" s="16">
        <f>1243.981-D25-D26</f>
        <v>188.74199999999996</v>
      </c>
      <c r="E27" s="16">
        <f>1670.876-E25-E26</f>
        <v>164.86099999999988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2"/>
      <c r="Q27" s="2"/>
      <c r="R27" s="2"/>
      <c r="S27" s="2"/>
    </row>
    <row r="28" spans="1:19" ht="15" x14ac:dyDescent="0.25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  <c r="Q28" s="2"/>
      <c r="R28" s="2"/>
      <c r="S28" s="2"/>
    </row>
    <row r="29" spans="1:19" ht="15" x14ac:dyDescent="0.25">
      <c r="A29" s="2" t="s">
        <v>115</v>
      </c>
      <c r="B29" s="16">
        <v>100.52500000000001</v>
      </c>
      <c r="C29" s="16">
        <v>79</v>
      </c>
      <c r="D29" s="16">
        <v>55.542000000000002</v>
      </c>
      <c r="E29" s="16">
        <v>129.971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9" ht="15" x14ac:dyDescent="0.25">
      <c r="A30" s="2" t="s">
        <v>183</v>
      </c>
      <c r="B30" s="16">
        <v>4.3070000000000004</v>
      </c>
      <c r="C30" s="16">
        <v>5.9429999999999996</v>
      </c>
      <c r="D30" s="16">
        <v>41.295000000000002</v>
      </c>
      <c r="E30" s="16">
        <v>36.386000000000003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2"/>
      <c r="Q30" s="2"/>
      <c r="R30" s="2"/>
      <c r="S30" s="2"/>
    </row>
    <row r="31" spans="1:19" ht="15" x14ac:dyDescent="0.25">
      <c r="A31" s="2" t="s">
        <v>185</v>
      </c>
      <c r="B31" s="16">
        <v>479.67599999999999</v>
      </c>
      <c r="C31" s="16">
        <v>342.125</v>
      </c>
      <c r="D31" s="16">
        <v>690.58600000000001</v>
      </c>
      <c r="E31" s="16">
        <v>948.74300000000005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2"/>
      <c r="Q31" s="2"/>
      <c r="R31" s="2"/>
      <c r="S31" s="2"/>
    </row>
    <row r="32" spans="1:19" ht="15" x14ac:dyDescent="0.25">
      <c r="A32" s="2" t="s">
        <v>186</v>
      </c>
      <c r="B32" s="16">
        <f>601.949-B29-B30-B31</f>
        <v>17.440999999999974</v>
      </c>
      <c r="C32" s="16">
        <f>483.475-C29-C30-C31</f>
        <v>56.407000000000039</v>
      </c>
      <c r="D32" s="16">
        <f>848.294-D29-D30-D31</f>
        <v>60.870999999999981</v>
      </c>
      <c r="E32" s="16">
        <f>1212.131-E29-E30-E31</f>
        <v>97.031000000000063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2"/>
      <c r="Q32" s="2"/>
      <c r="R32" s="2"/>
      <c r="S32" s="2"/>
    </row>
    <row r="33" spans="1:19" ht="15" x14ac:dyDescent="0.25">
      <c r="A33" s="14" t="s">
        <v>187</v>
      </c>
      <c r="B33" s="15">
        <f>SUM(B25:B32)</f>
        <v>995.89100000000008</v>
      </c>
      <c r="C33" s="15">
        <f>SUM(C25:C32)</f>
        <v>953.43300000000011</v>
      </c>
      <c r="D33" s="15">
        <f>SUM(D25:D32)</f>
        <v>2092.2750000000001</v>
      </c>
      <c r="E33" s="15">
        <f>SUM(E25:E32)</f>
        <v>2883.0070000000001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"/>
      <c r="Q33" s="2"/>
      <c r="R33" s="2"/>
      <c r="S33" s="2"/>
    </row>
    <row r="34" spans="1:19" ht="15" x14ac:dyDescent="0.25">
      <c r="A34" s="6" t="s">
        <v>188</v>
      </c>
      <c r="B34" s="12">
        <f>B23+B33</f>
        <v>1232.9350000000002</v>
      </c>
      <c r="C34" s="12">
        <f>C23+C33</f>
        <v>1204.4270000000001</v>
      </c>
      <c r="D34" s="12">
        <f>D23+D33</f>
        <v>2355.5840000000003</v>
      </c>
      <c r="E34" s="12">
        <f>E23+E33</f>
        <v>3188.3380000000002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2"/>
      <c r="Q34" s="2"/>
      <c r="R34" s="2"/>
      <c r="S34" s="2"/>
    </row>
    <row r="35" spans="1:19" ht="15" x14ac:dyDescent="0.25">
      <c r="A35" s="2"/>
      <c r="B35" s="2"/>
      <c r="C35" s="2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  <c r="Q35" s="2"/>
      <c r="R35" s="2"/>
      <c r="S35" s="2"/>
    </row>
    <row r="36" spans="1:19" ht="15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2"/>
      <c r="R36" s="2"/>
      <c r="S36" s="2"/>
    </row>
    <row r="37" spans="1:19" ht="15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"/>
      <c r="Q37" s="2"/>
      <c r="R37" s="2"/>
      <c r="S37" s="2"/>
    </row>
    <row r="38" spans="1:19" ht="15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2"/>
      <c r="R38" s="2"/>
      <c r="S38" s="2"/>
    </row>
    <row r="39" spans="1:19" ht="15" x14ac:dyDescent="0.25">
      <c r="A39" s="2"/>
      <c r="B39" s="2"/>
      <c r="C39" s="2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2"/>
      <c r="Q39" s="2"/>
      <c r="R39" s="2"/>
      <c r="S39" s="2"/>
    </row>
    <row r="40" spans="1:19" ht="15" x14ac:dyDescent="0.25">
      <c r="A40" s="22" t="s">
        <v>114</v>
      </c>
      <c r="B40" s="13">
        <v>2020</v>
      </c>
      <c r="C40" s="13">
        <v>2021</v>
      </c>
      <c r="D40" s="13">
        <v>2022</v>
      </c>
      <c r="E40" s="13">
        <v>2023</v>
      </c>
      <c r="F40" s="13" t="s">
        <v>15</v>
      </c>
      <c r="G40" s="13" t="s">
        <v>16</v>
      </c>
      <c r="H40" s="13" t="s">
        <v>17</v>
      </c>
      <c r="I40" s="13" t="s">
        <v>18</v>
      </c>
      <c r="J40" s="13" t="s">
        <v>19</v>
      </c>
      <c r="K40" s="13" t="s">
        <v>20</v>
      </c>
      <c r="L40" s="13" t="s">
        <v>21</v>
      </c>
      <c r="M40" s="13" t="s">
        <v>22</v>
      </c>
      <c r="N40" s="13" t="s">
        <v>23</v>
      </c>
      <c r="O40" s="13" t="s">
        <v>24</v>
      </c>
      <c r="P40" s="2"/>
      <c r="Q40" s="2"/>
      <c r="R40" s="2"/>
      <c r="S40" s="2"/>
    </row>
    <row r="41" spans="1:19" ht="15" x14ac:dyDescent="0.25">
      <c r="A41" s="2" t="s">
        <v>189</v>
      </c>
      <c r="B41" s="16">
        <f>38.938+0.876+60.71</f>
        <v>100.524</v>
      </c>
      <c r="C41" s="16">
        <f>77.531+1.087+0.382</f>
        <v>79.000000000000014</v>
      </c>
      <c r="D41" s="16">
        <v>43</v>
      </c>
      <c r="E41" s="16">
        <v>118</v>
      </c>
      <c r="F41" s="11">
        <f t="shared" ref="F41:O41" si="1">E41</f>
        <v>118</v>
      </c>
      <c r="G41" s="11">
        <f t="shared" si="1"/>
        <v>118</v>
      </c>
      <c r="H41" s="11">
        <f t="shared" si="1"/>
        <v>118</v>
      </c>
      <c r="I41" s="11">
        <f t="shared" si="1"/>
        <v>118</v>
      </c>
      <c r="J41" s="11">
        <f t="shared" si="1"/>
        <v>118</v>
      </c>
      <c r="K41" s="11">
        <f t="shared" si="1"/>
        <v>118</v>
      </c>
      <c r="L41" s="11">
        <f t="shared" si="1"/>
        <v>118</v>
      </c>
      <c r="M41" s="11">
        <f t="shared" si="1"/>
        <v>118</v>
      </c>
      <c r="N41" s="11">
        <f t="shared" si="1"/>
        <v>118</v>
      </c>
      <c r="O41" s="11">
        <f t="shared" si="1"/>
        <v>118</v>
      </c>
      <c r="P41" s="2"/>
      <c r="Q41" s="2"/>
      <c r="R41" s="2"/>
      <c r="S41" s="2"/>
    </row>
    <row r="42" spans="1:19" ht="15" x14ac:dyDescent="0.25">
      <c r="A42" s="2" t="s">
        <v>116</v>
      </c>
      <c r="B42" s="16">
        <v>0</v>
      </c>
      <c r="C42" s="16">
        <v>0</v>
      </c>
      <c r="D42" s="16">
        <v>13</v>
      </c>
      <c r="E42" s="16">
        <v>12</v>
      </c>
      <c r="F42" s="11">
        <f t="shared" ref="F42:O42" si="2">E42</f>
        <v>12</v>
      </c>
      <c r="G42" s="11">
        <f t="shared" si="2"/>
        <v>12</v>
      </c>
      <c r="H42" s="11">
        <f t="shared" si="2"/>
        <v>12</v>
      </c>
      <c r="I42" s="11">
        <f t="shared" si="2"/>
        <v>12</v>
      </c>
      <c r="J42" s="11">
        <f t="shared" si="2"/>
        <v>12</v>
      </c>
      <c r="K42" s="11">
        <f t="shared" si="2"/>
        <v>12</v>
      </c>
      <c r="L42" s="11">
        <f t="shared" si="2"/>
        <v>12</v>
      </c>
      <c r="M42" s="11">
        <f t="shared" si="2"/>
        <v>12</v>
      </c>
      <c r="N42" s="11">
        <f t="shared" si="2"/>
        <v>12</v>
      </c>
      <c r="O42" s="11">
        <f t="shared" si="2"/>
        <v>12</v>
      </c>
      <c r="P42" s="2"/>
      <c r="Q42" s="2"/>
      <c r="R42" s="2"/>
      <c r="S42" s="2"/>
    </row>
    <row r="43" spans="1:19" ht="15" x14ac:dyDescent="0.25">
      <c r="A43" s="2" t="s">
        <v>183</v>
      </c>
      <c r="B43" s="16">
        <v>4.3070000000000004</v>
      </c>
      <c r="C43" s="16">
        <v>5.9429999999999996</v>
      </c>
      <c r="D43" s="16">
        <v>42</v>
      </c>
      <c r="E43" s="16">
        <v>36.386000000000003</v>
      </c>
      <c r="F43" s="11">
        <f t="shared" ref="F43:O43" si="3">E43</f>
        <v>36.386000000000003</v>
      </c>
      <c r="G43" s="11">
        <f t="shared" si="3"/>
        <v>36.386000000000003</v>
      </c>
      <c r="H43" s="11">
        <f t="shared" si="3"/>
        <v>36.386000000000003</v>
      </c>
      <c r="I43" s="11">
        <f t="shared" si="3"/>
        <v>36.386000000000003</v>
      </c>
      <c r="J43" s="11">
        <f t="shared" si="3"/>
        <v>36.386000000000003</v>
      </c>
      <c r="K43" s="11">
        <f t="shared" si="3"/>
        <v>36.386000000000003</v>
      </c>
      <c r="L43" s="11">
        <f t="shared" si="3"/>
        <v>36.386000000000003</v>
      </c>
      <c r="M43" s="11">
        <f t="shared" si="3"/>
        <v>36.386000000000003</v>
      </c>
      <c r="N43" s="11">
        <f t="shared" si="3"/>
        <v>36.386000000000003</v>
      </c>
      <c r="O43" s="11">
        <f t="shared" si="3"/>
        <v>36.386000000000003</v>
      </c>
      <c r="P43" s="2"/>
      <c r="Q43" s="2"/>
      <c r="R43" s="2"/>
      <c r="S43" s="2"/>
    </row>
    <row r="44" spans="1:19" ht="15" x14ac:dyDescent="0.25">
      <c r="A44" s="2"/>
      <c r="B44" s="16"/>
      <c r="C44" s="16"/>
      <c r="D44" s="16"/>
      <c r="E44" s="16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2"/>
      <c r="R44" s="2"/>
      <c r="S44" s="2"/>
    </row>
    <row r="45" spans="1:19" ht="15" x14ac:dyDescent="0.25">
      <c r="A45" s="2" t="s">
        <v>190</v>
      </c>
      <c r="B45" s="16">
        <f>189.272+1.461</f>
        <v>190.733</v>
      </c>
      <c r="C45" s="16">
        <f>129.14+2.148+136.189</f>
        <v>267.47699999999998</v>
      </c>
      <c r="D45" s="16">
        <v>263</v>
      </c>
      <c r="E45" s="16">
        <v>317</v>
      </c>
      <c r="F45" s="11">
        <f t="shared" ref="F45:O45" si="4">E45</f>
        <v>317</v>
      </c>
      <c r="G45" s="11">
        <f t="shared" si="4"/>
        <v>317</v>
      </c>
      <c r="H45" s="11">
        <f t="shared" si="4"/>
        <v>317</v>
      </c>
      <c r="I45" s="11">
        <f t="shared" si="4"/>
        <v>317</v>
      </c>
      <c r="J45" s="11">
        <f t="shared" si="4"/>
        <v>317</v>
      </c>
      <c r="K45" s="11">
        <f t="shared" si="4"/>
        <v>317</v>
      </c>
      <c r="L45" s="11">
        <f t="shared" si="4"/>
        <v>317</v>
      </c>
      <c r="M45" s="11">
        <f t="shared" si="4"/>
        <v>317</v>
      </c>
      <c r="N45" s="11">
        <f t="shared" si="4"/>
        <v>317</v>
      </c>
      <c r="O45" s="11">
        <f t="shared" si="4"/>
        <v>317</v>
      </c>
      <c r="P45" s="2"/>
      <c r="Q45" s="2"/>
      <c r="R45" s="2"/>
      <c r="S45" s="2"/>
    </row>
    <row r="46" spans="1:19" ht="15" x14ac:dyDescent="0.25">
      <c r="A46" s="2" t="s">
        <v>118</v>
      </c>
      <c r="B46" s="16">
        <v>0</v>
      </c>
      <c r="C46" s="16">
        <v>0</v>
      </c>
      <c r="D46" s="16">
        <v>412</v>
      </c>
      <c r="E46" s="16">
        <v>414</v>
      </c>
      <c r="F46" s="11">
        <f t="shared" ref="F46:O46" si="5">E46</f>
        <v>414</v>
      </c>
      <c r="G46" s="11">
        <f t="shared" si="5"/>
        <v>414</v>
      </c>
      <c r="H46" s="11">
        <f t="shared" si="5"/>
        <v>414</v>
      </c>
      <c r="I46" s="11">
        <f t="shared" si="5"/>
        <v>414</v>
      </c>
      <c r="J46" s="11">
        <f t="shared" si="5"/>
        <v>414</v>
      </c>
      <c r="K46" s="11">
        <f t="shared" si="5"/>
        <v>414</v>
      </c>
      <c r="L46" s="11">
        <f t="shared" si="5"/>
        <v>414</v>
      </c>
      <c r="M46" s="11">
        <f t="shared" si="5"/>
        <v>414</v>
      </c>
      <c r="N46" s="11">
        <f t="shared" si="5"/>
        <v>414</v>
      </c>
      <c r="O46" s="11">
        <f t="shared" si="5"/>
        <v>414</v>
      </c>
      <c r="P46" s="2"/>
      <c r="Q46" s="2"/>
      <c r="R46" s="2"/>
      <c r="S46" s="2"/>
    </row>
    <row r="47" spans="1:19" ht="15" x14ac:dyDescent="0.25">
      <c r="A47" s="2" t="s">
        <v>182</v>
      </c>
      <c r="B47" s="16">
        <v>33.692</v>
      </c>
      <c r="C47" s="16">
        <v>45.31</v>
      </c>
      <c r="D47" s="16">
        <v>380.49599999999998</v>
      </c>
      <c r="E47" s="16">
        <v>774.51700000000005</v>
      </c>
      <c r="F47" s="11">
        <f t="shared" ref="F47:O47" si="6">E47</f>
        <v>774.51700000000005</v>
      </c>
      <c r="G47" s="11">
        <f t="shared" si="6"/>
        <v>774.51700000000005</v>
      </c>
      <c r="H47" s="11">
        <f t="shared" si="6"/>
        <v>774.51700000000005</v>
      </c>
      <c r="I47" s="11">
        <f t="shared" si="6"/>
        <v>774.51700000000005</v>
      </c>
      <c r="J47" s="11">
        <f t="shared" si="6"/>
        <v>774.51700000000005</v>
      </c>
      <c r="K47" s="11">
        <f t="shared" si="6"/>
        <v>774.51700000000005</v>
      </c>
      <c r="L47" s="11">
        <f t="shared" si="6"/>
        <v>774.51700000000005</v>
      </c>
      <c r="M47" s="11">
        <f t="shared" si="6"/>
        <v>774.51700000000005</v>
      </c>
      <c r="N47" s="11">
        <f t="shared" si="6"/>
        <v>774.51700000000005</v>
      </c>
      <c r="O47" s="11">
        <f t="shared" si="6"/>
        <v>774.51700000000005</v>
      </c>
      <c r="P47" s="2"/>
      <c r="Q47" s="2"/>
      <c r="R47" s="2"/>
      <c r="S47" s="2"/>
    </row>
    <row r="48" spans="1:19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x14ac:dyDescent="0.25">
      <c r="A49" s="2" t="s">
        <v>191</v>
      </c>
      <c r="B49" s="16">
        <v>60.71</v>
      </c>
      <c r="C49" s="16">
        <v>0.38200000000000001</v>
      </c>
      <c r="D49" s="16">
        <v>0</v>
      </c>
      <c r="E49" s="16">
        <v>0</v>
      </c>
      <c r="F49" s="11">
        <f t="shared" ref="F49:O49" si="7">E49</f>
        <v>0</v>
      </c>
      <c r="G49" s="11">
        <f t="shared" si="7"/>
        <v>0</v>
      </c>
      <c r="H49" s="11">
        <f t="shared" si="7"/>
        <v>0</v>
      </c>
      <c r="I49" s="11">
        <f t="shared" si="7"/>
        <v>0</v>
      </c>
      <c r="J49" s="11">
        <f t="shared" si="7"/>
        <v>0</v>
      </c>
      <c r="K49" s="11">
        <f t="shared" si="7"/>
        <v>0</v>
      </c>
      <c r="L49" s="11">
        <f t="shared" si="7"/>
        <v>0</v>
      </c>
      <c r="M49" s="11">
        <f t="shared" si="7"/>
        <v>0</v>
      </c>
      <c r="N49" s="11">
        <f t="shared" si="7"/>
        <v>0</v>
      </c>
      <c r="O49" s="11">
        <f t="shared" si="7"/>
        <v>0</v>
      </c>
      <c r="P49" s="2"/>
      <c r="Q49" s="2"/>
      <c r="R49" s="2"/>
      <c r="S49" s="2"/>
    </row>
    <row r="50" spans="1:19" ht="15" x14ac:dyDescent="0.25">
      <c r="A50" s="2" t="s">
        <v>192</v>
      </c>
      <c r="B50" s="16">
        <v>0</v>
      </c>
      <c r="C50" s="16">
        <v>136.18899999999999</v>
      </c>
      <c r="D50" s="16">
        <v>151</v>
      </c>
      <c r="E50" s="16">
        <v>164</v>
      </c>
      <c r="F50" s="11">
        <f t="shared" ref="F50:O50" si="8">E50</f>
        <v>164</v>
      </c>
      <c r="G50" s="11">
        <f t="shared" si="8"/>
        <v>164</v>
      </c>
      <c r="H50" s="11">
        <f t="shared" si="8"/>
        <v>164</v>
      </c>
      <c r="I50" s="11">
        <f t="shared" si="8"/>
        <v>164</v>
      </c>
      <c r="J50" s="11">
        <f t="shared" si="8"/>
        <v>164</v>
      </c>
      <c r="K50" s="11">
        <f t="shared" si="8"/>
        <v>164</v>
      </c>
      <c r="L50" s="11">
        <f t="shared" si="8"/>
        <v>164</v>
      </c>
      <c r="M50" s="11">
        <f t="shared" si="8"/>
        <v>164</v>
      </c>
      <c r="N50" s="11">
        <f t="shared" si="8"/>
        <v>164</v>
      </c>
      <c r="O50" s="11">
        <f t="shared" si="8"/>
        <v>164</v>
      </c>
      <c r="P50" s="2"/>
      <c r="Q50" s="2"/>
      <c r="R50" s="2"/>
      <c r="S50" s="2"/>
    </row>
    <row r="51" spans="1:19" ht="15" x14ac:dyDescent="0.25">
      <c r="A51" s="2" t="s">
        <v>124</v>
      </c>
      <c r="B51" s="2"/>
      <c r="C51" s="16"/>
      <c r="D51" s="16">
        <v>-7</v>
      </c>
      <c r="E51" s="16">
        <v>-6</v>
      </c>
      <c r="F51" s="11">
        <f t="shared" ref="F51:O51" si="9">E51</f>
        <v>-6</v>
      </c>
      <c r="G51" s="11">
        <f t="shared" si="9"/>
        <v>-6</v>
      </c>
      <c r="H51" s="11">
        <f t="shared" si="9"/>
        <v>-6</v>
      </c>
      <c r="I51" s="11">
        <f t="shared" si="9"/>
        <v>-6</v>
      </c>
      <c r="J51" s="11">
        <f t="shared" si="9"/>
        <v>-6</v>
      </c>
      <c r="K51" s="11">
        <f t="shared" si="9"/>
        <v>-6</v>
      </c>
      <c r="L51" s="11">
        <f t="shared" si="9"/>
        <v>-6</v>
      </c>
      <c r="M51" s="11">
        <f t="shared" si="9"/>
        <v>-6</v>
      </c>
      <c r="N51" s="11">
        <f t="shared" si="9"/>
        <v>-6</v>
      </c>
      <c r="O51" s="11">
        <f t="shared" si="9"/>
        <v>-6</v>
      </c>
      <c r="P51" s="2"/>
      <c r="Q51" s="2"/>
      <c r="R51" s="2"/>
      <c r="S51" s="2"/>
    </row>
    <row r="52" spans="1:19" ht="15" x14ac:dyDescent="0.25">
      <c r="A52" s="14" t="s">
        <v>119</v>
      </c>
      <c r="B52" s="15">
        <f t="shared" ref="B52:O52" si="10">B41+B42+B45+B46-B49-B50-B51</f>
        <v>230.547</v>
      </c>
      <c r="C52" s="15">
        <f t="shared" si="10"/>
        <v>209.90599999999998</v>
      </c>
      <c r="D52" s="15">
        <f t="shared" si="10"/>
        <v>587</v>
      </c>
      <c r="E52" s="15">
        <f t="shared" si="10"/>
        <v>703</v>
      </c>
      <c r="F52" s="15">
        <f t="shared" si="10"/>
        <v>703</v>
      </c>
      <c r="G52" s="15">
        <f t="shared" si="10"/>
        <v>703</v>
      </c>
      <c r="H52" s="15">
        <f t="shared" si="10"/>
        <v>703</v>
      </c>
      <c r="I52" s="15">
        <f t="shared" si="10"/>
        <v>703</v>
      </c>
      <c r="J52" s="15">
        <f t="shared" si="10"/>
        <v>703</v>
      </c>
      <c r="K52" s="15">
        <f t="shared" si="10"/>
        <v>703</v>
      </c>
      <c r="L52" s="15">
        <f t="shared" si="10"/>
        <v>703</v>
      </c>
      <c r="M52" s="15">
        <f t="shared" si="10"/>
        <v>703</v>
      </c>
      <c r="N52" s="15">
        <f t="shared" si="10"/>
        <v>703</v>
      </c>
      <c r="O52" s="15">
        <f t="shared" si="10"/>
        <v>703</v>
      </c>
      <c r="P52" s="2"/>
      <c r="Q52" s="2"/>
      <c r="R52" s="2"/>
      <c r="S52" s="2"/>
    </row>
    <row r="53" spans="1:19" ht="15" x14ac:dyDescent="0.25">
      <c r="A53" s="6" t="s">
        <v>125</v>
      </c>
      <c r="B53" s="12">
        <f t="shared" ref="B53:O53" si="11">B41+B42+B43+B45+B46+B47-B49-B50-B51</f>
        <v>268.54600000000005</v>
      </c>
      <c r="C53" s="12">
        <f t="shared" si="11"/>
        <v>261.15899999999999</v>
      </c>
      <c r="D53" s="12">
        <f t="shared" si="11"/>
        <v>1009.4960000000001</v>
      </c>
      <c r="E53" s="12">
        <f t="shared" si="11"/>
        <v>1513.903</v>
      </c>
      <c r="F53" s="12">
        <f t="shared" si="11"/>
        <v>1513.903</v>
      </c>
      <c r="G53" s="12">
        <f t="shared" si="11"/>
        <v>1513.903</v>
      </c>
      <c r="H53" s="12">
        <f t="shared" si="11"/>
        <v>1513.903</v>
      </c>
      <c r="I53" s="12">
        <f t="shared" si="11"/>
        <v>1513.903</v>
      </c>
      <c r="J53" s="12">
        <f t="shared" si="11"/>
        <v>1513.903</v>
      </c>
      <c r="K53" s="12">
        <f t="shared" si="11"/>
        <v>1513.903</v>
      </c>
      <c r="L53" s="12">
        <f t="shared" si="11"/>
        <v>1513.903</v>
      </c>
      <c r="M53" s="12">
        <f t="shared" si="11"/>
        <v>1513.903</v>
      </c>
      <c r="N53" s="12">
        <f t="shared" si="11"/>
        <v>1513.903</v>
      </c>
      <c r="O53" s="12">
        <f t="shared" si="11"/>
        <v>1513.903</v>
      </c>
      <c r="P53" s="2"/>
      <c r="Q53" s="2"/>
      <c r="R53" s="2"/>
      <c r="S53" s="2"/>
    </row>
    <row r="54" spans="1:19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" x14ac:dyDescent="0.25">
      <c r="A55" s="2" t="s">
        <v>120</v>
      </c>
      <c r="B55" s="16">
        <v>71.061999999999998</v>
      </c>
      <c r="C55" s="16">
        <v>134.506</v>
      </c>
      <c r="D55" s="16">
        <v>227</v>
      </c>
      <c r="E55" s="16">
        <v>182</v>
      </c>
      <c r="F55" s="3">
        <f t="shared" ref="F55:O55" si="12">F57-F56</f>
        <v>139.98235599642368</v>
      </c>
      <c r="G55" s="3">
        <f t="shared" si="12"/>
        <v>124.61857269235001</v>
      </c>
      <c r="H55" s="3">
        <f t="shared" si="12"/>
        <v>140.43569712666232</v>
      </c>
      <c r="I55" s="3">
        <f t="shared" si="12"/>
        <v>175.98813678071537</v>
      </c>
      <c r="J55" s="3">
        <f t="shared" si="12"/>
        <v>234.45210612081115</v>
      </c>
      <c r="K55" s="3">
        <f t="shared" si="12"/>
        <v>316.28157052139363</v>
      </c>
      <c r="L55" s="3">
        <f t="shared" si="12"/>
        <v>419.20396152390884</v>
      </c>
      <c r="M55" s="3">
        <f t="shared" si="12"/>
        <v>542.52292447612058</v>
      </c>
      <c r="N55" s="3">
        <f t="shared" si="12"/>
        <v>664.36359341895866</v>
      </c>
      <c r="O55" s="3">
        <f t="shared" si="12"/>
        <v>781.23601021684726</v>
      </c>
      <c r="P55" s="2"/>
      <c r="Q55" s="2"/>
      <c r="R55" s="2"/>
      <c r="S55" s="2"/>
    </row>
    <row r="56" spans="1:19" ht="15" x14ac:dyDescent="0.25">
      <c r="A56" s="2" t="s">
        <v>121</v>
      </c>
      <c r="B56" s="16">
        <v>-9.0540000000000003</v>
      </c>
      <c r="C56" s="16">
        <v>-22.553999999999998</v>
      </c>
      <c r="D56" s="16">
        <v>-27.728000000000002</v>
      </c>
      <c r="E56" s="16">
        <v>-54.021000000000001</v>
      </c>
      <c r="F56" s="11">
        <f t="shared" ref="F56:O56" si="13">E56</f>
        <v>-54.021000000000001</v>
      </c>
      <c r="G56" s="11">
        <f t="shared" si="13"/>
        <v>-54.021000000000001</v>
      </c>
      <c r="H56" s="11">
        <f t="shared" si="13"/>
        <v>-54.021000000000001</v>
      </c>
      <c r="I56" s="11">
        <f t="shared" si="13"/>
        <v>-54.021000000000001</v>
      </c>
      <c r="J56" s="11">
        <f t="shared" si="13"/>
        <v>-54.021000000000001</v>
      </c>
      <c r="K56" s="11">
        <f t="shared" si="13"/>
        <v>-54.021000000000001</v>
      </c>
      <c r="L56" s="11">
        <f t="shared" si="13"/>
        <v>-54.021000000000001</v>
      </c>
      <c r="M56" s="11">
        <f t="shared" si="13"/>
        <v>-54.021000000000001</v>
      </c>
      <c r="N56" s="11">
        <f t="shared" si="13"/>
        <v>-54.021000000000001</v>
      </c>
      <c r="O56" s="11">
        <f t="shared" si="13"/>
        <v>-54.021000000000001</v>
      </c>
      <c r="P56" s="2"/>
      <c r="Q56" s="2"/>
      <c r="R56" s="2"/>
      <c r="S56" s="2"/>
    </row>
    <row r="57" spans="1:19" ht="15" x14ac:dyDescent="0.25">
      <c r="A57" s="14" t="s">
        <v>122</v>
      </c>
      <c r="B57" s="15">
        <f>B55+B56</f>
        <v>62.007999999999996</v>
      </c>
      <c r="C57" s="15">
        <f>C55+C56</f>
        <v>111.952</v>
      </c>
      <c r="D57" s="15">
        <f>D55+D56</f>
        <v>199.27199999999999</v>
      </c>
      <c r="E57" s="15">
        <f>E55+E56</f>
        <v>127.979</v>
      </c>
      <c r="F57" s="15">
        <f t="shared" ref="F57:O57" si="14">F52-F59</f>
        <v>85.961355996423663</v>
      </c>
      <c r="G57" s="15">
        <f t="shared" si="14"/>
        <v>70.597572692350013</v>
      </c>
      <c r="H57" s="15">
        <f t="shared" si="14"/>
        <v>86.414697126662304</v>
      </c>
      <c r="I57" s="15">
        <f t="shared" si="14"/>
        <v>121.96713678071535</v>
      </c>
      <c r="J57" s="15">
        <f t="shared" si="14"/>
        <v>180.43110612081114</v>
      </c>
      <c r="K57" s="15">
        <f t="shared" si="14"/>
        <v>262.26057052139362</v>
      </c>
      <c r="L57" s="15">
        <f t="shared" si="14"/>
        <v>365.18296152390883</v>
      </c>
      <c r="M57" s="15">
        <f t="shared" si="14"/>
        <v>488.50192447612056</v>
      </c>
      <c r="N57" s="15">
        <f t="shared" si="14"/>
        <v>610.3425934189587</v>
      </c>
      <c r="O57" s="15">
        <f t="shared" si="14"/>
        <v>727.2150102168473</v>
      </c>
      <c r="P57" s="2"/>
      <c r="Q57" s="2"/>
      <c r="R57" s="2"/>
      <c r="S57" s="2"/>
    </row>
    <row r="58" spans="1:19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" x14ac:dyDescent="0.25">
      <c r="A59" s="6" t="s">
        <v>123</v>
      </c>
      <c r="B59" s="12">
        <f>B52-B57</f>
        <v>168.53899999999999</v>
      </c>
      <c r="C59" s="12">
        <f>C52-C57</f>
        <v>97.953999999999979</v>
      </c>
      <c r="D59" s="12">
        <f>D52-D57</f>
        <v>387.72800000000001</v>
      </c>
      <c r="E59" s="12">
        <f>E52-E57</f>
        <v>575.02099999999996</v>
      </c>
      <c r="F59" s="12">
        <f>E59+'Cash flow'!F15</f>
        <v>617.03864400357634</v>
      </c>
      <c r="G59" s="12">
        <f>F59+'Cash flow'!G15</f>
        <v>632.40242730764999</v>
      </c>
      <c r="H59" s="12">
        <f>G59+'Cash flow'!H15</f>
        <v>616.5853028733377</v>
      </c>
      <c r="I59" s="12">
        <f>H59+'Cash flow'!I15</f>
        <v>581.03286321928465</v>
      </c>
      <c r="J59" s="12">
        <f>I59+'Cash flow'!J15</f>
        <v>522.56889387918886</v>
      </c>
      <c r="K59" s="12">
        <f>J59+'Cash flow'!K15</f>
        <v>440.73942947860638</v>
      </c>
      <c r="L59" s="12">
        <f>K59+'Cash flow'!L15</f>
        <v>337.81703847609117</v>
      </c>
      <c r="M59" s="12">
        <f>L59+'Cash flow'!M15</f>
        <v>214.49807552387944</v>
      </c>
      <c r="N59" s="12">
        <f>M59+'Cash flow'!N15</f>
        <v>92.657406581041315</v>
      </c>
      <c r="O59" s="12">
        <f>N59+'Cash flow'!O15</f>
        <v>-24.215010216847247</v>
      </c>
      <c r="P59" s="2"/>
      <c r="Q59" s="2"/>
      <c r="R59" s="2"/>
      <c r="S59" s="2"/>
    </row>
    <row r="60" spans="1:19" ht="15" x14ac:dyDescent="0.25">
      <c r="A60" s="6" t="s">
        <v>127</v>
      </c>
      <c r="B60" s="12">
        <f>B53-B57</f>
        <v>206.53800000000007</v>
      </c>
      <c r="C60" s="12">
        <f>C53-C57</f>
        <v>149.20699999999999</v>
      </c>
      <c r="D60" s="12">
        <f>D53-D57</f>
        <v>810.22400000000016</v>
      </c>
      <c r="E60" s="12">
        <f>E53-E57</f>
        <v>1385.924</v>
      </c>
      <c r="F60" s="12">
        <f t="shared" ref="F60:O60" si="15">F59+F43+F47</f>
        <v>1427.9416440035764</v>
      </c>
      <c r="G60" s="12">
        <f t="shared" si="15"/>
        <v>1443.30542730765</v>
      </c>
      <c r="H60" s="12">
        <f t="shared" si="15"/>
        <v>1427.4883028733377</v>
      </c>
      <c r="I60" s="12">
        <f t="shared" si="15"/>
        <v>1391.9358632192848</v>
      </c>
      <c r="J60" s="12">
        <f t="shared" si="15"/>
        <v>1333.4718938791889</v>
      </c>
      <c r="K60" s="12">
        <f t="shared" si="15"/>
        <v>1251.6424294786066</v>
      </c>
      <c r="L60" s="12">
        <f t="shared" si="15"/>
        <v>1148.7200384760913</v>
      </c>
      <c r="M60" s="12">
        <f t="shared" si="15"/>
        <v>1025.4010755238794</v>
      </c>
      <c r="N60" s="12">
        <f t="shared" si="15"/>
        <v>903.56040658104143</v>
      </c>
      <c r="O60" s="12">
        <f t="shared" si="15"/>
        <v>786.68798978315283</v>
      </c>
      <c r="P60" s="2"/>
      <c r="Q60" s="2"/>
      <c r="R60" s="2"/>
      <c r="S60" s="2"/>
    </row>
    <row r="61" spans="1:19" ht="15" x14ac:dyDescent="0.25">
      <c r="A61" s="2"/>
      <c r="B61" s="2"/>
      <c r="C61" s="3">
        <f>C59-B59</f>
        <v>-70.585000000000008</v>
      </c>
      <c r="D61" s="3">
        <f t="shared" ref="D61:E61" si="16">D59-C59</f>
        <v>289.774</v>
      </c>
      <c r="E61" s="3">
        <f t="shared" si="16"/>
        <v>187.29299999999995</v>
      </c>
      <c r="F61" s="3">
        <f t="shared" ref="F61:H62" si="17">F59-E59</f>
        <v>42.017644003576379</v>
      </c>
      <c r="G61" s="3">
        <f t="shared" si="17"/>
        <v>15.36378330407365</v>
      </c>
      <c r="H61" s="3">
        <f t="shared" si="17"/>
        <v>-15.817124434312291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" x14ac:dyDescent="0.25">
      <c r="A62" s="2"/>
      <c r="B62" s="2"/>
      <c r="C62" s="3">
        <f>C60-B60</f>
        <v>-57.331000000000074</v>
      </c>
      <c r="D62" s="3">
        <f t="shared" ref="D62:E62" si="18">D60-C60</f>
        <v>661.01700000000017</v>
      </c>
      <c r="E62" s="3">
        <f t="shared" si="18"/>
        <v>575.69999999999982</v>
      </c>
      <c r="F62" s="3">
        <f t="shared" si="17"/>
        <v>42.017644003576379</v>
      </c>
      <c r="G62" s="3">
        <f t="shared" si="17"/>
        <v>15.36378330407365</v>
      </c>
      <c r="H62" s="3">
        <f t="shared" si="17"/>
        <v>-15.817124434312291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" x14ac:dyDescent="0.25">
      <c r="A63" s="6" t="s">
        <v>193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" x14ac:dyDescent="0.25">
      <c r="A64" s="2" t="str">
        <f t="shared" ref="A64:O64" si="19">A60</f>
        <v>IFRS 16 net debt</v>
      </c>
      <c r="B64" s="3">
        <f t="shared" si="19"/>
        <v>206.53800000000007</v>
      </c>
      <c r="C64" s="3">
        <f t="shared" si="19"/>
        <v>149.20699999999999</v>
      </c>
      <c r="D64" s="3">
        <f t="shared" si="19"/>
        <v>810.22400000000016</v>
      </c>
      <c r="E64" s="3">
        <f t="shared" si="19"/>
        <v>1385.924</v>
      </c>
      <c r="F64" s="3">
        <f t="shared" si="19"/>
        <v>1427.9416440035764</v>
      </c>
      <c r="G64" s="3">
        <f t="shared" si="19"/>
        <v>1443.30542730765</v>
      </c>
      <c r="H64" s="3">
        <f t="shared" si="19"/>
        <v>1427.4883028733377</v>
      </c>
      <c r="I64" s="3">
        <f t="shared" si="19"/>
        <v>1391.9358632192848</v>
      </c>
      <c r="J64" s="3">
        <f t="shared" si="19"/>
        <v>1333.4718938791889</v>
      </c>
      <c r="K64" s="3">
        <f t="shared" si="19"/>
        <v>1251.6424294786066</v>
      </c>
      <c r="L64" s="3">
        <f t="shared" si="19"/>
        <v>1148.7200384760913</v>
      </c>
      <c r="M64" s="3">
        <f t="shared" si="19"/>
        <v>1025.4010755238794</v>
      </c>
      <c r="N64" s="3">
        <f t="shared" si="19"/>
        <v>903.56040658104143</v>
      </c>
      <c r="O64" s="3">
        <f t="shared" si="19"/>
        <v>786.68798978315283</v>
      </c>
      <c r="P64" s="2"/>
      <c r="Q64" s="2"/>
      <c r="R64" s="2"/>
      <c r="S64" s="2"/>
    </row>
    <row r="65" spans="1:19" ht="15" x14ac:dyDescent="0.25">
      <c r="A65" s="2" t="str">
        <f>'Income statment'!A35</f>
        <v>Adj. EBITDA</v>
      </c>
      <c r="B65" s="3">
        <f>'Income statment'!B35</f>
        <v>221</v>
      </c>
      <c r="C65" s="3">
        <f>'Income statment'!C35</f>
        <v>253</v>
      </c>
      <c r="D65" s="3">
        <f>'Income statment'!D35</f>
        <v>376</v>
      </c>
      <c r="E65" s="3">
        <f>'Income statment'!E35</f>
        <v>496</v>
      </c>
      <c r="F65" s="3">
        <f>'Income statment'!F35</f>
        <v>594.39484751559723</v>
      </c>
      <c r="G65" s="3">
        <f>'Income statment'!G35</f>
        <v>659.88854585287436</v>
      </c>
      <c r="H65" s="3">
        <f>'Income statment'!H35</f>
        <v>721.7014635952047</v>
      </c>
      <c r="I65" s="3">
        <f>'Income statment'!I35</f>
        <v>780.06753437322288</v>
      </c>
      <c r="J65" s="3">
        <f>'Income statment'!J35</f>
        <v>831.99240251359004</v>
      </c>
      <c r="K65" s="3">
        <f>'Income statment'!K35</f>
        <v>883.95921568632696</v>
      </c>
      <c r="L65" s="3">
        <f>'Income statment'!L35</f>
        <v>935.4771456584441</v>
      </c>
      <c r="M65" s="3">
        <f>'Income statment'!M35</f>
        <v>987.08492575082789</v>
      </c>
      <c r="N65" s="3">
        <f>'Income statment'!N35</f>
        <v>1039.7262524807502</v>
      </c>
      <c r="O65" s="3">
        <f>'Income statment'!O35</f>
        <v>1093.7131498462038</v>
      </c>
      <c r="P65" s="2"/>
      <c r="Q65" s="2"/>
      <c r="R65" s="2"/>
      <c r="S65" s="2"/>
    </row>
    <row r="66" spans="1:19" ht="15" x14ac:dyDescent="0.25">
      <c r="A66" s="6" t="s">
        <v>194</v>
      </c>
      <c r="B66" s="64">
        <f t="shared" ref="B66:O66" si="20">B64/B65</f>
        <v>0.93456108597285104</v>
      </c>
      <c r="C66" s="64">
        <f t="shared" si="20"/>
        <v>0.58975098814229243</v>
      </c>
      <c r="D66" s="63">
        <f t="shared" si="20"/>
        <v>2.1548510638297875</v>
      </c>
      <c r="E66" s="63">
        <f t="shared" si="20"/>
        <v>2.7942016129032257</v>
      </c>
      <c r="F66" s="63">
        <f t="shared" si="20"/>
        <v>2.4023452591690013</v>
      </c>
      <c r="G66" s="63">
        <f t="shared" si="20"/>
        <v>2.1871957565837832</v>
      </c>
      <c r="H66" s="63">
        <f t="shared" si="20"/>
        <v>1.9779484660626958</v>
      </c>
      <c r="I66" s="63">
        <f t="shared" si="20"/>
        <v>1.7843786619548172</v>
      </c>
      <c r="J66" s="63">
        <f t="shared" si="20"/>
        <v>1.6027452773012643</v>
      </c>
      <c r="K66" s="63">
        <f t="shared" si="20"/>
        <v>1.4159504276527075</v>
      </c>
      <c r="L66" s="63">
        <f t="shared" si="20"/>
        <v>1.2279509379863622</v>
      </c>
      <c r="M66" s="63">
        <f t="shared" si="20"/>
        <v>1.0388174804147741</v>
      </c>
      <c r="N66" s="63">
        <f t="shared" si="20"/>
        <v>0.86903683005519783</v>
      </c>
      <c r="O66" s="63">
        <f t="shared" si="20"/>
        <v>0.71928182439223265</v>
      </c>
      <c r="P66" s="2"/>
      <c r="Q66" s="2"/>
      <c r="R66" s="2"/>
      <c r="S66" s="2"/>
    </row>
    <row r="67" spans="1:19" ht="15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2"/>
      <c r="Q67" s="2"/>
      <c r="R67" s="2"/>
      <c r="S67" s="2"/>
    </row>
    <row r="68" spans="1:19" ht="15" x14ac:dyDescent="0.25">
      <c r="A68" s="2" t="str">
        <f>'Income statment'!A45</f>
        <v>Pro forma Adj. EBITDA</v>
      </c>
      <c r="B68" s="3">
        <f>'Income statment'!B45</f>
        <v>351</v>
      </c>
      <c r="C68" s="3">
        <f>'Income statment'!C45</f>
        <v>376</v>
      </c>
      <c r="D68" s="3">
        <f>'Income statment'!D45</f>
        <v>411</v>
      </c>
      <c r="E68" s="3">
        <f>'Income statment'!E45</f>
        <v>545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  <c r="Q68" s="2"/>
      <c r="R68" s="2"/>
      <c r="S68" s="2"/>
    </row>
    <row r="69" spans="1:19" ht="15" x14ac:dyDescent="0.25">
      <c r="A69" s="6" t="s">
        <v>195</v>
      </c>
      <c r="B69" s="65">
        <v>2</v>
      </c>
      <c r="C69" s="65">
        <v>1.56</v>
      </c>
      <c r="D69" s="64">
        <f>D64/D68</f>
        <v>1.9713479318734797</v>
      </c>
      <c r="E69" s="64">
        <f>E64/E68</f>
        <v>2.5429798165137614</v>
      </c>
      <c r="F69" s="63">
        <f t="shared" ref="F69:O69" si="21">F66</f>
        <v>2.4023452591690013</v>
      </c>
      <c r="G69" s="63">
        <f t="shared" si="21"/>
        <v>2.1871957565837832</v>
      </c>
      <c r="H69" s="63">
        <f t="shared" si="21"/>
        <v>1.9779484660626958</v>
      </c>
      <c r="I69" s="63">
        <f t="shared" si="21"/>
        <v>1.7843786619548172</v>
      </c>
      <c r="J69" s="63">
        <f t="shared" si="21"/>
        <v>1.6027452773012643</v>
      </c>
      <c r="K69" s="63">
        <f t="shared" si="21"/>
        <v>1.4159504276527075</v>
      </c>
      <c r="L69" s="63">
        <f t="shared" si="21"/>
        <v>1.2279509379863622</v>
      </c>
      <c r="M69" s="63">
        <f t="shared" si="21"/>
        <v>1.0388174804147741</v>
      </c>
      <c r="N69" s="63">
        <f t="shared" si="21"/>
        <v>0.86903683005519783</v>
      </c>
      <c r="O69" s="63">
        <f t="shared" si="21"/>
        <v>0.71928182439223265</v>
      </c>
      <c r="P69" s="2"/>
      <c r="Q69" s="2"/>
      <c r="R69" s="2"/>
      <c r="S69" s="2"/>
    </row>
    <row r="70" spans="1:19" ht="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x14ac:dyDescent="0.25">
      <c r="A72" s="2" t="str">
        <f t="shared" ref="A72:O72" si="22">A59</f>
        <v>IAS 17 net debt</v>
      </c>
      <c r="B72" s="3">
        <f t="shared" si="22"/>
        <v>168.53899999999999</v>
      </c>
      <c r="C72" s="3">
        <f t="shared" si="22"/>
        <v>97.953999999999979</v>
      </c>
      <c r="D72" s="3">
        <f t="shared" si="22"/>
        <v>387.72800000000001</v>
      </c>
      <c r="E72" s="3">
        <f t="shared" si="22"/>
        <v>575.02099999999996</v>
      </c>
      <c r="F72" s="3">
        <f t="shared" si="22"/>
        <v>617.03864400357634</v>
      </c>
      <c r="G72" s="3">
        <f t="shared" si="22"/>
        <v>632.40242730764999</v>
      </c>
      <c r="H72" s="3">
        <f t="shared" si="22"/>
        <v>616.5853028733377</v>
      </c>
      <c r="I72" s="3">
        <f t="shared" si="22"/>
        <v>581.03286321928465</v>
      </c>
      <c r="J72" s="3">
        <f t="shared" si="22"/>
        <v>522.56889387918886</v>
      </c>
      <c r="K72" s="3">
        <f t="shared" si="22"/>
        <v>440.73942947860638</v>
      </c>
      <c r="L72" s="3">
        <f t="shared" si="22"/>
        <v>337.81703847609117</v>
      </c>
      <c r="M72" s="3">
        <f t="shared" si="22"/>
        <v>214.49807552387944</v>
      </c>
      <c r="N72" s="3">
        <f t="shared" si="22"/>
        <v>92.657406581041315</v>
      </c>
      <c r="O72" s="3">
        <f t="shared" si="22"/>
        <v>-24.215010216847247</v>
      </c>
      <c r="P72" s="2"/>
      <c r="Q72" s="2"/>
      <c r="R72" s="2"/>
      <c r="S72" s="2"/>
    </row>
    <row r="73" spans="1:19" ht="15" x14ac:dyDescent="0.25">
      <c r="A73" s="2" t="str">
        <f>'Income statment'!A43</f>
        <v>Adj. EBITDAaL</v>
      </c>
      <c r="B73" s="3">
        <f>'Income statment'!B43</f>
        <v>213.916</v>
      </c>
      <c r="C73" s="3">
        <f>'Income statment'!C43</f>
        <v>241.47399999999999</v>
      </c>
      <c r="D73" s="3">
        <f>'Income statment'!D43</f>
        <v>296.911</v>
      </c>
      <c r="E73" s="3">
        <f>'Income statment'!E43</f>
        <v>366.93</v>
      </c>
      <c r="F73" s="3">
        <f>'Income statment'!F43</f>
        <v>434.8590625155972</v>
      </c>
      <c r="G73" s="3">
        <f>'Income statment'!G43</f>
        <v>487.97776085287438</v>
      </c>
      <c r="H73" s="3">
        <f>'Income statment'!H43</f>
        <v>540.30317859520471</v>
      </c>
      <c r="I73" s="3">
        <f>'Income statment'!I43</f>
        <v>591.36387437322287</v>
      </c>
      <c r="J73" s="3">
        <f>'Income statment'!J43</f>
        <v>636.58867001358999</v>
      </c>
      <c r="K73" s="3">
        <f>'Income statment'!K43</f>
        <v>682.63708581132687</v>
      </c>
      <c r="L73" s="3">
        <f>'Income statment'!L43</f>
        <v>729.18356198844413</v>
      </c>
      <c r="M73" s="3">
        <f>'Income statment'!M43</f>
        <v>776.91360812072787</v>
      </c>
      <c r="N73" s="3">
        <f>'Income statment'!N43</f>
        <v>826.8922241980481</v>
      </c>
      <c r="O73" s="3">
        <f>'Income statment'!O43</f>
        <v>879.52113913067478</v>
      </c>
      <c r="P73" s="2"/>
      <c r="Q73" s="2"/>
      <c r="R73" s="2"/>
      <c r="S73" s="2"/>
    </row>
    <row r="74" spans="1:19" ht="15" x14ac:dyDescent="0.25">
      <c r="A74" s="6" t="s">
        <v>194</v>
      </c>
      <c r="B74" s="63">
        <f t="shared" ref="B74:O74" si="23">B72/B73</f>
        <v>0.78787467978084846</v>
      </c>
      <c r="C74" s="63">
        <f t="shared" si="23"/>
        <v>0.40565029775462363</v>
      </c>
      <c r="D74" s="63">
        <f t="shared" si="23"/>
        <v>1.3058728036347593</v>
      </c>
      <c r="E74" s="63">
        <f t="shared" si="23"/>
        <v>1.5671136184013299</v>
      </c>
      <c r="F74" s="63">
        <f t="shared" si="23"/>
        <v>1.4189393695375609</v>
      </c>
      <c r="G74" s="63">
        <f t="shared" si="23"/>
        <v>1.2959656731125493</v>
      </c>
      <c r="H74" s="63">
        <f t="shared" si="23"/>
        <v>1.1411839265437369</v>
      </c>
      <c r="I74" s="63">
        <f t="shared" si="23"/>
        <v>0.98253019570245492</v>
      </c>
      <c r="J74" s="63">
        <f t="shared" si="23"/>
        <v>0.82088940393493492</v>
      </c>
      <c r="K74" s="63">
        <f t="shared" si="23"/>
        <v>0.64564237519381085</v>
      </c>
      <c r="L74" s="63">
        <f t="shared" si="23"/>
        <v>0.46328120391919203</v>
      </c>
      <c r="M74" s="63">
        <f t="shared" si="23"/>
        <v>0.27608999672785711</v>
      </c>
      <c r="N74" s="63">
        <f t="shared" si="23"/>
        <v>0.11205499806326517</v>
      </c>
      <c r="O74" s="63">
        <f t="shared" si="23"/>
        <v>-2.7532038901056481E-2</v>
      </c>
      <c r="P74" s="2"/>
      <c r="Q74" s="2"/>
      <c r="R74" s="2"/>
      <c r="S74" s="2"/>
    </row>
    <row r="75" spans="1:19" ht="15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2"/>
      <c r="Q75" s="2"/>
      <c r="R75" s="2"/>
      <c r="S75" s="2"/>
    </row>
    <row r="76" spans="1:19" ht="15" x14ac:dyDescent="0.25">
      <c r="A76" s="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66"/>
      <c r="Q76" s="66"/>
      <c r="R76" s="66"/>
      <c r="S76" s="2"/>
    </row>
    <row r="77" spans="1:19" ht="15" x14ac:dyDescent="0.25">
      <c r="A77" s="2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66"/>
      <c r="Q77" s="66"/>
      <c r="R77" s="66"/>
      <c r="S77" s="2"/>
    </row>
    <row r="78" spans="1:19" ht="15" x14ac:dyDescent="0.25">
      <c r="A78" s="2"/>
      <c r="B78" s="99">
        <f>B1</f>
        <v>2020</v>
      </c>
      <c r="C78" s="99">
        <f t="shared" ref="C78:O78" si="24">C1</f>
        <v>2021</v>
      </c>
      <c r="D78" s="99">
        <f t="shared" si="24"/>
        <v>2022</v>
      </c>
      <c r="E78" s="99">
        <f t="shared" si="24"/>
        <v>2023</v>
      </c>
      <c r="F78" s="99" t="str">
        <f t="shared" si="24"/>
        <v>2024E</v>
      </c>
      <c r="G78" s="99" t="str">
        <f t="shared" si="24"/>
        <v>2025E</v>
      </c>
      <c r="H78" s="99" t="str">
        <f t="shared" si="24"/>
        <v>2026E</v>
      </c>
      <c r="I78" s="99" t="str">
        <f t="shared" si="24"/>
        <v>2027E</v>
      </c>
      <c r="J78" s="99" t="str">
        <f t="shared" si="24"/>
        <v>2028E</v>
      </c>
      <c r="K78" s="99" t="str">
        <f t="shared" si="24"/>
        <v>2029E</v>
      </c>
      <c r="L78" s="99" t="str">
        <f t="shared" si="24"/>
        <v>2030E</v>
      </c>
      <c r="M78" s="99" t="str">
        <f t="shared" si="24"/>
        <v>2031E</v>
      </c>
      <c r="N78" s="99" t="str">
        <f t="shared" si="24"/>
        <v>2032E</v>
      </c>
      <c r="O78" s="99" t="str">
        <f t="shared" si="24"/>
        <v>2033E</v>
      </c>
      <c r="P78" s="66"/>
      <c r="Q78" s="66"/>
      <c r="R78" s="66"/>
      <c r="S78" s="2"/>
    </row>
    <row r="79" spans="1:19" x14ac:dyDescent="0.2">
      <c r="A79" t="s">
        <v>256</v>
      </c>
      <c r="B79" s="100">
        <f>B69</f>
        <v>2</v>
      </c>
      <c r="C79" s="100">
        <f t="shared" ref="C79:O79" si="25">C69</f>
        <v>1.56</v>
      </c>
      <c r="D79" s="100">
        <f t="shared" si="25"/>
        <v>1.9713479318734797</v>
      </c>
      <c r="E79" s="100">
        <f t="shared" si="25"/>
        <v>2.5429798165137614</v>
      </c>
      <c r="F79" s="100">
        <f t="shared" si="25"/>
        <v>2.4023452591690013</v>
      </c>
      <c r="G79" s="100">
        <f t="shared" si="25"/>
        <v>2.1871957565837832</v>
      </c>
      <c r="H79" s="100">
        <f t="shared" si="25"/>
        <v>1.9779484660626958</v>
      </c>
      <c r="I79" s="100">
        <f t="shared" si="25"/>
        <v>1.7843786619548172</v>
      </c>
      <c r="J79" s="100">
        <f t="shared" si="25"/>
        <v>1.6027452773012643</v>
      </c>
      <c r="K79" s="100">
        <f t="shared" si="25"/>
        <v>1.4159504276527075</v>
      </c>
      <c r="L79" s="100">
        <f t="shared" si="25"/>
        <v>1.2279509379863622</v>
      </c>
      <c r="M79" s="100">
        <f t="shared" si="25"/>
        <v>1.0388174804147741</v>
      </c>
      <c r="N79" s="100">
        <f t="shared" si="25"/>
        <v>0.86903683005519783</v>
      </c>
      <c r="O79" s="100">
        <f t="shared" si="25"/>
        <v>0.71928182439223265</v>
      </c>
    </row>
    <row r="82" spans="1:19" x14ac:dyDescent="0.2">
      <c r="A82" t="s">
        <v>257</v>
      </c>
    </row>
    <row r="83" spans="1:19" x14ac:dyDescent="0.2">
      <c r="B83" s="101"/>
      <c r="C83" s="101"/>
      <c r="D83" s="101"/>
      <c r="E83" s="101"/>
      <c r="F83" s="101" t="str">
        <f t="shared" ref="F83:L83" si="26">F78</f>
        <v>2024E</v>
      </c>
      <c r="G83" s="101" t="str">
        <f t="shared" si="26"/>
        <v>2025E</v>
      </c>
      <c r="H83" s="101" t="str">
        <f t="shared" si="26"/>
        <v>2026E</v>
      </c>
      <c r="I83" s="101" t="str">
        <f t="shared" si="26"/>
        <v>2027E</v>
      </c>
      <c r="J83" s="101" t="str">
        <f t="shared" si="26"/>
        <v>2028E</v>
      </c>
      <c r="K83" s="101" t="str">
        <f t="shared" si="26"/>
        <v>2029E</v>
      </c>
      <c r="L83" s="101" t="str">
        <f t="shared" si="26"/>
        <v>2030E</v>
      </c>
    </row>
    <row r="84" spans="1:19" x14ac:dyDescent="0.2">
      <c r="E84" t="s">
        <v>258</v>
      </c>
      <c r="I84">
        <v>420</v>
      </c>
    </row>
    <row r="85" spans="1:19" x14ac:dyDescent="0.2">
      <c r="E85" t="s">
        <v>259</v>
      </c>
      <c r="F85">
        <f>102/6</f>
        <v>17</v>
      </c>
      <c r="G85">
        <f>F85</f>
        <v>17</v>
      </c>
      <c r="H85">
        <f t="shared" ref="H85:J85" si="27">G85</f>
        <v>17</v>
      </c>
      <c r="I85">
        <f t="shared" si="27"/>
        <v>17</v>
      </c>
      <c r="J85">
        <f t="shared" si="27"/>
        <v>17</v>
      </c>
    </row>
    <row r="86" spans="1:19" ht="15" x14ac:dyDescent="0.25">
      <c r="A86" s="2"/>
      <c r="B86" s="67"/>
      <c r="C86" s="67"/>
      <c r="D86" s="67"/>
      <c r="E86" t="s">
        <v>260</v>
      </c>
      <c r="G86">
        <f>56/6</f>
        <v>9.3333333333333339</v>
      </c>
      <c r="H86">
        <f>G86</f>
        <v>9.3333333333333339</v>
      </c>
      <c r="I86">
        <f t="shared" ref="I86:K86" si="28">H86</f>
        <v>9.3333333333333339</v>
      </c>
      <c r="J86">
        <f t="shared" si="28"/>
        <v>9.3333333333333339</v>
      </c>
      <c r="K86">
        <f t="shared" si="28"/>
        <v>9.3333333333333339</v>
      </c>
      <c r="M86" s="67"/>
      <c r="N86" s="67"/>
      <c r="O86" s="67"/>
      <c r="P86" s="68"/>
      <c r="Q86" s="68"/>
      <c r="R86" s="66"/>
      <c r="S86" s="2"/>
    </row>
    <row r="87" spans="1:19" ht="15" x14ac:dyDescent="0.25">
      <c r="A87" s="2"/>
      <c r="B87" s="67"/>
      <c r="C87" s="67"/>
      <c r="D87" s="67"/>
      <c r="E87" t="s">
        <v>3</v>
      </c>
      <c r="G87">
        <v>35</v>
      </c>
      <c r="M87" s="67"/>
      <c r="N87" s="67"/>
      <c r="O87" s="67"/>
      <c r="P87" s="68"/>
      <c r="Q87" s="68"/>
      <c r="R87" s="66"/>
      <c r="S87" s="2"/>
    </row>
    <row r="88" spans="1:19" ht="15" x14ac:dyDescent="0.25">
      <c r="A88" s="2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8"/>
      <c r="Q88" s="68"/>
      <c r="R88" s="66"/>
      <c r="S88" s="2"/>
    </row>
    <row r="89" spans="1:19" ht="15" x14ac:dyDescent="0.25">
      <c r="A89" s="2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8"/>
      <c r="Q89" s="68"/>
      <c r="R89" s="66"/>
      <c r="S89" s="2"/>
    </row>
    <row r="90" spans="1:19" ht="15" x14ac:dyDescent="0.25">
      <c r="A90" s="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8"/>
      <c r="Q90" s="68"/>
      <c r="R90" s="66"/>
      <c r="S90" s="2"/>
    </row>
    <row r="91" spans="1:19" ht="15" x14ac:dyDescent="0.25">
      <c r="A91" s="2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8"/>
      <c r="Q91" s="68"/>
      <c r="R91" s="66"/>
      <c r="S91" s="2"/>
    </row>
    <row r="92" spans="1:19" ht="15" x14ac:dyDescent="0.2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6"/>
      <c r="S92" s="2"/>
    </row>
    <row r="93" spans="1:19" ht="15" x14ac:dyDescent="0.2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6"/>
      <c r="S93" s="2"/>
    </row>
    <row r="94" spans="1:19" ht="15" x14ac:dyDescent="0.2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6"/>
      <c r="S94" s="2"/>
    </row>
    <row r="95" spans="1:19" ht="15" x14ac:dyDescent="0.2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6"/>
      <c r="S95" s="2"/>
    </row>
    <row r="96" spans="1:19" ht="15" x14ac:dyDescent="0.25">
      <c r="A96" s="2" t="s">
        <v>130</v>
      </c>
      <c r="B96" s="2"/>
      <c r="C96" s="2"/>
      <c r="D96" s="16"/>
      <c r="E96" s="16">
        <v>406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5" x14ac:dyDescent="0.25">
      <c r="A97" s="2" t="s">
        <v>129</v>
      </c>
      <c r="B97" s="2"/>
      <c r="C97" s="2"/>
      <c r="D97" s="16">
        <v>411</v>
      </c>
      <c r="E97" s="16">
        <v>545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5" x14ac:dyDescent="0.25">
      <c r="A98" s="2" t="s">
        <v>128</v>
      </c>
      <c r="B98" s="2"/>
      <c r="C98" s="2"/>
      <c r="D98" s="3">
        <f>D97-D96</f>
        <v>411</v>
      </c>
      <c r="E98" s="3">
        <f>E97-E96</f>
        <v>139</v>
      </c>
      <c r="F98" s="2"/>
      <c r="G98" s="2"/>
      <c r="H98" s="2"/>
      <c r="I98" s="2"/>
      <c r="J98" s="2"/>
      <c r="K98" s="2"/>
      <c r="L98" s="2"/>
      <c r="N98" s="2"/>
      <c r="O98" s="2"/>
      <c r="P98" s="2"/>
      <c r="Q98" s="2"/>
    </row>
    <row r="99" spans="1:17" ht="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N99" s="2"/>
      <c r="O99" s="2"/>
      <c r="P99" s="2"/>
      <c r="Q99" s="2"/>
    </row>
    <row r="100" spans="1:17" ht="15" x14ac:dyDescent="0.25">
      <c r="A100" s="2" t="s">
        <v>131</v>
      </c>
      <c r="B100" s="2"/>
      <c r="C100" s="2"/>
      <c r="D100" s="23" t="e">
        <f>D59/D96</f>
        <v>#DIV/0!</v>
      </c>
      <c r="E100" s="23">
        <f>E59/E96</f>
        <v>1.4163078817733989</v>
      </c>
      <c r="F100" s="2"/>
      <c r="G100" s="2"/>
      <c r="H100" s="2"/>
      <c r="I100" s="2"/>
      <c r="J100" s="2"/>
      <c r="K100" s="2"/>
      <c r="L100" s="2"/>
      <c r="N100" s="2"/>
      <c r="O100" s="2"/>
      <c r="P100" s="2"/>
      <c r="Q100" s="2"/>
    </row>
    <row r="101" spans="1:17" ht="15" x14ac:dyDescent="0.25">
      <c r="A101" s="2" t="s">
        <v>132</v>
      </c>
      <c r="B101" s="2"/>
      <c r="C101" s="2"/>
      <c r="D101" s="23">
        <f>D60/D97</f>
        <v>1.9713479318734797</v>
      </c>
      <c r="E101" s="23">
        <f>E60/E97</f>
        <v>2.5429798165137614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5" x14ac:dyDescent="0.25">
      <c r="A104" s="2"/>
      <c r="B104" s="2"/>
      <c r="C104" s="2"/>
      <c r="D104" s="2"/>
      <c r="E104" s="2"/>
      <c r="F104" s="2"/>
      <c r="G104" s="2"/>
      <c r="H104" s="2"/>
      <c r="I104" s="2" t="s">
        <v>136</v>
      </c>
      <c r="J104" s="2" t="s">
        <v>137</v>
      </c>
      <c r="K104" s="2" t="s">
        <v>4</v>
      </c>
      <c r="L104" s="2"/>
      <c r="M104" s="2"/>
      <c r="N104" s="2"/>
      <c r="O104" s="2"/>
      <c r="P104" s="2"/>
      <c r="Q104" s="2"/>
    </row>
    <row r="105" spans="1:17" ht="15" x14ac:dyDescent="0.25">
      <c r="A105" s="2"/>
      <c r="B105" s="2"/>
      <c r="C105" s="2"/>
      <c r="D105" s="2"/>
      <c r="E105" s="2"/>
      <c r="F105" s="2"/>
      <c r="G105" s="2"/>
      <c r="H105" s="2" t="s">
        <v>134</v>
      </c>
      <c r="I105" s="2">
        <v>543</v>
      </c>
      <c r="J105" s="2">
        <v>494</v>
      </c>
      <c r="K105" s="2">
        <f>I105-J105</f>
        <v>49</v>
      </c>
      <c r="L105" s="2"/>
      <c r="M105" s="2"/>
      <c r="O105" s="2">
        <v>41.088999999999999</v>
      </c>
      <c r="P105" s="2">
        <v>63.07</v>
      </c>
      <c r="Q105" s="2"/>
    </row>
    <row r="106" spans="1:17" ht="15" x14ac:dyDescent="0.25">
      <c r="A106" s="2"/>
      <c r="B106" s="2"/>
      <c r="C106" s="2"/>
      <c r="D106" s="2"/>
      <c r="E106" s="2"/>
      <c r="F106" s="2"/>
      <c r="G106" s="2"/>
      <c r="H106" s="2" t="s">
        <v>133</v>
      </c>
      <c r="I106" s="2">
        <v>545</v>
      </c>
      <c r="J106" s="2">
        <v>496</v>
      </c>
      <c r="K106" s="2">
        <f>I106-J106</f>
        <v>49</v>
      </c>
      <c r="L106" s="2"/>
      <c r="M106" s="2"/>
      <c r="O106" s="2">
        <v>38.030999999999999</v>
      </c>
      <c r="P106" s="2">
        <v>65.980999999999995</v>
      </c>
      <c r="Q106" s="2"/>
    </row>
    <row r="107" spans="1:17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>
        <f>O105+O106</f>
        <v>79.12</v>
      </c>
      <c r="P107" s="2">
        <f>P105+P106</f>
        <v>129.05099999999999</v>
      </c>
      <c r="Q107" s="2"/>
    </row>
    <row r="108" spans="1:17" x14ac:dyDescent="0.2">
      <c r="K108" t="s">
        <v>135</v>
      </c>
    </row>
    <row r="109" spans="1:17" ht="15" x14ac:dyDescent="0.25">
      <c r="I109">
        <v>545</v>
      </c>
      <c r="J109">
        <v>406</v>
      </c>
      <c r="K109" s="2">
        <f>I109-J109</f>
        <v>139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11B3-2365-4CBB-A9D8-381BDE3A32E8}">
  <dimension ref="A1:S78"/>
  <sheetViews>
    <sheetView zoomScaleNormal="100" workbookViewId="0">
      <pane ySplit="1" topLeftCell="A2" activePane="bottomLeft" state="frozen"/>
      <selection pane="bottomLeft" activeCell="E21" sqref="E21"/>
    </sheetView>
  </sheetViews>
  <sheetFormatPr defaultRowHeight="12.75" x14ac:dyDescent="0.2"/>
  <cols>
    <col min="1" max="1" width="49.42578125" bestFit="1" customWidth="1"/>
    <col min="2" max="2" width="11" bestFit="1" customWidth="1"/>
  </cols>
  <sheetData>
    <row r="1" spans="1:17" ht="22.5" customHeight="1" x14ac:dyDescent="0.25">
      <c r="A1" s="19" t="s">
        <v>111</v>
      </c>
      <c r="B1" s="20">
        <v>2020</v>
      </c>
      <c r="C1" s="20">
        <v>2021</v>
      </c>
      <c r="D1" s="20">
        <v>2022</v>
      </c>
      <c r="E1" s="20">
        <v>2023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</row>
    <row r="2" spans="1:17" ht="15" x14ac:dyDescent="0.25">
      <c r="A2" s="52" t="s">
        <v>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ht="15" x14ac:dyDescent="0.25">
      <c r="A3" s="2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7" ht="15" x14ac:dyDescent="0.25">
      <c r="A4" s="22" t="s">
        <v>144</v>
      </c>
      <c r="B4" s="13">
        <v>2020</v>
      </c>
      <c r="C4" s="13">
        <v>2021</v>
      </c>
      <c r="D4" s="13">
        <v>2022</v>
      </c>
      <c r="E4" s="13">
        <v>2023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</row>
    <row r="5" spans="1:17" ht="15" x14ac:dyDescent="0.25">
      <c r="A5" s="2" t="s">
        <v>113</v>
      </c>
      <c r="B5" s="58">
        <f t="shared" ref="B5:O5" si="0">B23</f>
        <v>105</v>
      </c>
      <c r="C5" s="58">
        <f t="shared" si="0"/>
        <v>105</v>
      </c>
      <c r="D5" s="58">
        <f t="shared" si="0"/>
        <v>107</v>
      </c>
      <c r="E5" s="58">
        <f t="shared" si="0"/>
        <v>143</v>
      </c>
      <c r="F5" s="58">
        <f t="shared" si="0"/>
        <v>185.74838984862413</v>
      </c>
      <c r="G5" s="58">
        <f t="shared" si="0"/>
        <v>235.91870292149389</v>
      </c>
      <c r="H5" s="58">
        <f t="shared" si="0"/>
        <v>290.16862969291742</v>
      </c>
      <c r="I5" s="58">
        <f t="shared" si="0"/>
        <v>332.02874539988466</v>
      </c>
      <c r="J5" s="58">
        <f t="shared" si="0"/>
        <v>373.547609291816</v>
      </c>
      <c r="K5" s="58">
        <f t="shared" si="0"/>
        <v>417.30054344582953</v>
      </c>
      <c r="L5" s="58">
        <f t="shared" si="0"/>
        <v>463.01394078044211</v>
      </c>
      <c r="M5" s="58">
        <f t="shared" si="0"/>
        <v>510.90325302681055</v>
      </c>
      <c r="N5" s="58">
        <f t="shared" si="0"/>
        <v>540.65765128999021</v>
      </c>
      <c r="O5" s="58">
        <f t="shared" si="0"/>
        <v>571.34269021816624</v>
      </c>
    </row>
    <row r="6" spans="1:17" ht="15" x14ac:dyDescent="0.25">
      <c r="A6" s="2" t="s">
        <v>147</v>
      </c>
      <c r="B6" s="60">
        <v>-3.32</v>
      </c>
      <c r="C6" s="60">
        <v>-3.48</v>
      </c>
      <c r="D6" s="60">
        <v>-26.492999999999999</v>
      </c>
      <c r="E6" s="60">
        <v>-39.284999999999997</v>
      </c>
      <c r="F6" s="58">
        <f>F28</f>
        <v>-43.213499999999996</v>
      </c>
      <c r="G6" s="58">
        <f t="shared" ref="G6:O6" si="1">G28</f>
        <v>-47.534849999999999</v>
      </c>
      <c r="H6" s="58">
        <f t="shared" si="1"/>
        <v>-52.288335000000004</v>
      </c>
      <c r="I6" s="58">
        <f t="shared" si="1"/>
        <v>-57.517168500000011</v>
      </c>
      <c r="J6" s="58">
        <f t="shared" si="1"/>
        <v>-63.268885350000019</v>
      </c>
      <c r="K6" s="58">
        <f t="shared" si="1"/>
        <v>-69.595773885000028</v>
      </c>
      <c r="L6" s="58">
        <f t="shared" si="1"/>
        <v>-76.555351273500037</v>
      </c>
      <c r="M6" s="58">
        <f t="shared" si="1"/>
        <v>-84.210886400850043</v>
      </c>
      <c r="N6" s="58">
        <f t="shared" si="1"/>
        <v>-92.63197504093506</v>
      </c>
      <c r="O6" s="58">
        <f t="shared" si="1"/>
        <v>-101.89517254502857</v>
      </c>
    </row>
    <row r="7" spans="1:17" ht="15" x14ac:dyDescent="0.25">
      <c r="A7" s="2" t="s">
        <v>148</v>
      </c>
      <c r="B7" s="60">
        <f>-24.009+3.234</f>
        <v>-20.774999999999999</v>
      </c>
      <c r="C7" s="60">
        <f>-22.525+2.53</f>
        <v>-19.994999999999997</v>
      </c>
      <c r="D7" s="60">
        <f>-61.11+7.586</f>
        <v>-53.524000000000001</v>
      </c>
      <c r="E7" s="60">
        <f>-113.901+12.144</f>
        <v>-101.75699999999999</v>
      </c>
      <c r="F7" s="58">
        <f>F37+F33</f>
        <v>-118.144165</v>
      </c>
      <c r="G7" s="58">
        <f t="shared" ref="G7:O7" si="2">G37+G33</f>
        <v>-119.40469432010728</v>
      </c>
      <c r="H7" s="58">
        <f t="shared" si="2"/>
        <v>-119.8656078192295</v>
      </c>
      <c r="I7" s="58">
        <f t="shared" si="2"/>
        <v>-119.39109408620013</v>
      </c>
      <c r="J7" s="58">
        <f t="shared" si="2"/>
        <v>-118.32452089657853</v>
      </c>
      <c r="K7" s="58">
        <f t="shared" si="2"/>
        <v>-116.57060181637566</v>
      </c>
      <c r="L7" s="58">
        <f t="shared" si="2"/>
        <v>-114.11571788435819</v>
      </c>
      <c r="M7" s="58">
        <f t="shared" si="2"/>
        <v>-111.02804615428273</v>
      </c>
      <c r="N7" s="58">
        <f t="shared" si="2"/>
        <v>-107.32847726571637</v>
      </c>
      <c r="O7" s="58">
        <f t="shared" si="2"/>
        <v>-103.67325719743124</v>
      </c>
    </row>
    <row r="8" spans="1:17" ht="15" x14ac:dyDescent="0.25">
      <c r="A8" s="2" t="s">
        <v>205</v>
      </c>
      <c r="B8" s="60">
        <v>-22.797999999999998</v>
      </c>
      <c r="C8" s="60">
        <v>-30.402999999999999</v>
      </c>
      <c r="D8" s="60">
        <v>-53.247999999999998</v>
      </c>
      <c r="E8" s="60">
        <v>-43.965000000000003</v>
      </c>
      <c r="F8" s="58">
        <f>F42</f>
        <v>-54.508845532171378</v>
      </c>
      <c r="G8" s="58">
        <f t="shared" ref="G8:O8" si="3">G42</f>
        <v>-66.05160713636829</v>
      </c>
      <c r="H8" s="58">
        <f t="shared" si="3"/>
        <v>-77.467763758338066</v>
      </c>
      <c r="I8" s="58">
        <f t="shared" si="3"/>
        <v>-88.528977872931222</v>
      </c>
      <c r="J8" s="58">
        <f t="shared" si="3"/>
        <v>-97.466082954000456</v>
      </c>
      <c r="K8" s="58">
        <f t="shared" si="3"/>
        <v>-107.49003426727921</v>
      </c>
      <c r="L8" s="58">
        <f t="shared" si="3"/>
        <v>-119.98607884002564</v>
      </c>
      <c r="M8" s="58">
        <f t="shared" si="3"/>
        <v>-134.10071527935762</v>
      </c>
      <c r="N8" s="58">
        <f t="shared" si="3"/>
        <v>-150.30078841649919</v>
      </c>
      <c r="O8" s="58">
        <f t="shared" si="3"/>
        <v>-168.56155745151094</v>
      </c>
    </row>
    <row r="9" spans="1:17" ht="15" x14ac:dyDescent="0.25">
      <c r="A9" s="2" t="s">
        <v>206</v>
      </c>
      <c r="B9" s="60">
        <f>-7.389-45.624+13.265</f>
        <v>-39.748000000000005</v>
      </c>
      <c r="C9" s="60">
        <f>0.491+249.019-5.586-201.94+0.695</f>
        <v>42.679000000000009</v>
      </c>
      <c r="D9" s="60">
        <f>-0.625+5.827-12.902+23.141-6.982+0.736</f>
        <v>9.1950000000000003</v>
      </c>
      <c r="E9" s="60">
        <f>-0.993-63.549-15.81+95.558-0.121+1.865</f>
        <v>16.950000000000003</v>
      </c>
      <c r="F9" s="58">
        <f>F46</f>
        <v>19.267921466131298</v>
      </c>
      <c r="G9" s="58">
        <f t="shared" ref="G9:O9" si="4">G46</f>
        <v>21.280133157722236</v>
      </c>
      <c r="H9" s="58">
        <f t="shared" si="4"/>
        <v>23.15351416800732</v>
      </c>
      <c r="I9" s="58">
        <f t="shared" si="4"/>
        <v>24.897666888701316</v>
      </c>
      <c r="J9" s="58">
        <f t="shared" si="4"/>
        <v>26.419485100106048</v>
      </c>
      <c r="K9" s="58">
        <f t="shared" si="4"/>
        <v>27.927178561941155</v>
      </c>
      <c r="L9" s="58">
        <f t="shared" si="4"/>
        <v>29.405532725139189</v>
      </c>
      <c r="M9" s="58">
        <f t="shared" si="4"/>
        <v>30.871839189072546</v>
      </c>
      <c r="N9" s="58">
        <f t="shared" si="4"/>
        <v>32.355645928452439</v>
      </c>
      <c r="O9" s="58">
        <f t="shared" si="4"/>
        <v>33.866353432936968</v>
      </c>
    </row>
    <row r="10" spans="1:17" ht="15" x14ac:dyDescent="0.25">
      <c r="A10" s="14" t="s">
        <v>150</v>
      </c>
      <c r="B10" s="61">
        <f t="shared" ref="B10:C10" si="5">SUM(B5:B9)</f>
        <v>18.358999999999995</v>
      </c>
      <c r="C10" s="61">
        <f t="shared" si="5"/>
        <v>93.801000000000016</v>
      </c>
      <c r="D10" s="61">
        <f>SUM(D5:D9)</f>
        <v>-17.069999999999993</v>
      </c>
      <c r="E10" s="61">
        <f>SUM(E5:E9)</f>
        <v>-25.056999999999988</v>
      </c>
      <c r="F10" s="61">
        <f t="shared" ref="F10:O10" si="6">SUM(F5:F9)</f>
        <v>-10.850199217415962</v>
      </c>
      <c r="G10" s="61">
        <f t="shared" si="6"/>
        <v>24.207684622740548</v>
      </c>
      <c r="H10" s="61">
        <f t="shared" si="6"/>
        <v>63.700437283357161</v>
      </c>
      <c r="I10" s="61">
        <f t="shared" si="6"/>
        <v>91.489171829454591</v>
      </c>
      <c r="J10" s="61">
        <f t="shared" si="6"/>
        <v>120.90760519134307</v>
      </c>
      <c r="K10" s="61">
        <f t="shared" si="6"/>
        <v>151.57131203911581</v>
      </c>
      <c r="L10" s="61">
        <f t="shared" si="6"/>
        <v>181.7623255076974</v>
      </c>
      <c r="M10" s="61">
        <f t="shared" si="6"/>
        <v>212.43544438139273</v>
      </c>
      <c r="N10" s="61">
        <f t="shared" si="6"/>
        <v>222.75205649529207</v>
      </c>
      <c r="O10" s="61">
        <f t="shared" si="6"/>
        <v>231.07905645713248</v>
      </c>
    </row>
    <row r="11" spans="1:17" ht="15" x14ac:dyDescent="0.25">
      <c r="A11" s="2" t="s">
        <v>166</v>
      </c>
      <c r="B11" s="60">
        <v>-15.885</v>
      </c>
      <c r="C11" s="60">
        <v>-34.566000000000003</v>
      </c>
      <c r="D11" s="60">
        <v>-11.821999999999999</v>
      </c>
      <c r="E11" s="60">
        <v>-50.883000000000003</v>
      </c>
      <c r="F11" s="58">
        <f>F51</f>
        <v>-31.167444786160413</v>
      </c>
      <c r="G11" s="58">
        <f t="shared" ref="G11:O11" si="7">G51</f>
        <v>-39.57146792681425</v>
      </c>
      <c r="H11" s="58">
        <f t="shared" si="7"/>
        <v>-47.883312849044835</v>
      </c>
      <c r="I11" s="58">
        <f t="shared" si="7"/>
        <v>-55.936732175401552</v>
      </c>
      <c r="J11" s="58">
        <f t="shared" si="7"/>
        <v>-62.443635851247336</v>
      </c>
      <c r="K11" s="58">
        <f t="shared" si="7"/>
        <v>-69.741847638533315</v>
      </c>
      <c r="L11" s="58">
        <f t="shared" si="7"/>
        <v>-78.839934505182157</v>
      </c>
      <c r="M11" s="58">
        <f t="shared" si="7"/>
        <v>-89.116481429180979</v>
      </c>
      <c r="N11" s="58">
        <f t="shared" si="7"/>
        <v>-100.91138755245395</v>
      </c>
      <c r="O11" s="58">
        <f t="shared" si="7"/>
        <v>-114.20663965924392</v>
      </c>
    </row>
    <row r="12" spans="1:17" ht="15" x14ac:dyDescent="0.25">
      <c r="A12" s="2" t="s">
        <v>151</v>
      </c>
      <c r="B12" s="60">
        <v>2.0870000000000002</v>
      </c>
      <c r="C12" s="60">
        <v>-19.983000000000001</v>
      </c>
      <c r="D12" s="60">
        <v>-77.793000000000006</v>
      </c>
      <c r="E12" s="60">
        <v>-47.658999999999999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</row>
    <row r="13" spans="1:17" ht="15" x14ac:dyDescent="0.25">
      <c r="A13" s="2" t="s">
        <v>14</v>
      </c>
      <c r="B13" s="62"/>
      <c r="C13" s="62">
        <f>-C15-SUM(C10:C12)</f>
        <v>31.332999999999998</v>
      </c>
      <c r="D13" s="62">
        <f>-D15-SUM(D10:D12)</f>
        <v>-183.089</v>
      </c>
      <c r="E13" s="62">
        <f>-E15-SUM(E10:E12)</f>
        <v>-63.69399999999996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7" ht="15" x14ac:dyDescent="0.25">
      <c r="A14" s="14" t="s">
        <v>153</v>
      </c>
      <c r="B14" s="61">
        <f>SUM(B10:B13)</f>
        <v>4.5609999999999946</v>
      </c>
      <c r="C14" s="61">
        <f>SUM(C10:C13)</f>
        <v>70.585000000000008</v>
      </c>
      <c r="D14" s="61">
        <f>SUM(D10:D13)</f>
        <v>-289.774</v>
      </c>
      <c r="E14" s="61">
        <f>SUM(E10:E13)</f>
        <v>-187.29299999999995</v>
      </c>
      <c r="F14" s="61">
        <f t="shared" ref="F14:O14" si="8">SUM(F10:F13)</f>
        <v>-42.017644003576379</v>
      </c>
      <c r="G14" s="61">
        <f t="shared" si="8"/>
        <v>-15.363783304073703</v>
      </c>
      <c r="H14" s="61">
        <f t="shared" si="8"/>
        <v>15.817124434312326</v>
      </c>
      <c r="I14" s="61">
        <f t="shared" si="8"/>
        <v>35.552439654053039</v>
      </c>
      <c r="J14" s="61">
        <f t="shared" si="8"/>
        <v>58.46396934009573</v>
      </c>
      <c r="K14" s="61">
        <f t="shared" si="8"/>
        <v>81.829464400582495</v>
      </c>
      <c r="L14" s="61">
        <f t="shared" si="8"/>
        <v>102.92239100251524</v>
      </c>
      <c r="M14" s="61">
        <f t="shared" si="8"/>
        <v>123.31896295221175</v>
      </c>
      <c r="N14" s="61">
        <f t="shared" si="8"/>
        <v>121.84066894283812</v>
      </c>
      <c r="O14" s="61">
        <f t="shared" si="8"/>
        <v>116.87241679788856</v>
      </c>
    </row>
    <row r="15" spans="1:17" ht="15" x14ac:dyDescent="0.25">
      <c r="A15" s="2" t="s">
        <v>154</v>
      </c>
      <c r="B15" s="58"/>
      <c r="C15" s="58">
        <f>'BS and debt'!C59-'BS and debt'!B59</f>
        <v>-70.585000000000008</v>
      </c>
      <c r="D15" s="58">
        <f>'BS and debt'!D59-'BS and debt'!C59</f>
        <v>289.774</v>
      </c>
      <c r="E15" s="58">
        <f>'BS and debt'!E59-'BS and debt'!D59</f>
        <v>187.29299999999995</v>
      </c>
      <c r="F15" s="58">
        <f>-F14</f>
        <v>42.017644003576379</v>
      </c>
      <c r="G15" s="58">
        <f t="shared" ref="G15:O15" si="9">-G14</f>
        <v>15.363783304073703</v>
      </c>
      <c r="H15" s="58">
        <f t="shared" si="9"/>
        <v>-15.817124434312326</v>
      </c>
      <c r="I15" s="58">
        <f t="shared" si="9"/>
        <v>-35.552439654053039</v>
      </c>
      <c r="J15" s="58">
        <f t="shared" si="9"/>
        <v>-58.46396934009573</v>
      </c>
      <c r="K15" s="58">
        <f t="shared" si="9"/>
        <v>-81.829464400582495</v>
      </c>
      <c r="L15" s="58">
        <f t="shared" si="9"/>
        <v>-102.92239100251524</v>
      </c>
      <c r="M15" s="58">
        <f t="shared" si="9"/>
        <v>-123.31896295221175</v>
      </c>
      <c r="N15" s="58">
        <f t="shared" si="9"/>
        <v>-121.84066894283812</v>
      </c>
      <c r="O15" s="58">
        <f t="shared" si="9"/>
        <v>-116.87241679788856</v>
      </c>
    </row>
    <row r="16" spans="1:17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ht="15" x14ac:dyDescent="0.25">
      <c r="A18" s="6" t="s">
        <v>214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ht="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ht="15" x14ac:dyDescent="0.25">
      <c r="A20" s="2" t="s">
        <v>0</v>
      </c>
      <c r="B20" s="58">
        <f>Revenue!B4</f>
        <v>429.154</v>
      </c>
      <c r="C20" s="58">
        <f>Revenue!C4</f>
        <v>485.85899999999998</v>
      </c>
      <c r="D20" s="58">
        <f>Revenue!D4</f>
        <v>827.51499999999999</v>
      </c>
      <c r="E20" s="58">
        <f>Revenue!E4</f>
        <v>1089.3530000000001</v>
      </c>
      <c r="F20" s="58">
        <f>Revenue!F4</f>
        <v>1238.3225989908276</v>
      </c>
      <c r="G20" s="58">
        <f>Revenue!G4</f>
        <v>1367.6446546173563</v>
      </c>
      <c r="H20" s="58">
        <f>Revenue!H4</f>
        <v>1488.0442548354736</v>
      </c>
      <c r="I20" s="58">
        <f>Revenue!I4</f>
        <v>1600.1385320476368</v>
      </c>
      <c r="J20" s="58">
        <f>Revenue!J4</f>
        <v>1697.9436785991634</v>
      </c>
      <c r="K20" s="58">
        <f>Revenue!K4</f>
        <v>1794.8410470788365</v>
      </c>
      <c r="L20" s="58">
        <f>Revenue!L4</f>
        <v>1889.8528195120084</v>
      </c>
      <c r="M20" s="58">
        <f>Revenue!M4</f>
        <v>1984.0903030167394</v>
      </c>
      <c r="N20" s="58">
        <f>Revenue!N4</f>
        <v>2079.4525049615004</v>
      </c>
      <c r="O20" s="58">
        <f>Revenue!O4</f>
        <v>2176.5435817834905</v>
      </c>
    </row>
    <row r="21" spans="1:19" ht="15" x14ac:dyDescent="0.25">
      <c r="A21" s="2" t="s">
        <v>54</v>
      </c>
      <c r="B21" s="58">
        <f>'Income statment'!B35</f>
        <v>221</v>
      </c>
      <c r="C21" s="58">
        <f>'Income statment'!C35</f>
        <v>253</v>
      </c>
      <c r="D21" s="58">
        <f>'Income statment'!D35</f>
        <v>376</v>
      </c>
      <c r="E21" s="58">
        <f>'Income statment'!E35</f>
        <v>496</v>
      </c>
      <c r="F21" s="58">
        <f>'Income statment'!F35</f>
        <v>594.39484751559723</v>
      </c>
      <c r="G21" s="58">
        <f>'Income statment'!G35</f>
        <v>659.88854585287436</v>
      </c>
      <c r="H21" s="58">
        <f>'Income statment'!H35</f>
        <v>721.7014635952047</v>
      </c>
      <c r="I21" s="58">
        <f>'Income statment'!I35</f>
        <v>780.06753437322288</v>
      </c>
      <c r="J21" s="58">
        <f>'Income statment'!J35</f>
        <v>831.99240251359004</v>
      </c>
      <c r="K21" s="58">
        <f>'Income statment'!K35</f>
        <v>883.95921568632696</v>
      </c>
      <c r="L21" s="58">
        <f>'Income statment'!L35</f>
        <v>935.4771456584441</v>
      </c>
      <c r="M21" s="58">
        <f>'Income statment'!M35</f>
        <v>987.08492575082789</v>
      </c>
      <c r="N21" s="58">
        <f>'Income statment'!N35</f>
        <v>1039.7262524807502</v>
      </c>
      <c r="O21" s="58">
        <f>'Income statment'!O35</f>
        <v>1093.7131498462038</v>
      </c>
    </row>
    <row r="22" spans="1:19" ht="15" x14ac:dyDescent="0.25">
      <c r="A22" s="2" t="s">
        <v>112</v>
      </c>
      <c r="B22" s="58">
        <f>Capex!B6</f>
        <v>116</v>
      </c>
      <c r="C22" s="58">
        <f>Capex!C6</f>
        <v>148</v>
      </c>
      <c r="D22" s="58">
        <f>Capex!D6</f>
        <v>269</v>
      </c>
      <c r="E22" s="58">
        <f>Capex!E6</f>
        <v>353</v>
      </c>
      <c r="F22" s="58">
        <f>Capex!F6</f>
        <v>408.64645766697311</v>
      </c>
      <c r="G22" s="58">
        <f>Capex!G6</f>
        <v>423.96984293138047</v>
      </c>
      <c r="H22" s="58">
        <f>Capex!H6</f>
        <v>431.53283390228728</v>
      </c>
      <c r="I22" s="58">
        <f>Capex!I6</f>
        <v>448.03878897333823</v>
      </c>
      <c r="J22" s="58">
        <f>Capex!J6</f>
        <v>458.44479322177403</v>
      </c>
      <c r="K22" s="58">
        <f>Capex!K6</f>
        <v>466.65867224049742</v>
      </c>
      <c r="L22" s="58">
        <f>Capex!L6</f>
        <v>472.46320487800199</v>
      </c>
      <c r="M22" s="58">
        <f>Capex!M6</f>
        <v>476.18167272401735</v>
      </c>
      <c r="N22" s="58">
        <f>Capex!N6</f>
        <v>499.06860119075998</v>
      </c>
      <c r="O22" s="58">
        <f>Capex!O6</f>
        <v>522.37045962803757</v>
      </c>
    </row>
    <row r="23" spans="1:19" ht="15" x14ac:dyDescent="0.25">
      <c r="A23" s="2" t="s">
        <v>113</v>
      </c>
      <c r="B23" s="58">
        <f t="shared" ref="B23:O23" si="10">B21-B22</f>
        <v>105</v>
      </c>
      <c r="C23" s="58">
        <f t="shared" si="10"/>
        <v>105</v>
      </c>
      <c r="D23" s="58">
        <f t="shared" si="10"/>
        <v>107</v>
      </c>
      <c r="E23" s="58">
        <f t="shared" si="10"/>
        <v>143</v>
      </c>
      <c r="F23" s="58">
        <f t="shared" si="10"/>
        <v>185.74838984862413</v>
      </c>
      <c r="G23" s="58">
        <f t="shared" si="10"/>
        <v>235.91870292149389</v>
      </c>
      <c r="H23" s="58">
        <f t="shared" si="10"/>
        <v>290.16862969291742</v>
      </c>
      <c r="I23" s="58">
        <f t="shared" si="10"/>
        <v>332.02874539988466</v>
      </c>
      <c r="J23" s="58">
        <f t="shared" si="10"/>
        <v>373.547609291816</v>
      </c>
      <c r="K23" s="58">
        <f t="shared" si="10"/>
        <v>417.30054344582953</v>
      </c>
      <c r="L23" s="58">
        <f t="shared" si="10"/>
        <v>463.01394078044211</v>
      </c>
      <c r="M23" s="58">
        <f t="shared" si="10"/>
        <v>510.90325302681055</v>
      </c>
      <c r="N23" s="58">
        <f t="shared" si="10"/>
        <v>540.65765128999021</v>
      </c>
      <c r="O23" s="58">
        <f t="shared" si="10"/>
        <v>571.34269021816624</v>
      </c>
    </row>
    <row r="24" spans="1:19" ht="15" x14ac:dyDescent="0.25">
      <c r="A24" s="2" t="s">
        <v>145</v>
      </c>
      <c r="B24" s="59">
        <f t="shared" ref="B24:O24" si="11">B23/B20</f>
        <v>0.24466741542663006</v>
      </c>
      <c r="C24" s="59">
        <f t="shared" si="11"/>
        <v>0.21611208190030443</v>
      </c>
      <c r="D24" s="59">
        <f t="shared" si="11"/>
        <v>0.12930279209440312</v>
      </c>
      <c r="E24" s="59">
        <f t="shared" si="11"/>
        <v>0.13127057987631188</v>
      </c>
      <c r="F24" s="59">
        <f t="shared" si="11"/>
        <v>0.15</v>
      </c>
      <c r="G24" s="59">
        <f t="shared" si="11"/>
        <v>0.17249999999999996</v>
      </c>
      <c r="H24" s="59">
        <f t="shared" si="11"/>
        <v>0.19500000000000006</v>
      </c>
      <c r="I24" s="59">
        <f t="shared" si="11"/>
        <v>0.20750000000000002</v>
      </c>
      <c r="J24" s="59">
        <f t="shared" si="11"/>
        <v>0.22000000000000003</v>
      </c>
      <c r="K24" s="59">
        <f t="shared" si="11"/>
        <v>0.23250000000000004</v>
      </c>
      <c r="L24" s="59">
        <f t="shared" si="11"/>
        <v>0.24500000000000002</v>
      </c>
      <c r="M24" s="59">
        <f t="shared" si="11"/>
        <v>0.25750000000000006</v>
      </c>
      <c r="N24" s="59">
        <f t="shared" si="11"/>
        <v>0.26000000000000006</v>
      </c>
      <c r="O24" s="59">
        <f t="shared" si="11"/>
        <v>0.26250000000000001</v>
      </c>
    </row>
    <row r="25" spans="1:19" ht="15" x14ac:dyDescent="0.25">
      <c r="A25" s="2" t="s">
        <v>146</v>
      </c>
      <c r="B25" s="58"/>
      <c r="C25" s="59">
        <f t="shared" ref="C25:O25" si="12">C23/B23-1</f>
        <v>0</v>
      </c>
      <c r="D25" s="59">
        <f t="shared" si="12"/>
        <v>1.904761904761898E-2</v>
      </c>
      <c r="E25" s="59">
        <f t="shared" si="12"/>
        <v>0.33644859813084116</v>
      </c>
      <c r="F25" s="59">
        <f t="shared" si="12"/>
        <v>0.29893978915121777</v>
      </c>
      <c r="G25" s="59">
        <f t="shared" si="12"/>
        <v>0.27009823941815125</v>
      </c>
      <c r="H25" s="59">
        <f t="shared" si="12"/>
        <v>0.22995178465980359</v>
      </c>
      <c r="I25" s="59">
        <f t="shared" si="12"/>
        <v>0.14426134124583823</v>
      </c>
      <c r="J25" s="59">
        <f t="shared" si="12"/>
        <v>0.12504599215326184</v>
      </c>
      <c r="K25" s="59">
        <f t="shared" si="12"/>
        <v>0.11712813324374305</v>
      </c>
      <c r="L25" s="59">
        <f t="shared" si="12"/>
        <v>0.10954550156378295</v>
      </c>
      <c r="M25" s="59">
        <f t="shared" si="12"/>
        <v>0.10342952561136221</v>
      </c>
      <c r="N25" s="59">
        <f t="shared" si="12"/>
        <v>5.8238811530170853E-2</v>
      </c>
      <c r="O25" s="59">
        <f t="shared" si="12"/>
        <v>5.6755025763461697E-2</v>
      </c>
    </row>
    <row r="26" spans="1:19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ht="1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ht="15" x14ac:dyDescent="0.25">
      <c r="A28" s="2" t="s">
        <v>207</v>
      </c>
      <c r="B28" s="24">
        <f>B6</f>
        <v>-3.32</v>
      </c>
      <c r="C28" s="24">
        <f>C6</f>
        <v>-3.48</v>
      </c>
      <c r="D28" s="24">
        <f>D6</f>
        <v>-26.492999999999999</v>
      </c>
      <c r="E28" s="24">
        <f>E6</f>
        <v>-39.284999999999997</v>
      </c>
      <c r="F28" s="24">
        <f>E28*(1+F29)</f>
        <v>-43.213499999999996</v>
      </c>
      <c r="G28" s="24">
        <f t="shared" ref="G28:O28" si="13">F28*(1+G29)</f>
        <v>-47.534849999999999</v>
      </c>
      <c r="H28" s="24">
        <f t="shared" si="13"/>
        <v>-52.288335000000004</v>
      </c>
      <c r="I28" s="24">
        <f t="shared" si="13"/>
        <v>-57.517168500000011</v>
      </c>
      <c r="J28" s="24">
        <f t="shared" si="13"/>
        <v>-63.268885350000019</v>
      </c>
      <c r="K28" s="24">
        <f t="shared" si="13"/>
        <v>-69.595773885000028</v>
      </c>
      <c r="L28" s="24">
        <f t="shared" si="13"/>
        <v>-76.555351273500037</v>
      </c>
      <c r="M28" s="24">
        <f t="shared" si="13"/>
        <v>-84.210886400850043</v>
      </c>
      <c r="N28" s="24">
        <f t="shared" si="13"/>
        <v>-92.63197504093506</v>
      </c>
      <c r="O28" s="24">
        <f t="shared" si="13"/>
        <v>-101.89517254502857</v>
      </c>
      <c r="P28" s="2"/>
      <c r="Q28" s="2"/>
    </row>
    <row r="29" spans="1:19" ht="15" x14ac:dyDescent="0.25">
      <c r="A29" s="2" t="s">
        <v>10</v>
      </c>
      <c r="B29" s="2"/>
      <c r="C29" s="7">
        <f t="shared" ref="C29:D29" si="14">C28/B28-1</f>
        <v>4.8192771084337505E-2</v>
      </c>
      <c r="D29" s="7">
        <f t="shared" si="14"/>
        <v>6.6129310344827585</v>
      </c>
      <c r="E29" s="7">
        <f>E28/D28-1</f>
        <v>0.48284452496885955</v>
      </c>
      <c r="F29" s="10">
        <v>0.1</v>
      </c>
      <c r="G29" s="10">
        <v>0.1</v>
      </c>
      <c r="H29" s="10">
        <v>0.1</v>
      </c>
      <c r="I29" s="10">
        <v>0.1</v>
      </c>
      <c r="J29" s="10">
        <v>0.1</v>
      </c>
      <c r="K29" s="10">
        <v>0.1</v>
      </c>
      <c r="L29" s="10">
        <v>0.1</v>
      </c>
      <c r="M29" s="10">
        <v>0.1</v>
      </c>
      <c r="N29" s="10">
        <v>0.1</v>
      </c>
      <c r="O29" s="10">
        <v>0.1</v>
      </c>
      <c r="P29" s="2"/>
      <c r="Q29" s="2"/>
    </row>
    <row r="30" spans="1:19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ht="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ht="15" x14ac:dyDescent="0.25">
      <c r="A32" s="2" t="s">
        <v>199</v>
      </c>
      <c r="B32" s="24">
        <f>'Income statment'!B97+'Income statment'!B98</f>
        <v>3.234</v>
      </c>
      <c r="C32" s="24">
        <f>'Income statment'!C97+'Income statment'!C98</f>
        <v>2.7069999999999999</v>
      </c>
      <c r="D32" s="24">
        <f>'Income statment'!D97+'Income statment'!D98</f>
        <v>7.74</v>
      </c>
      <c r="E32" s="24">
        <f>'Income statment'!E97+'Income statment'!E98</f>
        <v>12.372</v>
      </c>
      <c r="F32" s="24">
        <f>'Income statment'!F97+'Income statment'!F98</f>
        <v>11.96612</v>
      </c>
      <c r="G32" s="24">
        <f>'Income statment'!G97+'Income statment'!G98</f>
        <v>10.705590679892708</v>
      </c>
      <c r="H32" s="24">
        <f>'Income statment'!H97+'Income statment'!H98</f>
        <v>10.2446771807705</v>
      </c>
      <c r="I32" s="24">
        <f>'Income statment'!I97+'Income statment'!I98</f>
        <v>10.719190913799869</v>
      </c>
      <c r="J32" s="24">
        <f>'Income statment'!J97+'Income statment'!J98</f>
        <v>11.78576410342146</v>
      </c>
      <c r="K32" s="24">
        <f>'Income statment'!K97+'Income statment'!K98</f>
        <v>13.539683183624334</v>
      </c>
      <c r="L32" s="24">
        <f>'Income statment'!L97+'Income statment'!L98</f>
        <v>15.994567115641807</v>
      </c>
      <c r="M32" s="24">
        <f>'Income statment'!M97+'Income statment'!M98</f>
        <v>19.082238845717264</v>
      </c>
      <c r="N32" s="24">
        <f>'Income statment'!N97+'Income statment'!N98</f>
        <v>22.781807734283618</v>
      </c>
      <c r="O32" s="24">
        <f>'Income statment'!O97+'Income statment'!O98</f>
        <v>26.437027802568757</v>
      </c>
      <c r="P32" s="66"/>
      <c r="Q32" s="66"/>
      <c r="R32" s="66"/>
      <c r="S32" s="2"/>
    </row>
    <row r="33" spans="1:19" ht="15" x14ac:dyDescent="0.25">
      <c r="A33" s="2" t="s">
        <v>200</v>
      </c>
      <c r="B33" s="60">
        <f>3.234</f>
        <v>3.234</v>
      </c>
      <c r="C33" s="60">
        <f>2.53</f>
        <v>2.5299999999999998</v>
      </c>
      <c r="D33" s="60">
        <f>7.586</f>
        <v>7.5860000000000003</v>
      </c>
      <c r="E33" s="60">
        <f>12.144</f>
        <v>12.144</v>
      </c>
      <c r="F33" s="24">
        <f t="shared" ref="F33:O33" si="15">F32-F34</f>
        <v>11.73812</v>
      </c>
      <c r="G33" s="24">
        <f t="shared" si="15"/>
        <v>10.477590679892709</v>
      </c>
      <c r="H33" s="24">
        <f t="shared" si="15"/>
        <v>10.0166771807705</v>
      </c>
      <c r="I33" s="24">
        <f t="shared" si="15"/>
        <v>10.491190913799869</v>
      </c>
      <c r="J33" s="24">
        <f t="shared" si="15"/>
        <v>11.55776410342146</v>
      </c>
      <c r="K33" s="24">
        <f t="shared" si="15"/>
        <v>13.311683183624334</v>
      </c>
      <c r="L33" s="24">
        <f t="shared" si="15"/>
        <v>15.766567115641807</v>
      </c>
      <c r="M33" s="24">
        <f t="shared" si="15"/>
        <v>18.854238845717262</v>
      </c>
      <c r="N33" s="24">
        <f t="shared" si="15"/>
        <v>22.553807734283616</v>
      </c>
      <c r="O33" s="24">
        <f t="shared" si="15"/>
        <v>26.209027802568755</v>
      </c>
      <c r="P33" s="66"/>
      <c r="Q33" s="66"/>
      <c r="R33" s="66"/>
      <c r="S33" s="2"/>
    </row>
    <row r="34" spans="1:19" ht="15" x14ac:dyDescent="0.25">
      <c r="A34" s="2" t="s">
        <v>201</v>
      </c>
      <c r="B34" s="67">
        <f>B32-B33</f>
        <v>0</v>
      </c>
      <c r="C34" s="67">
        <f>C32-C33</f>
        <v>0.17700000000000005</v>
      </c>
      <c r="D34" s="67">
        <f>D32-D33</f>
        <v>0.15399999999999991</v>
      </c>
      <c r="E34" s="67">
        <f>E32-E33</f>
        <v>0.22799999999999976</v>
      </c>
      <c r="F34" s="69">
        <f t="shared" ref="F34:O34" si="16">E34</f>
        <v>0.22799999999999976</v>
      </c>
      <c r="G34" s="69">
        <f t="shared" si="16"/>
        <v>0.22799999999999976</v>
      </c>
      <c r="H34" s="69">
        <f t="shared" si="16"/>
        <v>0.22799999999999976</v>
      </c>
      <c r="I34" s="69">
        <f t="shared" si="16"/>
        <v>0.22799999999999976</v>
      </c>
      <c r="J34" s="69">
        <f t="shared" si="16"/>
        <v>0.22799999999999976</v>
      </c>
      <c r="K34" s="69">
        <f t="shared" si="16"/>
        <v>0.22799999999999976</v>
      </c>
      <c r="L34" s="69">
        <f t="shared" si="16"/>
        <v>0.22799999999999976</v>
      </c>
      <c r="M34" s="69">
        <f t="shared" si="16"/>
        <v>0.22799999999999976</v>
      </c>
      <c r="N34" s="69">
        <f t="shared" si="16"/>
        <v>0.22799999999999976</v>
      </c>
      <c r="O34" s="69">
        <f t="shared" si="16"/>
        <v>0.22799999999999976</v>
      </c>
      <c r="P34" s="66"/>
      <c r="Q34" s="66"/>
      <c r="R34" s="66"/>
      <c r="S34" s="2"/>
    </row>
    <row r="35" spans="1:19" ht="15" x14ac:dyDescent="0.25">
      <c r="A35" s="2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6"/>
      <c r="Q35" s="66"/>
      <c r="R35" s="66"/>
      <c r="S35" s="2"/>
    </row>
    <row r="36" spans="1:19" ht="15" x14ac:dyDescent="0.25">
      <c r="A36" s="2" t="s">
        <v>197</v>
      </c>
      <c r="B36" s="24">
        <f>('Income statment'!B109+'Income statment'!B110+'Income statment'!B111)*-1</f>
        <v>-20.466999999999999</v>
      </c>
      <c r="C36" s="24">
        <f>('Income statment'!C109+'Income statment'!C110+'Income statment'!C111)*-1</f>
        <v>-21.024999999999999</v>
      </c>
      <c r="D36" s="24">
        <f>('Income statment'!D109+'Income statment'!D110+'Income statment'!D111)*-1</f>
        <v>-83.34</v>
      </c>
      <c r="E36" s="24">
        <f>('Income statment'!E109+'Income statment'!E110+'Income statment'!E111)*-1</f>
        <v>-109.31700000000001</v>
      </c>
      <c r="F36" s="24">
        <f>('Income statment'!F109+'Income statment'!F110+'Income statment'!F111)*-1</f>
        <v>-125.29828500000001</v>
      </c>
      <c r="G36" s="24">
        <f>('Income statment'!G109+'Income statment'!G110+'Income statment'!G111)*-1</f>
        <v>-125.29828500000001</v>
      </c>
      <c r="H36" s="24">
        <f>('Income statment'!H109+'Income statment'!H110+'Income statment'!H111)*-1</f>
        <v>-125.29828500000001</v>
      </c>
      <c r="I36" s="24">
        <f>('Income statment'!I109+'Income statment'!I110+'Income statment'!I111)*-1</f>
        <v>-125.29828500000001</v>
      </c>
      <c r="J36" s="24">
        <f>('Income statment'!J109+'Income statment'!J110+'Income statment'!J111)*-1</f>
        <v>-125.29828500000001</v>
      </c>
      <c r="K36" s="24">
        <f>('Income statment'!K109+'Income statment'!K110+'Income statment'!K111)*-1</f>
        <v>-125.29828500000001</v>
      </c>
      <c r="L36" s="24">
        <f>('Income statment'!L109+'Income statment'!L110+'Income statment'!L111)*-1</f>
        <v>-125.29828500000001</v>
      </c>
      <c r="M36" s="24">
        <f>('Income statment'!M109+'Income statment'!M110+'Income statment'!M111)*-1</f>
        <v>-125.29828500000001</v>
      </c>
      <c r="N36" s="24">
        <f>('Income statment'!N109+'Income statment'!N110+'Income statment'!N111)*-1</f>
        <v>-125.29828500000001</v>
      </c>
      <c r="O36" s="24">
        <f>('Income statment'!O109+'Income statment'!O110+'Income statment'!O111)*-1</f>
        <v>-125.29828500000001</v>
      </c>
      <c r="P36" s="66"/>
      <c r="Q36" s="66"/>
      <c r="R36" s="66"/>
      <c r="S36" s="2"/>
    </row>
    <row r="37" spans="1:19" ht="15" x14ac:dyDescent="0.25">
      <c r="A37" s="2" t="s">
        <v>198</v>
      </c>
      <c r="B37" s="60">
        <v>-24.009</v>
      </c>
      <c r="C37" s="60">
        <v>-22.524999999999999</v>
      </c>
      <c r="D37" s="60">
        <v>-61.11</v>
      </c>
      <c r="E37" s="60">
        <v>-113.901</v>
      </c>
      <c r="F37" s="24">
        <f t="shared" ref="F37:O37" si="17">F36-F38</f>
        <v>-129.882285</v>
      </c>
      <c r="G37" s="24">
        <f t="shared" si="17"/>
        <v>-129.882285</v>
      </c>
      <c r="H37" s="24">
        <f t="shared" si="17"/>
        <v>-129.882285</v>
      </c>
      <c r="I37" s="24">
        <f t="shared" si="17"/>
        <v>-129.882285</v>
      </c>
      <c r="J37" s="24">
        <f t="shared" si="17"/>
        <v>-129.882285</v>
      </c>
      <c r="K37" s="24">
        <f t="shared" si="17"/>
        <v>-129.882285</v>
      </c>
      <c r="L37" s="24">
        <f t="shared" si="17"/>
        <v>-129.882285</v>
      </c>
      <c r="M37" s="24">
        <f t="shared" si="17"/>
        <v>-129.882285</v>
      </c>
      <c r="N37" s="24">
        <f t="shared" si="17"/>
        <v>-129.882285</v>
      </c>
      <c r="O37" s="24">
        <f t="shared" si="17"/>
        <v>-129.882285</v>
      </c>
      <c r="P37" s="66"/>
      <c r="Q37" s="66"/>
      <c r="R37" s="66"/>
      <c r="S37" s="2"/>
    </row>
    <row r="38" spans="1:19" ht="15" x14ac:dyDescent="0.25">
      <c r="A38" s="2" t="s">
        <v>201</v>
      </c>
      <c r="B38" s="24">
        <f>B36-B37</f>
        <v>3.5420000000000016</v>
      </c>
      <c r="C38" s="24">
        <f>C36-C37</f>
        <v>1.5</v>
      </c>
      <c r="D38" s="24">
        <f>D36-D37</f>
        <v>-22.230000000000004</v>
      </c>
      <c r="E38" s="24">
        <f>E36-E37</f>
        <v>4.583999999999989</v>
      </c>
      <c r="F38" s="31">
        <f t="shared" ref="F38:O38" si="18">E38</f>
        <v>4.583999999999989</v>
      </c>
      <c r="G38" s="31">
        <f t="shared" si="18"/>
        <v>4.583999999999989</v>
      </c>
      <c r="H38" s="31">
        <f t="shared" si="18"/>
        <v>4.583999999999989</v>
      </c>
      <c r="I38" s="31">
        <f t="shared" si="18"/>
        <v>4.583999999999989</v>
      </c>
      <c r="J38" s="31">
        <f t="shared" si="18"/>
        <v>4.583999999999989</v>
      </c>
      <c r="K38" s="31">
        <f t="shared" si="18"/>
        <v>4.583999999999989</v>
      </c>
      <c r="L38" s="31">
        <f t="shared" si="18"/>
        <v>4.583999999999989</v>
      </c>
      <c r="M38" s="31">
        <f t="shared" si="18"/>
        <v>4.583999999999989</v>
      </c>
      <c r="N38" s="31">
        <f t="shared" si="18"/>
        <v>4.583999999999989</v>
      </c>
      <c r="O38" s="31">
        <f t="shared" si="18"/>
        <v>4.583999999999989</v>
      </c>
      <c r="P38" s="66"/>
      <c r="Q38" s="66"/>
      <c r="R38" s="66"/>
      <c r="S38" s="2"/>
    </row>
    <row r="39" spans="1:19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9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9" ht="15" x14ac:dyDescent="0.25">
      <c r="A41" s="2" t="s">
        <v>208</v>
      </c>
      <c r="B41" s="24">
        <f>'Income statment'!B28</f>
        <v>-0.25800000000000001</v>
      </c>
      <c r="C41" s="24">
        <f>'Income statment'!C28</f>
        <v>-26.88</v>
      </c>
      <c r="D41" s="24">
        <f>'Income statment'!D28</f>
        <v>-29.923999999999999</v>
      </c>
      <c r="E41" s="24">
        <f>'Income statment'!E28</f>
        <v>-32.264030999999996</v>
      </c>
      <c r="F41" s="24">
        <f>'Income statment'!F28</f>
        <v>-42.80787653217137</v>
      </c>
      <c r="G41" s="24">
        <f>'Income statment'!G28</f>
        <v>-54.350638136368282</v>
      </c>
      <c r="H41" s="24">
        <f>'Income statment'!H28</f>
        <v>-65.766794758338065</v>
      </c>
      <c r="I41" s="24">
        <f>'Income statment'!I28</f>
        <v>-76.828008872931221</v>
      </c>
      <c r="J41" s="24">
        <f>'Income statment'!J28</f>
        <v>-85.765113954000441</v>
      </c>
      <c r="K41" s="24">
        <f>'Income statment'!K28</f>
        <v>-95.789065267279213</v>
      </c>
      <c r="L41" s="24">
        <f>'Income statment'!L28</f>
        <v>-108.28510984002563</v>
      </c>
      <c r="M41" s="24">
        <f>'Income statment'!M28</f>
        <v>-122.3997462793576</v>
      </c>
      <c r="N41" s="24">
        <f>'Income statment'!N28</f>
        <v>-138.59981941649917</v>
      </c>
      <c r="O41" s="24">
        <f>'Income statment'!O28</f>
        <v>-156.86058845151092</v>
      </c>
      <c r="P41" s="2"/>
      <c r="Q41" s="2"/>
    </row>
    <row r="42" spans="1:19" ht="15" x14ac:dyDescent="0.25">
      <c r="A42" s="2" t="s">
        <v>209</v>
      </c>
      <c r="B42" s="62">
        <f>B8</f>
        <v>-22.797999999999998</v>
      </c>
      <c r="C42" s="62">
        <f>C8</f>
        <v>-30.402999999999999</v>
      </c>
      <c r="D42" s="62">
        <f>D8</f>
        <v>-53.247999999999998</v>
      </c>
      <c r="E42" s="62">
        <f>E8</f>
        <v>-43.965000000000003</v>
      </c>
      <c r="F42" s="24">
        <f t="shared" ref="F42:O42" si="19">F41-F43</f>
        <v>-54.508845532171378</v>
      </c>
      <c r="G42" s="24">
        <f t="shared" si="19"/>
        <v>-66.05160713636829</v>
      </c>
      <c r="H42" s="24">
        <f t="shared" si="19"/>
        <v>-77.467763758338066</v>
      </c>
      <c r="I42" s="24">
        <f t="shared" si="19"/>
        <v>-88.528977872931222</v>
      </c>
      <c r="J42" s="24">
        <f t="shared" si="19"/>
        <v>-97.466082954000456</v>
      </c>
      <c r="K42" s="24">
        <f t="shared" si="19"/>
        <v>-107.49003426727921</v>
      </c>
      <c r="L42" s="24">
        <f t="shared" si="19"/>
        <v>-119.98607884002564</v>
      </c>
      <c r="M42" s="24">
        <f t="shared" si="19"/>
        <v>-134.10071527935762</v>
      </c>
      <c r="N42" s="24">
        <f t="shared" si="19"/>
        <v>-150.30078841649919</v>
      </c>
      <c r="O42" s="24">
        <f t="shared" si="19"/>
        <v>-168.56155745151094</v>
      </c>
      <c r="P42" s="2"/>
      <c r="Q42" s="2"/>
    </row>
    <row r="43" spans="1:19" ht="15" x14ac:dyDescent="0.25">
      <c r="A43" s="2" t="s">
        <v>201</v>
      </c>
      <c r="B43" s="24">
        <f>B41-B42</f>
        <v>22.54</v>
      </c>
      <c r="C43" s="24">
        <f>C41-C42</f>
        <v>3.5229999999999997</v>
      </c>
      <c r="D43" s="24">
        <f>D41-D42</f>
        <v>23.323999999999998</v>
      </c>
      <c r="E43" s="24">
        <f>E41-E42</f>
        <v>11.700969000000008</v>
      </c>
      <c r="F43" s="31">
        <f t="shared" ref="F43:O43" si="20">E43</f>
        <v>11.700969000000008</v>
      </c>
      <c r="G43" s="31">
        <f t="shared" si="20"/>
        <v>11.700969000000008</v>
      </c>
      <c r="H43" s="31">
        <f t="shared" si="20"/>
        <v>11.700969000000008</v>
      </c>
      <c r="I43" s="31">
        <f t="shared" si="20"/>
        <v>11.700969000000008</v>
      </c>
      <c r="J43" s="31">
        <f t="shared" si="20"/>
        <v>11.700969000000008</v>
      </c>
      <c r="K43" s="31">
        <f t="shared" si="20"/>
        <v>11.700969000000008</v>
      </c>
      <c r="L43" s="31">
        <f t="shared" si="20"/>
        <v>11.700969000000008</v>
      </c>
      <c r="M43" s="31">
        <f t="shared" si="20"/>
        <v>11.700969000000008</v>
      </c>
      <c r="N43" s="31">
        <f t="shared" si="20"/>
        <v>11.700969000000008</v>
      </c>
      <c r="O43" s="31">
        <f t="shared" si="20"/>
        <v>11.700969000000008</v>
      </c>
      <c r="P43" s="2"/>
      <c r="Q43" s="2"/>
    </row>
    <row r="44" spans="1:19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9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9" ht="15" x14ac:dyDescent="0.25">
      <c r="A46" s="2" t="s">
        <v>149</v>
      </c>
      <c r="B46" s="24">
        <f>B9</f>
        <v>-39.748000000000005</v>
      </c>
      <c r="C46" s="24">
        <f>C9</f>
        <v>42.679000000000009</v>
      </c>
      <c r="D46" s="24">
        <f>D9</f>
        <v>9.1950000000000003</v>
      </c>
      <c r="E46" s="24">
        <f>E9</f>
        <v>16.950000000000003</v>
      </c>
      <c r="F46" s="24">
        <f>E46*(1+F47)</f>
        <v>19.267921466131298</v>
      </c>
      <c r="G46" s="24">
        <f t="shared" ref="G46" si="21">F46*(1+G47)</f>
        <v>21.280133157722236</v>
      </c>
      <c r="H46" s="24">
        <f t="shared" ref="H46" si="22">G46*(1+H47)</f>
        <v>23.15351416800732</v>
      </c>
      <c r="I46" s="24">
        <f t="shared" ref="I46" si="23">H46*(1+I47)</f>
        <v>24.897666888701316</v>
      </c>
      <c r="J46" s="24">
        <f t="shared" ref="J46" si="24">I46*(1+J47)</f>
        <v>26.419485100106048</v>
      </c>
      <c r="K46" s="24">
        <f t="shared" ref="K46" si="25">J46*(1+K47)</f>
        <v>27.927178561941155</v>
      </c>
      <c r="L46" s="24">
        <f t="shared" ref="L46" si="26">K46*(1+L47)</f>
        <v>29.405532725139189</v>
      </c>
      <c r="M46" s="24">
        <f t="shared" ref="M46" si="27">L46*(1+M47)</f>
        <v>30.871839189072546</v>
      </c>
      <c r="N46" s="24">
        <f t="shared" ref="N46" si="28">M46*(1+N47)</f>
        <v>32.355645928452439</v>
      </c>
      <c r="O46" s="24">
        <f t="shared" ref="O46" si="29">N46*(1+O47)</f>
        <v>33.866353432936968</v>
      </c>
      <c r="P46" s="2"/>
      <c r="Q46" s="2"/>
    </row>
    <row r="47" spans="1:19" ht="15" x14ac:dyDescent="0.25">
      <c r="A47" s="2" t="s">
        <v>10</v>
      </c>
      <c r="B47" s="2"/>
      <c r="C47" s="7">
        <f t="shared" ref="C47" si="30">C46/B46-1</f>
        <v>-2.0737395592231058</v>
      </c>
      <c r="D47" s="7">
        <f t="shared" ref="D47" si="31">D46/C46-1</f>
        <v>-0.78455446472504042</v>
      </c>
      <c r="E47" s="7">
        <f>E46/D46-1</f>
        <v>0.84339314845024504</v>
      </c>
      <c r="F47" s="10">
        <f>Revenue!F5</f>
        <v>0.13675052897529771</v>
      </c>
      <c r="G47" s="10">
        <f>Revenue!G5</f>
        <v>0.1044332516679578</v>
      </c>
      <c r="H47" s="10">
        <f>Revenue!H5</f>
        <v>8.8034271045210222E-2</v>
      </c>
      <c r="I47" s="10">
        <f>Revenue!I5</f>
        <v>7.5329935146691618E-2</v>
      </c>
      <c r="J47" s="10">
        <f>Revenue!J5</f>
        <v>6.1122924417281066E-2</v>
      </c>
      <c r="K47" s="10">
        <f>Revenue!K5</f>
        <v>5.7067480918810753E-2</v>
      </c>
      <c r="L47" s="10">
        <f>Revenue!L5</f>
        <v>5.2936037198283881E-2</v>
      </c>
      <c r="M47" s="10">
        <f>Revenue!M5</f>
        <v>4.986498553314056E-2</v>
      </c>
      <c r="N47" s="10">
        <f>Revenue!N5</f>
        <v>4.8063438342381026E-2</v>
      </c>
      <c r="O47" s="10">
        <f>Revenue!O5</f>
        <v>4.6690692184762295E-2</v>
      </c>
      <c r="P47" s="2"/>
      <c r="Q47" s="2"/>
    </row>
    <row r="48" spans="1:19" ht="15" x14ac:dyDescent="0.25">
      <c r="A48" s="2" t="s">
        <v>210</v>
      </c>
      <c r="B48" s="7">
        <f>B46/Revenue!B4</f>
        <v>-9.2619432651216124E-2</v>
      </c>
      <c r="C48" s="7">
        <f>C46/Revenue!C4</f>
        <v>8.7842357556410428E-2</v>
      </c>
      <c r="D48" s="7">
        <f>D46/Revenue!D4</f>
        <v>1.1111581058953615E-2</v>
      </c>
      <c r="E48" s="7">
        <f>E46/Revenue!E4</f>
        <v>1.5559694607716692E-2</v>
      </c>
      <c r="F48" s="7">
        <f>F46/Revenue!F4</f>
        <v>1.555969460771669E-2</v>
      </c>
      <c r="G48" s="7">
        <f>G46/Revenue!G4</f>
        <v>1.5559694607716692E-2</v>
      </c>
      <c r="H48" s="7">
        <f>H46/Revenue!H4</f>
        <v>1.555969460771669E-2</v>
      </c>
      <c r="I48" s="7">
        <f>I46/Revenue!I4</f>
        <v>1.5559694607716692E-2</v>
      </c>
      <c r="J48" s="7">
        <f>J46/Revenue!J4</f>
        <v>1.5559694607716694E-2</v>
      </c>
      <c r="K48" s="7">
        <f>K46/Revenue!K4</f>
        <v>1.5559694607716692E-2</v>
      </c>
      <c r="L48" s="7">
        <f>L46/Revenue!L4</f>
        <v>1.5559694607716695E-2</v>
      </c>
      <c r="M48" s="7">
        <f>M46/Revenue!M4</f>
        <v>1.5559694607716695E-2</v>
      </c>
      <c r="N48" s="7">
        <f>N46/Revenue!N4</f>
        <v>1.5559694607716699E-2</v>
      </c>
      <c r="O48" s="7">
        <f>O46/Revenue!O4</f>
        <v>1.5559694607716699E-2</v>
      </c>
      <c r="P48" s="2"/>
      <c r="Q48" s="2"/>
    </row>
    <row r="49" spans="1:18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8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8" ht="15" x14ac:dyDescent="0.25">
      <c r="A51" s="2" t="s">
        <v>211</v>
      </c>
      <c r="B51" s="24">
        <f>B11</f>
        <v>-15.885</v>
      </c>
      <c r="C51" s="24">
        <f>C11</f>
        <v>-34.566000000000003</v>
      </c>
      <c r="D51" s="24">
        <f>D11</f>
        <v>-11.821999999999999</v>
      </c>
      <c r="E51" s="24">
        <f>E11</f>
        <v>-50.883000000000003</v>
      </c>
      <c r="F51" s="24">
        <f>F53*F52</f>
        <v>-31.167444786160413</v>
      </c>
      <c r="G51" s="24">
        <f t="shared" ref="G51:O51" si="32">G53*G52</f>
        <v>-39.57146792681425</v>
      </c>
      <c r="H51" s="24">
        <f t="shared" si="32"/>
        <v>-47.883312849044835</v>
      </c>
      <c r="I51" s="24">
        <f t="shared" si="32"/>
        <v>-55.936732175401552</v>
      </c>
      <c r="J51" s="24">
        <f t="shared" si="32"/>
        <v>-62.443635851247336</v>
      </c>
      <c r="K51" s="24">
        <f t="shared" si="32"/>
        <v>-69.741847638533315</v>
      </c>
      <c r="L51" s="24">
        <f t="shared" si="32"/>
        <v>-78.839934505182157</v>
      </c>
      <c r="M51" s="24">
        <f t="shared" si="32"/>
        <v>-89.116481429180979</v>
      </c>
      <c r="N51" s="24">
        <f t="shared" si="32"/>
        <v>-100.91138755245395</v>
      </c>
      <c r="O51" s="24">
        <f t="shared" si="32"/>
        <v>-114.20663965924392</v>
      </c>
      <c r="P51" s="2"/>
      <c r="Q51" s="2"/>
    </row>
    <row r="52" spans="1:18" ht="15" x14ac:dyDescent="0.25">
      <c r="A52" s="2" t="s">
        <v>212</v>
      </c>
      <c r="B52" s="24">
        <f>'Income statment'!B30</f>
        <v>31.388000000000002</v>
      </c>
      <c r="C52" s="24">
        <f>'Income statment'!C30</f>
        <v>56.643000000000001</v>
      </c>
      <c r="D52" s="24">
        <f>'Income statment'!D30</f>
        <v>57.883000000000003</v>
      </c>
      <c r="E52" s="24">
        <f>'Income statment'!E30</f>
        <v>39.151183000000003</v>
      </c>
      <c r="F52" s="24">
        <f>'Income statment'!F30</f>
        <v>51.945741310267358</v>
      </c>
      <c r="G52" s="24">
        <f>'Income statment'!G30</f>
        <v>65.952446544690417</v>
      </c>
      <c r="H52" s="24">
        <f>'Income statment'!H30</f>
        <v>79.805521415074722</v>
      </c>
      <c r="I52" s="24">
        <f>'Income statment'!I30</f>
        <v>93.227886959002589</v>
      </c>
      <c r="J52" s="24">
        <f>'Income statment'!J30</f>
        <v>104.07272641874556</v>
      </c>
      <c r="K52" s="24">
        <f>'Income statment'!K30</f>
        <v>116.23641273088886</v>
      </c>
      <c r="L52" s="24">
        <f>'Income statment'!L30</f>
        <v>131.39989084197026</v>
      </c>
      <c r="M52" s="24">
        <f>'Income statment'!M30</f>
        <v>148.52746904863497</v>
      </c>
      <c r="N52" s="24">
        <f>'Income statment'!N30</f>
        <v>168.18564592075657</v>
      </c>
      <c r="O52" s="24">
        <f>'Income statment'!O30</f>
        <v>190.3443994320732</v>
      </c>
      <c r="P52" s="2"/>
      <c r="Q52" s="2"/>
    </row>
    <row r="53" spans="1:18" ht="15" x14ac:dyDescent="0.25">
      <c r="A53" s="2" t="s">
        <v>213</v>
      </c>
      <c r="B53" s="7">
        <f>B51/B52</f>
        <v>-0.5060851280744233</v>
      </c>
      <c r="C53" s="7">
        <f t="shared" ref="C53:E53" si="33">C51/C52</f>
        <v>-0.61024310153063932</v>
      </c>
      <c r="D53" s="7">
        <f t="shared" si="33"/>
        <v>-0.2042395867525871</v>
      </c>
      <c r="E53" s="7">
        <f t="shared" si="33"/>
        <v>-1.2996542147909043</v>
      </c>
      <c r="F53" s="10">
        <v>-0.6</v>
      </c>
      <c r="G53" s="10">
        <v>-0.6</v>
      </c>
      <c r="H53" s="10">
        <v>-0.6</v>
      </c>
      <c r="I53" s="10">
        <v>-0.6</v>
      </c>
      <c r="J53" s="10">
        <v>-0.6</v>
      </c>
      <c r="K53" s="10">
        <v>-0.6</v>
      </c>
      <c r="L53" s="10">
        <v>-0.6</v>
      </c>
      <c r="M53" s="10">
        <v>-0.6</v>
      </c>
      <c r="N53" s="10">
        <v>-0.6</v>
      </c>
      <c r="O53" s="10">
        <v>-0.6</v>
      </c>
      <c r="P53" s="2"/>
      <c r="Q53" s="2"/>
    </row>
    <row r="54" spans="1:18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" x14ac:dyDescent="0.25">
      <c r="A58" s="22" t="s">
        <v>217</v>
      </c>
      <c r="B58" s="13">
        <v>2020</v>
      </c>
      <c r="C58" s="13">
        <v>2021</v>
      </c>
      <c r="D58" s="13">
        <v>2022</v>
      </c>
      <c r="E58" s="13">
        <v>2023</v>
      </c>
      <c r="F58" s="13" t="s">
        <v>15</v>
      </c>
      <c r="G58" s="13" t="s">
        <v>16</v>
      </c>
      <c r="H58" s="13" t="s">
        <v>17</v>
      </c>
      <c r="I58" s="13" t="s">
        <v>18</v>
      </c>
      <c r="J58" s="13" t="s">
        <v>19</v>
      </c>
      <c r="K58" s="13" t="s">
        <v>20</v>
      </c>
      <c r="L58" s="13" t="s">
        <v>21</v>
      </c>
      <c r="M58" s="13" t="s">
        <v>22</v>
      </c>
      <c r="N58" s="13" t="s">
        <v>23</v>
      </c>
      <c r="O58" s="13" t="s">
        <v>24</v>
      </c>
      <c r="P58" s="2"/>
      <c r="Q58" s="2"/>
      <c r="R58" s="2"/>
    </row>
    <row r="59" spans="1:18" ht="15" x14ac:dyDescent="0.25">
      <c r="A59" s="2" t="s">
        <v>54</v>
      </c>
      <c r="B59" s="58">
        <f>'Income statment'!B35</f>
        <v>221</v>
      </c>
      <c r="C59" s="58">
        <f>'Income statment'!C35</f>
        <v>253</v>
      </c>
      <c r="D59" s="58">
        <f>'Income statment'!D35</f>
        <v>376</v>
      </c>
      <c r="E59" s="58">
        <f>'Income statment'!E35</f>
        <v>496</v>
      </c>
      <c r="F59" s="58">
        <f>'Income statment'!F35</f>
        <v>594.39484751559723</v>
      </c>
      <c r="G59" s="58">
        <f>'Income statment'!G35</f>
        <v>659.88854585287436</v>
      </c>
      <c r="H59" s="58">
        <f>'Income statment'!H35</f>
        <v>721.7014635952047</v>
      </c>
      <c r="I59" s="58">
        <f>'Income statment'!I35</f>
        <v>780.06753437322288</v>
      </c>
      <c r="J59" s="58">
        <f>'Income statment'!J35</f>
        <v>831.99240251359004</v>
      </c>
      <c r="K59" s="58">
        <f>'Income statment'!K35</f>
        <v>883.95921568632696</v>
      </c>
      <c r="L59" s="58">
        <f>'Income statment'!L35</f>
        <v>935.4771456584441</v>
      </c>
      <c r="M59" s="58">
        <f>'Income statment'!M35</f>
        <v>987.08492575082789</v>
      </c>
      <c r="N59" s="58">
        <f>'Income statment'!N35</f>
        <v>1039.7262524807502</v>
      </c>
      <c r="O59" s="58">
        <f>'Income statment'!O35</f>
        <v>1093.7131498462038</v>
      </c>
      <c r="P59" s="2"/>
      <c r="Q59" s="2"/>
      <c r="R59" s="2"/>
    </row>
    <row r="60" spans="1:18" ht="15" x14ac:dyDescent="0.25">
      <c r="A60" s="2" t="s">
        <v>218</v>
      </c>
      <c r="B60" s="3">
        <f>'Income statment'!B18</f>
        <v>-113.322</v>
      </c>
      <c r="C60" s="3">
        <f>'Income statment'!C18</f>
        <v>-112.29900000000001</v>
      </c>
      <c r="D60" s="3">
        <f>'Income statment'!D18</f>
        <v>-178.48699999999999</v>
      </c>
      <c r="E60" s="3">
        <f>'Income statment'!E18</f>
        <v>-250.485536</v>
      </c>
      <c r="F60" s="3">
        <f>'Income statment'!F18</f>
        <v>-291.55</v>
      </c>
      <c r="G60" s="3">
        <f>'Income statment'!G18</f>
        <v>-324.12700000000001</v>
      </c>
      <c r="H60" s="3">
        <f>'Income statment'!H18</f>
        <v>-351.95466000000005</v>
      </c>
      <c r="I60" s="3">
        <f>'Income statment'!I18</f>
        <v>-376.59148620000008</v>
      </c>
      <c r="J60" s="3">
        <f>'Income statment'!J18</f>
        <v>-399.18697537200006</v>
      </c>
      <c r="K60" s="3">
        <f>'Income statment'!K18</f>
        <v>-419.14632414060014</v>
      </c>
      <c r="L60" s="3">
        <f>'Income statment'!L18</f>
        <v>-435.91217710622414</v>
      </c>
      <c r="M60" s="3">
        <f>'Income statment'!M18</f>
        <v>-448.9895424194109</v>
      </c>
      <c r="N60" s="3">
        <f>'Income statment'!N18</f>
        <v>-457.96933326779913</v>
      </c>
      <c r="O60" s="3">
        <f>'Income statment'!O18</f>
        <v>-462.54902660047713</v>
      </c>
      <c r="P60" s="2"/>
      <c r="Q60" s="2"/>
      <c r="R60" s="2"/>
    </row>
    <row r="61" spans="1:18" ht="15" x14ac:dyDescent="0.25">
      <c r="A61" s="2" t="s">
        <v>219</v>
      </c>
      <c r="B61" s="3">
        <f>'Income statment'!B22+'Income statment'!B23</f>
        <v>-39.525999999999996</v>
      </c>
      <c r="C61" s="3">
        <f>'Income statment'!C22+'Income statment'!C23</f>
        <v>-32.674999999999997</v>
      </c>
      <c r="D61" s="3">
        <f>'Income statment'!D22+'Income statment'!D23</f>
        <v>-97.636999999999986</v>
      </c>
      <c r="E61" s="3">
        <f>'Income statment'!E22+'Income statment'!E23</f>
        <v>-156.26618999999999</v>
      </c>
      <c r="F61" s="3">
        <f>'Income statment'!F22+'Income statment'!F23</f>
        <v>-172.65335500000003</v>
      </c>
      <c r="G61" s="3">
        <f>'Income statment'!G22+'Income statment'!G23</f>
        <v>-173.91388432010731</v>
      </c>
      <c r="H61" s="3">
        <f>'Income statment'!H22+'Income statment'!H23</f>
        <v>-174.37479781922951</v>
      </c>
      <c r="I61" s="3">
        <f>'Income statment'!I22+'Income statment'!I23</f>
        <v>-173.90028408620014</v>
      </c>
      <c r="J61" s="3">
        <f>'Income statment'!J22+'Income statment'!J23</f>
        <v>-172.83371089657857</v>
      </c>
      <c r="K61" s="3">
        <f>'Income statment'!K22+'Income statment'!K23</f>
        <v>-171.07979181637569</v>
      </c>
      <c r="L61" s="3">
        <f>'Income statment'!L22+'Income statment'!L23</f>
        <v>-168.62490788435821</v>
      </c>
      <c r="M61" s="3">
        <f>'Income statment'!M22+'Income statment'!M23</f>
        <v>-165.53723615428277</v>
      </c>
      <c r="N61" s="3">
        <f>'Income statment'!N22+'Income statment'!N23</f>
        <v>-161.83766726571642</v>
      </c>
      <c r="O61" s="3">
        <f>'Income statment'!O22+'Income statment'!O23</f>
        <v>-158.18244719743126</v>
      </c>
      <c r="P61" s="2"/>
      <c r="Q61" s="2"/>
      <c r="R61" s="2"/>
    </row>
    <row r="62" spans="1:18" ht="15" x14ac:dyDescent="0.25">
      <c r="A62" s="2" t="s">
        <v>14</v>
      </c>
      <c r="B62" s="2"/>
      <c r="C62" s="2"/>
      <c r="D62" s="2"/>
      <c r="E62" s="2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2"/>
      <c r="Q62" s="2"/>
      <c r="R62" s="2"/>
    </row>
    <row r="63" spans="1:18" ht="15" x14ac:dyDescent="0.25">
      <c r="A63" s="5" t="s">
        <v>220</v>
      </c>
      <c r="B63" s="4">
        <f>SUM(B59:B62)</f>
        <v>68.152000000000001</v>
      </c>
      <c r="C63" s="4">
        <f t="shared" ref="C63:O63" si="34">SUM(C59:C62)</f>
        <v>108.026</v>
      </c>
      <c r="D63" s="4">
        <f t="shared" si="34"/>
        <v>99.876000000000019</v>
      </c>
      <c r="E63" s="4">
        <f t="shared" si="34"/>
        <v>89.248274000000009</v>
      </c>
      <c r="F63" s="4">
        <f t="shared" si="34"/>
        <v>130.19149251559719</v>
      </c>
      <c r="G63" s="4">
        <f t="shared" si="34"/>
        <v>161.84766153276703</v>
      </c>
      <c r="H63" s="4">
        <f t="shared" si="34"/>
        <v>195.37200577597514</v>
      </c>
      <c r="I63" s="4">
        <f t="shared" si="34"/>
        <v>229.57576408702266</v>
      </c>
      <c r="J63" s="4">
        <f t="shared" si="34"/>
        <v>259.97171624501141</v>
      </c>
      <c r="K63" s="4">
        <f t="shared" si="34"/>
        <v>293.73309972935112</v>
      </c>
      <c r="L63" s="4">
        <f t="shared" si="34"/>
        <v>330.94006066786176</v>
      </c>
      <c r="M63" s="4">
        <f t="shared" si="34"/>
        <v>372.55814717713423</v>
      </c>
      <c r="N63" s="4">
        <f t="shared" si="34"/>
        <v>419.91925194723467</v>
      </c>
      <c r="O63" s="4">
        <f t="shared" si="34"/>
        <v>472.98167604829536</v>
      </c>
      <c r="P63" s="2"/>
      <c r="Q63" s="2"/>
      <c r="R63" s="2"/>
    </row>
    <row r="64" spans="1:18" ht="15" x14ac:dyDescent="0.25">
      <c r="A64" s="2" t="s">
        <v>221</v>
      </c>
      <c r="B64" s="2"/>
      <c r="C64" s="2"/>
      <c r="D64" s="2"/>
      <c r="E64" s="2"/>
      <c r="F64" s="10">
        <v>0.26</v>
      </c>
      <c r="G64" s="10">
        <v>0.26</v>
      </c>
      <c r="H64" s="10">
        <v>0.26</v>
      </c>
      <c r="I64" s="10">
        <v>0.26</v>
      </c>
      <c r="J64" s="10">
        <v>0.26</v>
      </c>
      <c r="K64" s="10">
        <v>0.26</v>
      </c>
      <c r="L64" s="10">
        <v>0.26</v>
      </c>
      <c r="M64" s="10">
        <v>0.26</v>
      </c>
      <c r="N64" s="10">
        <v>0.26</v>
      </c>
      <c r="O64" s="10">
        <v>0.26</v>
      </c>
      <c r="P64" s="2"/>
      <c r="Q64" s="2"/>
      <c r="R64" s="2"/>
    </row>
    <row r="65" spans="1:18" ht="15" x14ac:dyDescent="0.25">
      <c r="A65" s="5" t="s">
        <v>222</v>
      </c>
      <c r="B65" s="5"/>
      <c r="C65" s="5"/>
      <c r="D65" s="5"/>
      <c r="E65" s="5"/>
      <c r="F65" s="72">
        <f t="shared" ref="F65:O65" si="35">F64*F63</f>
        <v>33.849788054055267</v>
      </c>
      <c r="G65" s="72">
        <f t="shared" si="35"/>
        <v>42.080391998519431</v>
      </c>
      <c r="H65" s="72">
        <f t="shared" si="35"/>
        <v>50.796721501753538</v>
      </c>
      <c r="I65" s="72">
        <f t="shared" si="35"/>
        <v>59.689698662625894</v>
      </c>
      <c r="J65" s="72">
        <f t="shared" si="35"/>
        <v>67.592646223702971</v>
      </c>
      <c r="K65" s="72">
        <f t="shared" si="35"/>
        <v>76.370605929631296</v>
      </c>
      <c r="L65" s="72">
        <f t="shared" si="35"/>
        <v>86.044415773644062</v>
      </c>
      <c r="M65" s="72">
        <f t="shared" si="35"/>
        <v>96.865118266054907</v>
      </c>
      <c r="N65" s="72">
        <f t="shared" si="35"/>
        <v>109.17900550628102</v>
      </c>
      <c r="O65" s="72">
        <f t="shared" si="35"/>
        <v>122.9752357725568</v>
      </c>
      <c r="P65" s="2"/>
      <c r="Q65" s="2"/>
      <c r="R65" s="2"/>
    </row>
    <row r="66" spans="1:18" ht="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" x14ac:dyDescent="0.25">
      <c r="A68" s="2" t="s">
        <v>223</v>
      </c>
      <c r="B68" s="2"/>
      <c r="C68" s="2"/>
      <c r="D68" s="2"/>
      <c r="E68" s="2"/>
      <c r="F68" s="3">
        <f>'Income statment'!F43</f>
        <v>434.8590625155972</v>
      </c>
      <c r="G68" s="3">
        <f>'Income statment'!G43</f>
        <v>487.97776085287438</v>
      </c>
      <c r="H68" s="3">
        <f>'Income statment'!H43</f>
        <v>540.30317859520471</v>
      </c>
      <c r="I68" s="3">
        <f>'Income statment'!I43</f>
        <v>591.36387437322287</v>
      </c>
      <c r="J68" s="3">
        <f>'Income statment'!J43</f>
        <v>636.58867001358999</v>
      </c>
      <c r="K68" s="3">
        <f>'Income statment'!K43</f>
        <v>682.63708581132687</v>
      </c>
      <c r="L68" s="3">
        <f>'Income statment'!L43</f>
        <v>729.18356198844413</v>
      </c>
      <c r="M68" s="3">
        <f>'Income statment'!M43</f>
        <v>776.91360812072787</v>
      </c>
      <c r="N68" s="3">
        <f>'Income statment'!N43</f>
        <v>826.8922241980481</v>
      </c>
      <c r="O68" s="3">
        <f>'Income statment'!O43</f>
        <v>879.52113913067478</v>
      </c>
      <c r="P68" s="2"/>
      <c r="Q68" s="2"/>
      <c r="R68" s="2"/>
    </row>
    <row r="69" spans="1:18" ht="15" x14ac:dyDescent="0.25">
      <c r="A69" s="2" t="s">
        <v>224</v>
      </c>
      <c r="B69" s="2"/>
      <c r="C69" s="2"/>
      <c r="D69" s="2"/>
      <c r="E69" s="2"/>
      <c r="F69" s="3">
        <f>-Capex!F6</f>
        <v>-408.64645766697311</v>
      </c>
      <c r="G69" s="3">
        <f>-Capex!G6</f>
        <v>-423.96984293138047</v>
      </c>
      <c r="H69" s="3">
        <f>-Capex!H6</f>
        <v>-431.53283390228728</v>
      </c>
      <c r="I69" s="3">
        <f>-Capex!I6</f>
        <v>-448.03878897333823</v>
      </c>
      <c r="J69" s="3">
        <f>-Capex!J6</f>
        <v>-458.44479322177403</v>
      </c>
      <c r="K69" s="3">
        <f>-Capex!K6</f>
        <v>-466.65867224049742</v>
      </c>
      <c r="L69" s="3">
        <f>-Capex!L6</f>
        <v>-472.46320487800199</v>
      </c>
      <c r="M69" s="3">
        <f>-Capex!M6</f>
        <v>-476.18167272401735</v>
      </c>
      <c r="N69" s="3">
        <f>-Capex!N6</f>
        <v>-499.06860119075998</v>
      </c>
      <c r="O69" s="3">
        <f>-Capex!O6</f>
        <v>-522.37045962803757</v>
      </c>
      <c r="P69" s="2"/>
      <c r="Q69" s="2"/>
      <c r="R69" s="2"/>
    </row>
    <row r="70" spans="1:18" ht="15" x14ac:dyDescent="0.25">
      <c r="A70" s="2" t="s">
        <v>225</v>
      </c>
      <c r="B70" s="2"/>
      <c r="C70" s="2"/>
      <c r="D70" s="2"/>
      <c r="E70" s="2"/>
      <c r="F70" s="3">
        <f>-F65</f>
        <v>-33.849788054055267</v>
      </c>
      <c r="G70" s="3">
        <f t="shared" ref="G70:O70" si="36">-G65</f>
        <v>-42.080391998519431</v>
      </c>
      <c r="H70" s="3">
        <f t="shared" si="36"/>
        <v>-50.796721501753538</v>
      </c>
      <c r="I70" s="3">
        <f t="shared" si="36"/>
        <v>-59.689698662625894</v>
      </c>
      <c r="J70" s="3">
        <f t="shared" si="36"/>
        <v>-67.592646223702971</v>
      </c>
      <c r="K70" s="3">
        <f t="shared" si="36"/>
        <v>-76.370605929631296</v>
      </c>
      <c r="L70" s="3">
        <f t="shared" si="36"/>
        <v>-86.044415773644062</v>
      </c>
      <c r="M70" s="3">
        <f t="shared" si="36"/>
        <v>-96.865118266054907</v>
      </c>
      <c r="N70" s="3">
        <f t="shared" si="36"/>
        <v>-109.17900550628102</v>
      </c>
      <c r="O70" s="3">
        <f t="shared" si="36"/>
        <v>-122.9752357725568</v>
      </c>
      <c r="P70" s="2"/>
      <c r="Q70" s="2"/>
      <c r="R70" s="2"/>
    </row>
    <row r="71" spans="1:18" ht="15" x14ac:dyDescent="0.25">
      <c r="A71" s="14" t="s">
        <v>152</v>
      </c>
      <c r="B71" s="14"/>
      <c r="C71" s="14"/>
      <c r="D71" s="14"/>
      <c r="E71" s="14"/>
      <c r="F71" s="15">
        <f>SUM(F68:F70)</f>
        <v>-7.637183205431171</v>
      </c>
      <c r="G71" s="15">
        <f t="shared" ref="G71:O71" si="37">SUM(G68:G70)</f>
        <v>21.927525922974482</v>
      </c>
      <c r="H71" s="15">
        <f t="shared" si="37"/>
        <v>57.973623191163895</v>
      </c>
      <c r="I71" s="15">
        <f t="shared" si="37"/>
        <v>83.635386737258756</v>
      </c>
      <c r="J71" s="15">
        <f t="shared" si="37"/>
        <v>110.55123056811298</v>
      </c>
      <c r="K71" s="15">
        <f t="shared" si="37"/>
        <v>139.60780764119815</v>
      </c>
      <c r="L71" s="15">
        <f t="shared" si="37"/>
        <v>170.67594133679808</v>
      </c>
      <c r="M71" s="15">
        <f t="shared" si="37"/>
        <v>203.86681713065562</v>
      </c>
      <c r="N71" s="15">
        <f t="shared" si="37"/>
        <v>218.6446175010071</v>
      </c>
      <c r="O71" s="15">
        <f t="shared" si="37"/>
        <v>234.17544373008042</v>
      </c>
      <c r="P71" s="2"/>
      <c r="Q71" s="2"/>
      <c r="R71" s="2"/>
    </row>
    <row r="72" spans="1:18" ht="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F903-F371-4B2C-872A-B9150ABCF455}">
  <dimension ref="A1:K52"/>
  <sheetViews>
    <sheetView zoomScale="55" zoomScaleNormal="55" workbookViewId="0">
      <selection activeCell="O30" sqref="O30"/>
    </sheetView>
  </sheetViews>
  <sheetFormatPr defaultRowHeight="12.75" x14ac:dyDescent="0.2"/>
  <cols>
    <col min="1" max="1" width="12.5703125" bestFit="1" customWidth="1"/>
    <col min="2" max="5" width="11.5703125" customWidth="1"/>
  </cols>
  <sheetData>
    <row r="1" spans="1:9" ht="15" x14ac:dyDescent="0.25">
      <c r="A1" s="2"/>
      <c r="B1" s="57"/>
      <c r="C1" s="57"/>
      <c r="D1" s="57"/>
      <c r="E1" s="57"/>
      <c r="F1" s="2"/>
      <c r="G1" s="2"/>
      <c r="H1" s="2"/>
      <c r="I1" s="2"/>
    </row>
    <row r="2" spans="1:9" ht="15" x14ac:dyDescent="0.25">
      <c r="A2" s="2"/>
      <c r="B2" s="57"/>
      <c r="C2" s="57"/>
      <c r="D2" s="57"/>
      <c r="E2" s="57"/>
      <c r="F2" s="2"/>
      <c r="G2" s="2"/>
      <c r="H2" s="2"/>
      <c r="I2" s="2"/>
    </row>
    <row r="3" spans="1:9" ht="15" x14ac:dyDescent="0.25">
      <c r="A3" s="6"/>
      <c r="B3" s="84" t="s">
        <v>216</v>
      </c>
      <c r="C3" s="84"/>
      <c r="D3" s="84" t="s">
        <v>215</v>
      </c>
      <c r="E3" s="84"/>
      <c r="F3" s="2"/>
      <c r="G3" s="2"/>
      <c r="H3" s="2"/>
      <c r="I3" s="2"/>
    </row>
    <row r="4" spans="1:9" ht="15" x14ac:dyDescent="0.25">
      <c r="A4" s="2" t="str">
        <f>Revenue!A10</f>
        <v>Madagascar</v>
      </c>
      <c r="B4" s="58">
        <f>Revenue!F10</f>
        <v>369.11461493073796</v>
      </c>
      <c r="C4" s="59">
        <f>B4/B$10</f>
        <v>0.33490309983254635</v>
      </c>
      <c r="D4" s="59">
        <v>0.2</v>
      </c>
      <c r="E4" s="59">
        <f>C4*D4</f>
        <v>6.6980619966509267E-2</v>
      </c>
      <c r="F4" s="2"/>
      <c r="G4" s="2"/>
      <c r="H4" s="2"/>
      <c r="I4" s="2"/>
    </row>
    <row r="5" spans="1:9" ht="15" x14ac:dyDescent="0.25">
      <c r="A5" s="2" t="str">
        <f>Revenue!A11</f>
        <v>Togo</v>
      </c>
      <c r="B5" s="58">
        <f>Revenue!F11</f>
        <v>218.9033856269595</v>
      </c>
      <c r="C5" s="59">
        <f t="shared" ref="C5:C9" si="0">B5/B$10</f>
        <v>0.1986142500048784</v>
      </c>
      <c r="D5" s="59">
        <v>0.27</v>
      </c>
      <c r="E5" s="59">
        <f t="shared" ref="E5:E9" si="1">C5*D5</f>
        <v>5.3625847501317173E-2</v>
      </c>
      <c r="F5" s="2"/>
      <c r="G5" s="2"/>
      <c r="H5" s="2"/>
      <c r="I5" s="2"/>
    </row>
    <row r="6" spans="1:9" ht="15" x14ac:dyDescent="0.25">
      <c r="A6" s="2" t="str">
        <f>Revenue!A12</f>
        <v>Tanzania</v>
      </c>
      <c r="B6" s="58">
        <f>Revenue!F12</f>
        <v>357.02315343313046</v>
      </c>
      <c r="C6" s="59">
        <f t="shared" si="0"/>
        <v>0.3239323396045492</v>
      </c>
      <c r="D6" s="59">
        <v>0.3</v>
      </c>
      <c r="E6" s="59">
        <f t="shared" si="1"/>
        <v>9.7179701881364752E-2</v>
      </c>
      <c r="F6" s="2"/>
      <c r="G6" s="2"/>
      <c r="H6" s="2"/>
      <c r="I6" s="2"/>
    </row>
    <row r="7" spans="1:9" ht="15" x14ac:dyDescent="0.25">
      <c r="A7" s="2" t="str">
        <f>Revenue!A13</f>
        <v>Senegal</v>
      </c>
      <c r="B7" s="58">
        <f>Revenue!F13</f>
        <v>135.32526000000001</v>
      </c>
      <c r="C7" s="59">
        <f t="shared" si="0"/>
        <v>0.12278259171111247</v>
      </c>
      <c r="D7" s="59">
        <v>0.3</v>
      </c>
      <c r="E7" s="59">
        <f t="shared" si="1"/>
        <v>3.6834777513333743E-2</v>
      </c>
      <c r="F7" s="2"/>
      <c r="G7" s="2"/>
      <c r="H7" s="2"/>
      <c r="I7" s="2"/>
    </row>
    <row r="8" spans="1:9" ht="15" x14ac:dyDescent="0.25">
      <c r="A8" s="2" t="str">
        <f>Revenue!A14</f>
        <v>Uganda</v>
      </c>
      <c r="B8" s="58">
        <f>Revenue!F14</f>
        <v>13.072236</v>
      </c>
      <c r="C8" s="59">
        <f t="shared" si="0"/>
        <v>1.1860631308148278E-2</v>
      </c>
      <c r="D8" s="59">
        <v>0.3</v>
      </c>
      <c r="E8" s="59">
        <f t="shared" si="1"/>
        <v>3.558189392444483E-3</v>
      </c>
      <c r="F8" s="2"/>
      <c r="G8" s="2"/>
      <c r="H8" s="2"/>
      <c r="I8" s="2"/>
    </row>
    <row r="9" spans="1:9" ht="15" x14ac:dyDescent="0.25">
      <c r="A9" s="2" t="str">
        <f>Revenue!A15</f>
        <v>Mauritius</v>
      </c>
      <c r="B9" s="58">
        <f>Revenue!F15</f>
        <v>8.7148240000000001</v>
      </c>
      <c r="C9" s="59">
        <f t="shared" si="0"/>
        <v>7.9070875387655185E-3</v>
      </c>
      <c r="D9" s="59">
        <v>0.15</v>
      </c>
      <c r="E9" s="59">
        <f t="shared" si="1"/>
        <v>1.1860631308148277E-3</v>
      </c>
      <c r="F9" s="2"/>
      <c r="G9" s="2"/>
      <c r="H9" s="2"/>
      <c r="I9" s="2"/>
    </row>
    <row r="10" spans="1:9" ht="15" x14ac:dyDescent="0.25">
      <c r="A10" s="2"/>
      <c r="B10" s="58">
        <f>SUM(B4:B9)</f>
        <v>1102.1534739908277</v>
      </c>
      <c r="C10" s="59">
        <f>SUM(C4:C9)</f>
        <v>1.0000000000000002</v>
      </c>
      <c r="D10" s="57"/>
      <c r="E10" s="93">
        <f>SUM(E4:E9)</f>
        <v>0.25936519938578428</v>
      </c>
      <c r="F10" s="2"/>
      <c r="G10" s="2"/>
      <c r="H10" s="2"/>
      <c r="I10" s="2"/>
    </row>
    <row r="11" spans="1:9" ht="15" x14ac:dyDescent="0.25">
      <c r="A11" s="2"/>
      <c r="B11" s="57"/>
      <c r="C11" s="57"/>
      <c r="D11" s="57"/>
      <c r="E11" s="57"/>
      <c r="F11" s="2"/>
      <c r="G11" s="2"/>
      <c r="H11" s="2"/>
      <c r="I11" s="2"/>
    </row>
    <row r="12" spans="1:9" ht="15" x14ac:dyDescent="0.25">
      <c r="A12" s="2"/>
      <c r="B12" s="57"/>
      <c r="C12" s="57"/>
      <c r="D12" s="57"/>
      <c r="E12" s="57"/>
      <c r="F12" s="2"/>
      <c r="G12" s="2"/>
      <c r="H12" s="2"/>
      <c r="I12" s="2"/>
    </row>
    <row r="13" spans="1:9" ht="15" x14ac:dyDescent="0.25">
      <c r="A13" s="2" t="s">
        <v>243</v>
      </c>
      <c r="B13" s="57">
        <v>66</v>
      </c>
      <c r="C13" s="57"/>
      <c r="D13" s="57"/>
      <c r="E13" s="57"/>
      <c r="F13" s="2"/>
      <c r="G13" s="2"/>
      <c r="H13" s="2"/>
      <c r="I13" s="2"/>
    </row>
    <row r="14" spans="1:9" ht="15" x14ac:dyDescent="0.25">
      <c r="A14" s="2" t="s">
        <v>12</v>
      </c>
      <c r="B14" s="2">
        <v>12</v>
      </c>
      <c r="C14" s="2"/>
      <c r="D14" s="2"/>
      <c r="E14" s="2"/>
      <c r="F14" s="2"/>
      <c r="G14" s="2"/>
      <c r="H14" s="2"/>
      <c r="I14" s="2"/>
    </row>
    <row r="15" spans="1:9" ht="15" x14ac:dyDescent="0.25">
      <c r="A15" s="2" t="s">
        <v>244</v>
      </c>
      <c r="B15" s="2">
        <v>15</v>
      </c>
      <c r="C15" s="2"/>
      <c r="D15" s="2"/>
      <c r="E15" s="2"/>
      <c r="F15" s="2"/>
      <c r="G15" s="2"/>
      <c r="H15" s="2"/>
      <c r="I15" s="2"/>
    </row>
    <row r="16" spans="1:9" ht="15" x14ac:dyDescent="0.25">
      <c r="A16" s="2" t="s">
        <v>93</v>
      </c>
      <c r="B16" s="2">
        <v>7</v>
      </c>
      <c r="C16" s="2"/>
      <c r="D16" s="2"/>
      <c r="E16" s="2"/>
      <c r="F16" s="2"/>
      <c r="G16" s="2"/>
      <c r="H16" s="2"/>
      <c r="I16" s="2"/>
    </row>
    <row r="17" spans="1:9" ht="1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5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ht="15" x14ac:dyDescent="0.25">
      <c r="A21" s="2" t="s">
        <v>245</v>
      </c>
      <c r="B21" s="2"/>
      <c r="C21" s="2"/>
      <c r="D21" s="2"/>
      <c r="E21" s="2"/>
      <c r="F21" s="2"/>
      <c r="G21" s="2"/>
      <c r="H21" s="2"/>
      <c r="I21" s="2"/>
    </row>
    <row r="22" spans="1:9" ht="1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t="str">
        <f>A4</f>
        <v>Madagascar</v>
      </c>
      <c r="B23" s="94">
        <f>C34</f>
        <v>0.43689320388349512</v>
      </c>
    </row>
    <row r="24" spans="1:9" x14ac:dyDescent="0.2">
      <c r="A24" t="str">
        <f t="shared" ref="A24:A27" si="2">A5</f>
        <v>Togo</v>
      </c>
      <c r="B24" s="94">
        <f>G34</f>
        <v>0.58441373415016384</v>
      </c>
    </row>
    <row r="25" spans="1:9" x14ac:dyDescent="0.2">
      <c r="A25" t="str">
        <f t="shared" si="2"/>
        <v>Tanzania</v>
      </c>
      <c r="B25" s="94">
        <f>K34</f>
        <v>0.26078428140504722</v>
      </c>
    </row>
    <row r="26" spans="1:9" x14ac:dyDescent="0.2">
      <c r="A26" t="str">
        <f t="shared" si="2"/>
        <v>Senegal</v>
      </c>
      <c r="B26" s="94">
        <v>0.25</v>
      </c>
    </row>
    <row r="27" spans="1:9" x14ac:dyDescent="0.2">
      <c r="A27" t="str">
        <f t="shared" si="2"/>
        <v>Uganda</v>
      </c>
    </row>
    <row r="28" spans="1:9" x14ac:dyDescent="0.2">
      <c r="A28" t="str">
        <f>A9</f>
        <v>Mauritius</v>
      </c>
    </row>
    <row r="33" spans="1:11" x14ac:dyDescent="0.2">
      <c r="A33" t="s">
        <v>1</v>
      </c>
      <c r="E33" t="s">
        <v>2</v>
      </c>
      <c r="I33" t="s">
        <v>3</v>
      </c>
    </row>
    <row r="34" spans="1:11" x14ac:dyDescent="0.2">
      <c r="A34" t="s">
        <v>246</v>
      </c>
      <c r="B34">
        <v>4500</v>
      </c>
      <c r="C34">
        <f>B34/B37</f>
        <v>0.43689320388349512</v>
      </c>
      <c r="E34" t="s">
        <v>246</v>
      </c>
      <c r="F34">
        <v>4102</v>
      </c>
      <c r="G34">
        <f>F34/F36</f>
        <v>0.58441373415016384</v>
      </c>
      <c r="I34" t="s">
        <v>246</v>
      </c>
      <c r="J34" s="9">
        <f>Revenue!E29</f>
        <v>15821</v>
      </c>
      <c r="K34">
        <f>J34/J38</f>
        <v>0.26078428140504722</v>
      </c>
    </row>
    <row r="35" spans="1:11" x14ac:dyDescent="0.2">
      <c r="A35" t="s">
        <v>247</v>
      </c>
      <c r="B35">
        <v>2500</v>
      </c>
      <c r="E35" t="s">
        <v>249</v>
      </c>
      <c r="F35">
        <v>2917</v>
      </c>
      <c r="I35" t="s">
        <v>250</v>
      </c>
      <c r="J35">
        <v>20300</v>
      </c>
    </row>
    <row r="36" spans="1:11" x14ac:dyDescent="0.2">
      <c r="A36" t="s">
        <v>248</v>
      </c>
      <c r="B36">
        <v>3300</v>
      </c>
      <c r="F36">
        <f>F35+F34</f>
        <v>7019</v>
      </c>
      <c r="I36" t="s">
        <v>247</v>
      </c>
      <c r="J36">
        <v>16400</v>
      </c>
    </row>
    <row r="37" spans="1:11" x14ac:dyDescent="0.2">
      <c r="B37">
        <f>SUM(B34:B36)</f>
        <v>10300</v>
      </c>
      <c r="I37" t="s">
        <v>251</v>
      </c>
      <c r="J37">
        <v>8146</v>
      </c>
    </row>
    <row r="38" spans="1:11" x14ac:dyDescent="0.2">
      <c r="J38" s="9">
        <f>SUM(J34:J37)</f>
        <v>60667</v>
      </c>
    </row>
    <row r="40" spans="1:11" x14ac:dyDescent="0.2">
      <c r="A40" t="s">
        <v>5</v>
      </c>
    </row>
    <row r="42" spans="1:11" x14ac:dyDescent="0.2">
      <c r="A42" t="s">
        <v>4</v>
      </c>
      <c r="B42" s="9">
        <f>Revenue!F32</f>
        <v>5925</v>
      </c>
    </row>
    <row r="43" spans="1:11" x14ac:dyDescent="0.2">
      <c r="B43" s="95"/>
    </row>
    <row r="47" spans="1:11" x14ac:dyDescent="0.2">
      <c r="A47" t="s">
        <v>252</v>
      </c>
    </row>
    <row r="48" spans="1:11" x14ac:dyDescent="0.2">
      <c r="B48" t="s">
        <v>253</v>
      </c>
      <c r="C48" t="s">
        <v>254</v>
      </c>
    </row>
    <row r="49" spans="1:3" x14ac:dyDescent="0.2">
      <c r="A49" t="str">
        <f>A23</f>
        <v>Madagascar</v>
      </c>
      <c r="B49" s="94">
        <v>0.66600000000000004</v>
      </c>
      <c r="C49" s="94">
        <v>0.379</v>
      </c>
    </row>
    <row r="50" spans="1:3" x14ac:dyDescent="0.2">
      <c r="A50" t="str">
        <f t="shared" ref="A50:A52" si="3">A24</f>
        <v>Togo</v>
      </c>
      <c r="B50" s="94">
        <v>0.87</v>
      </c>
      <c r="C50" s="94">
        <v>0.64900000000000002</v>
      </c>
    </row>
    <row r="51" spans="1:3" x14ac:dyDescent="0.2">
      <c r="A51" t="str">
        <f t="shared" si="3"/>
        <v>Tanzania</v>
      </c>
      <c r="B51" s="94">
        <v>1.224</v>
      </c>
      <c r="C51" s="94">
        <v>0.63700000000000001</v>
      </c>
    </row>
    <row r="52" spans="1:3" x14ac:dyDescent="0.2">
      <c r="A52" t="str">
        <f t="shared" si="3"/>
        <v>Senegal</v>
      </c>
      <c r="B52" s="94">
        <v>1.28</v>
      </c>
      <c r="C52" s="94">
        <v>1.161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A70B-9207-4ABF-A47B-7DE4DE493E84}">
  <dimension ref="A1:Y124"/>
  <sheetViews>
    <sheetView workbookViewId="0">
      <selection activeCell="I8" sqref="I8"/>
    </sheetView>
  </sheetViews>
  <sheetFormatPr defaultRowHeight="12.75" x14ac:dyDescent="0.2"/>
  <cols>
    <col min="1" max="1" width="15" customWidth="1"/>
  </cols>
  <sheetData>
    <row r="1" spans="1:25" ht="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5">
      <c r="A2" s="84"/>
      <c r="B2" s="84" t="s">
        <v>235</v>
      </c>
      <c r="C2" s="84" t="s">
        <v>236</v>
      </c>
      <c r="D2" s="84" t="s">
        <v>237</v>
      </c>
      <c r="E2" s="84" t="s">
        <v>230</v>
      </c>
      <c r="F2" s="84" t="s">
        <v>231</v>
      </c>
      <c r="G2" s="84" t="s">
        <v>232</v>
      </c>
      <c r="H2" s="84" t="s">
        <v>233</v>
      </c>
      <c r="I2" s="84" t="s">
        <v>234</v>
      </c>
      <c r="J2" s="84" t="s">
        <v>229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x14ac:dyDescent="0.25">
      <c r="A3" s="2" t="s">
        <v>0</v>
      </c>
      <c r="B3" s="2"/>
      <c r="C3" s="2"/>
      <c r="D3" s="2"/>
      <c r="E3" s="2"/>
      <c r="F3" s="2">
        <v>241</v>
      </c>
      <c r="G3" s="2"/>
      <c r="H3" s="2"/>
      <c r="I3" s="2"/>
      <c r="J3" s="2">
        <v>322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5">
        <f>J3/F3-1</f>
        <v>0.33609958506224058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5">
      <c r="A5" s="2" t="s">
        <v>238</v>
      </c>
      <c r="B5" s="2"/>
      <c r="C5" s="2"/>
      <c r="D5" s="2"/>
      <c r="E5" s="2"/>
      <c r="F5" s="2"/>
      <c r="G5" s="2"/>
      <c r="H5" s="2"/>
      <c r="I5" s="2"/>
      <c r="J5" s="82">
        <f>J3/284-1</f>
        <v>0.13380281690140849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5">
      <c r="A6" s="2"/>
      <c r="B6" s="2"/>
      <c r="C6" s="2"/>
      <c r="D6" s="2"/>
      <c r="E6" s="2"/>
      <c r="F6" s="2"/>
      <c r="G6" s="2"/>
      <c r="H6" s="2"/>
      <c r="I6" s="2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5">
      <c r="A7" s="2" t="s">
        <v>54</v>
      </c>
      <c r="B7" s="2"/>
      <c r="C7" s="2"/>
      <c r="D7" s="2"/>
      <c r="E7" s="2"/>
      <c r="F7" s="2">
        <v>108</v>
      </c>
      <c r="G7" s="2"/>
      <c r="H7" s="2"/>
      <c r="I7" s="2"/>
      <c r="J7" s="2">
        <v>148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5">
      <c r="A8" s="2" t="s">
        <v>10</v>
      </c>
      <c r="B8" s="2"/>
      <c r="C8" s="2"/>
      <c r="D8" s="2"/>
      <c r="E8" s="2"/>
      <c r="F8" s="2"/>
      <c r="G8" s="2"/>
      <c r="H8" s="2"/>
      <c r="I8" s="2"/>
      <c r="J8" s="25">
        <f>J7/F7-1</f>
        <v>0.37037037037037046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5">
      <c r="A9" s="2" t="s">
        <v>238</v>
      </c>
      <c r="B9" s="2"/>
      <c r="C9" s="2"/>
      <c r="D9" s="2"/>
      <c r="E9" s="2"/>
      <c r="F9" s="2"/>
      <c r="G9" s="2"/>
      <c r="H9" s="2"/>
      <c r="I9" s="2"/>
      <c r="J9" s="25">
        <f>J7/125-1</f>
        <v>0.18399999999999994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x14ac:dyDescent="0.25">
      <c r="A10" s="2" t="s">
        <v>55</v>
      </c>
      <c r="B10" s="2"/>
      <c r="C10" s="2"/>
      <c r="D10" s="2"/>
      <c r="E10" s="2"/>
      <c r="F10" s="25">
        <f>F7/F3</f>
        <v>0.44813278008298757</v>
      </c>
      <c r="G10" s="25"/>
      <c r="H10" s="25"/>
      <c r="I10" s="25"/>
      <c r="J10" s="25">
        <f>J7/J3</f>
        <v>0.45962732919254656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5">
      <c r="A11" s="2" t="s">
        <v>239</v>
      </c>
      <c r="B11" s="2"/>
      <c r="C11" s="2"/>
      <c r="D11" s="2"/>
      <c r="E11" s="2"/>
      <c r="F11" s="82">
        <f>125/284</f>
        <v>0.44014084507042256</v>
      </c>
      <c r="G11" s="25"/>
      <c r="H11" s="25"/>
      <c r="I11" s="25"/>
      <c r="J11" s="82">
        <f>J10</f>
        <v>0.45962732919254656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x14ac:dyDescent="0.25">
      <c r="A13" s="2" t="s">
        <v>112</v>
      </c>
      <c r="B13" s="2"/>
      <c r="C13" s="2"/>
      <c r="D13" s="2"/>
      <c r="E13" s="2"/>
      <c r="F13" s="2">
        <v>87</v>
      </c>
      <c r="G13" s="2"/>
      <c r="H13" s="2"/>
      <c r="I13" s="2"/>
      <c r="J13" s="2">
        <v>117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 x14ac:dyDescent="0.25">
      <c r="A14" s="2" t="s">
        <v>142</v>
      </c>
      <c r="B14" s="2"/>
      <c r="C14" s="2"/>
      <c r="D14" s="2"/>
      <c r="E14" s="2"/>
      <c r="F14" s="7">
        <f>F13/F3</f>
        <v>0.36099585062240663</v>
      </c>
      <c r="G14" s="2"/>
      <c r="H14" s="2"/>
      <c r="I14" s="2"/>
      <c r="J14" s="7">
        <f>J13/J3</f>
        <v>0.36335403726708076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x14ac:dyDescent="0.25">
      <c r="A15" s="2" t="s">
        <v>240</v>
      </c>
      <c r="B15" s="2"/>
      <c r="C15" s="2"/>
      <c r="D15" s="2"/>
      <c r="E15" s="2"/>
      <c r="F15" s="83">
        <f>89/284</f>
        <v>0.31338028169014087</v>
      </c>
      <c r="G15" s="2"/>
      <c r="H15" s="2"/>
      <c r="I15" s="2"/>
      <c r="J15" s="7">
        <f>J14</f>
        <v>0.36335403726708076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" x14ac:dyDescent="0.25">
      <c r="A16" s="2" t="s">
        <v>10</v>
      </c>
      <c r="B16" s="2"/>
      <c r="C16" s="2"/>
      <c r="D16" s="2"/>
      <c r="E16" s="2"/>
      <c r="F16" s="2"/>
      <c r="G16" s="2"/>
      <c r="H16" s="2"/>
      <c r="I16" s="2"/>
      <c r="J16" s="25">
        <f>J13/F13-1</f>
        <v>0.34482758620689657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x14ac:dyDescent="0.25">
      <c r="A17" s="2" t="s">
        <v>238</v>
      </c>
      <c r="B17" s="2"/>
      <c r="C17" s="2"/>
      <c r="D17" s="2"/>
      <c r="E17" s="2"/>
      <c r="F17" s="2"/>
      <c r="G17" s="2"/>
      <c r="H17" s="2"/>
      <c r="I17" s="2"/>
      <c r="J17" s="25">
        <f>J13/89-1</f>
        <v>0.31460674157303381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</sheetData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64ecaf-0ff2-4962-b687-c42052c96c69">
      <Terms xmlns="http://schemas.microsoft.com/office/infopath/2007/PartnerControls"/>
    </lcf76f155ced4ddcb4097134ff3c332f>
    <TaxCatchAll xmlns="ac44878d-96d9-4f15-b496-a713624269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5DFD126F1C944A14E489380A940D9" ma:contentTypeVersion="12" ma:contentTypeDescription="Create a new document." ma:contentTypeScope="" ma:versionID="135f5511df3d0be2c8bd5128510892d5">
  <xsd:schema xmlns:xsd="http://www.w3.org/2001/XMLSchema" xmlns:xs="http://www.w3.org/2001/XMLSchema" xmlns:p="http://schemas.microsoft.com/office/2006/metadata/properties" xmlns:ns2="7a64ecaf-0ff2-4962-b687-c42052c96c69" xmlns:ns3="ac44878d-96d9-4f15-b496-a71362426953" targetNamespace="http://schemas.microsoft.com/office/2006/metadata/properties" ma:root="true" ma:fieldsID="9403f04297d608c6c0e02be7f891f173" ns2:_="" ns3:_="">
    <xsd:import namespace="7a64ecaf-0ff2-4962-b687-c42052c96c69"/>
    <xsd:import namespace="ac44878d-96d9-4f15-b496-a71362426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4ecaf-0ff2-4962-b687-c42052c96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47c01aa-fa72-499e-a558-c0906cb7c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4878d-96d9-4f15-b496-a7136242695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b3b699d-aa6c-457c-8a6e-4428a86250e7}" ma:internalName="TaxCatchAll" ma:showField="CatchAllData" ma:web="ac44878d-96d9-4f15-b496-a71362426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63A495-505B-4C15-949B-DE68FF8C9892}">
  <ds:schemaRefs>
    <ds:schemaRef ds:uri="http://schemas.microsoft.com/office/2006/metadata/properties"/>
    <ds:schemaRef ds:uri="http://schemas.microsoft.com/office/infopath/2007/PartnerControls"/>
    <ds:schemaRef ds:uri="7a64ecaf-0ff2-4962-b687-c42052c96c69"/>
    <ds:schemaRef ds:uri="ac44878d-96d9-4f15-b496-a71362426953"/>
  </ds:schemaRefs>
</ds:datastoreItem>
</file>

<file path=customXml/itemProps2.xml><?xml version="1.0" encoding="utf-8"?>
<ds:datastoreItem xmlns:ds="http://schemas.openxmlformats.org/officeDocument/2006/customXml" ds:itemID="{8DB93707-E112-4047-9841-BFEDE0EA6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64ecaf-0ff2-4962-b687-c42052c96c69"/>
    <ds:schemaRef ds:uri="ac44878d-96d9-4f15-b496-a71362426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4AB94-AF82-4E8A-A16A-5218AC2AC8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Valuation</vt:lpstr>
      <vt:lpstr>Revenue</vt:lpstr>
      <vt:lpstr>Income statment</vt:lpstr>
      <vt:lpstr>Capex</vt:lpstr>
      <vt:lpstr>BS and debt</vt:lpstr>
      <vt:lpstr>Cash flow</vt:lpstr>
      <vt:lpstr>Analysis</vt:lpstr>
      <vt:lpstr>Interims</vt:lpstr>
      <vt:lpstr>Bond pricing</vt:lpstr>
      <vt:lpstr>Anna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David-Mickael Lopes</dc:creator>
  <cp:lastModifiedBy>David-Mickael Lopes</cp:lastModifiedBy>
  <dcterms:created xsi:type="dcterms:W3CDTF">2022-06-13T12:10:38Z</dcterms:created>
  <dcterms:modified xsi:type="dcterms:W3CDTF">2024-09-25T16:37:51Z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0x0101004E45DFD126F1C944A14E489380A940D9</vt:lpwstr>
  </property>
  <property fmtid="{D5CDD505-2E9C-101B-9397-08002B2CF9AE}" pid="3" name="Order">
    <vt:r8>8150200</vt:r8>
  </property>
  <property fmtid="{D5CDD505-2E9C-101B-9397-08002B2CF9AE}" pid="4" name="MediaServiceImageTags">
    <vt:lpwstr/>
  </property>
</Properties>
</file>