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3.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4.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5.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7.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8.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9.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0.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2.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3.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4.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5.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6.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7.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8.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9.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0.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1.xml" ContentType="application/vnd.openxmlformats-officedocument.themeOverride+xml"/>
  <Override PartName="/xl/drawings/drawing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8.xml" ContentType="application/vnd.openxmlformats-officedocument.drawingml.chartshapes+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22.xml" ContentType="application/vnd.openxmlformats-officedocument.themeOverrid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23.xml" ContentType="application/vnd.openxmlformats-officedocument.themeOverride+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1.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TELECOMS\STOCKS\EMEA\Latam\Megacable\Current model\"/>
    </mc:Choice>
  </mc:AlternateContent>
  <xr:revisionPtr revIDLastSave="0" documentId="13_ncr:1_{577D2F66-13B2-479B-A2C2-536BFBC0B7EC}" xr6:coauthVersionLast="47" xr6:coauthVersionMax="47" xr10:uidLastSave="{00000000-0000-0000-0000-000000000000}"/>
  <bookViews>
    <workbookView xWindow="38280" yWindow="-8010" windowWidth="38640" windowHeight="21840" tabRatio="829" xr2:uid="{00000000-000D-0000-FFFF-FFFF00000000}"/>
  </bookViews>
  <sheets>
    <sheet name="Cover" sheetId="11" r:id="rId1"/>
    <sheet name="Summary" sheetId="12" r:id="rId2"/>
    <sheet name="Valuation" sheetId="6" r:id="rId3"/>
    <sheet name="Master" sheetId="1" r:id="rId4"/>
    <sheet name="Fixed" sheetId="2" r:id="rId5"/>
    <sheet name="Mobile" sheetId="5" r:id="rId6"/>
    <sheet name="Quarts" sheetId="3" r:id="rId7"/>
    <sheet name="Earnings snaps" sheetId="13" r:id="rId8"/>
    <sheet name="Market BB quarts" sheetId="14" r:id="rId9"/>
    <sheet name="Analysis" sheetId="7" r:id="rId10"/>
    <sheet name="Notes" sheetId="4" r:id="rId11"/>
    <sheet name="Anna" sheetId="9" r:id="rId12"/>
    <sheet name="PF model" sheetId="15" r:id="rId13"/>
    <sheet name="FKLink" sheetId="10" r:id="rId14"/>
    <sheet name="Sheet1" sheetId="16" r:id="rId15"/>
    <sheet name="Sheet2" sheetId="1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 localSheetId="13">#REF!</definedName>
    <definedName name="___">#REF!</definedName>
    <definedName name="________yr1996" localSheetId="13">#REF!</definedName>
    <definedName name="________yr1996">#REF!</definedName>
    <definedName name="___yr1996">#REF!</definedName>
    <definedName name="__FDS_HYPERLINK_TOGGLE_STATE__" hidden="1">"ON"</definedName>
    <definedName name="_1993A">#REF!</definedName>
    <definedName name="_1994A">#REF!</definedName>
    <definedName name="_1995">#REF!</definedName>
    <definedName name="_1995A">#REF!</definedName>
    <definedName name="_1996">#REF!</definedName>
    <definedName name="_1996A">#REF!</definedName>
    <definedName name="_1997">#REF!</definedName>
    <definedName name="_1997A">#REF!</definedName>
    <definedName name="_1998">#REF!</definedName>
    <definedName name="_1998E">#REF!</definedName>
    <definedName name="_1999">#REF!</definedName>
    <definedName name="_1999E">#REF!</definedName>
    <definedName name="_2000">#REF!</definedName>
    <definedName name="_2000E">#REF!</definedName>
    <definedName name="_2001">#REF!</definedName>
    <definedName name="_2001E">#REF!</definedName>
    <definedName name="_2002">#REF!</definedName>
    <definedName name="_2002E">#REF!</definedName>
    <definedName name="_2003E">#REF!</definedName>
    <definedName name="_2004E">#REF!</definedName>
    <definedName name="_2005E">#REF!</definedName>
    <definedName name="_Admin" hidden="1">"No"</definedName>
    <definedName name="_Fill" hidden="1">#REF!</definedName>
    <definedName name="_xlnm._FilterDatabase" localSheetId="1" hidden="1">#REF!</definedName>
    <definedName name="_xlnm._FilterDatabase" hidden="1">#REF!</definedName>
    <definedName name="_GSR008" hidden="1">[1]Equipment!$E$134:$DT$134</definedName>
    <definedName name="_GSR012" hidden="1">[1]Equipment!$E$185:$DT$185</definedName>
    <definedName name="_InAdmin" hidden="1">"No"</definedName>
    <definedName name="_Key1" localSheetId="0" hidden="1">#REF!</definedName>
    <definedName name="_Key1" localSheetId="1" hidden="1">#REF!</definedName>
    <definedName name="_Key1" hidden="1">#REF!</definedName>
    <definedName name="_LegalOk" hidden="1">"No"</definedName>
    <definedName name="_MC16" hidden="1">[1]Equipment!$E$80:$DT$80</definedName>
    <definedName name="_MC28" hidden="1">[1]Equipment!$E$77:$DT$77</definedName>
    <definedName name="_Order1" hidden="1">255</definedName>
    <definedName name="_Order2" hidden="1">0</definedName>
    <definedName name="_Sort" localSheetId="0" hidden="1">#REF!</definedName>
    <definedName name="_Sort" localSheetId="1" hidden="1">#REF!</definedName>
    <definedName name="_Sort" hidden="1">#REF!</definedName>
    <definedName name="_UP">#REF!</definedName>
    <definedName name="_yr1996">#REF!</definedName>
    <definedName name="a_sted">'[2]A-sted'!$A$8:$J$52</definedName>
    <definedName name="a_sted_akk">'[2]A-sted'!$O$8:$AA$59</definedName>
    <definedName name="adfa" localSheetId="1" hidden="1">#REF!</definedName>
    <definedName name="adfa" hidden="1">#REF!</definedName>
    <definedName name="anscount" localSheetId="0" hidden="1">2</definedName>
    <definedName name="anscount" localSheetId="1" hidden="1">2</definedName>
    <definedName name="anscount" hidden="1">1</definedName>
    <definedName name="Användare">#REF!</definedName>
    <definedName name="AP" hidden="1">[1]Model!$E$41</definedName>
    <definedName name="aRG">#REF!</definedName>
    <definedName name="ARPUInput" hidden="1">[1]Model!$E$142:$DT$142</definedName>
    <definedName name="asdfdf" localSheetId="1" hidden="1">{#N/A,#N/A,FALSE,"Statement of Ops";#N/A,#N/A,FALSE,"Trend Ops"}</definedName>
    <definedName name="asdfdf" hidden="1">{#N/A,#N/A,FALSE,"Statement of Ops";#N/A,#N/A,FALSE,"Trend Ops"}</definedName>
    <definedName name="assoc">#REF!</definedName>
    <definedName name="Assumptions" hidden="1">[1]Model!$A$30:$A$122</definedName>
    <definedName name="Austria_telenor_mobile_export">[3]IM!#REF!</definedName>
    <definedName name="AvgVoiceLines" hidden="1">[1]Model!$E$136:$DT$136</definedName>
    <definedName name="Balance_Sheet" hidden="1">'[1]Financial Statements'!$A$126:$A$177</definedName>
    <definedName name="bb" localSheetId="1" hidden="1">{#N/A,#N/A,FALSE,"Statement of Ops";#N/A,#N/A,FALSE,"Trend Ops"}</definedName>
    <definedName name="bb" hidden="1">{#N/A,#N/A,FALSE,"Statement of Ops";#N/A,#N/A,FALSE,"Trend Ops"}</definedName>
    <definedName name="Belgium_Belgacom_fixed_export">#REF!</definedName>
    <definedName name="Belgium_Belgacom_mobile_export">#REF!</definedName>
    <definedName name="bondcos">#REF!</definedName>
    <definedName name="bondcost">#REF!</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sminority">#REF!</definedName>
    <definedName name="BT_Att">#REF!</definedName>
    <definedName name="BT_BSMins">#REF!</definedName>
    <definedName name="BT_CFPS">#REF!</definedName>
    <definedName name="BT_CFPS_fd">#REF!</definedName>
    <definedName name="BT_DPS">#REF!</definedName>
    <definedName name="BT_DtoE">#REF!</definedName>
    <definedName name="BT_EBITDA">#REF!</definedName>
    <definedName name="BT_EPS_fd">#REF!</definedName>
    <definedName name="BT_FA">#REF!</definedName>
    <definedName name="BT_Min">#REF!</definedName>
    <definedName name="BT_Minorities">#REF!</definedName>
    <definedName name="BT_Mins">#REF!</definedName>
    <definedName name="BT_NAV">#REF!</definedName>
    <definedName name="BT_NDebt">#REF!</definedName>
    <definedName name="BT_netdebt">#REF!</definedName>
    <definedName name="BT_Provs">#REF!</definedName>
    <definedName name="BT_R">#REF!</definedName>
    <definedName name="BT_Rec">#REF!</definedName>
    <definedName name="BT_ROCE">#REF!</definedName>
    <definedName name="BT_ROE">#REF!</definedName>
    <definedName name="BT_Sales">#REF!</definedName>
    <definedName name="BT_Shf">#REF!</definedName>
    <definedName name="BT_Shissued">#REF!</definedName>
    <definedName name="BT_UK_export">[4]IM!$K$12:$AL$48</definedName>
    <definedName name="BT_UP">#REF!</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alcSetting" hidden="1">[1]Equipment!$B$10</definedName>
    <definedName name="CallMgmtPctInbound" hidden="1">[1]Model!$E$118:$DT$118</definedName>
    <definedName name="CallMgmtPctOutbound" hidden="1">[1]Model!$E$119:$DT$119</definedName>
    <definedName name="Capital_Employed">#REF!</definedName>
    <definedName name="Card" hidden="1">[1]Equipment!$E$40:$DT$40</definedName>
    <definedName name="CardInput" hidden="1">'[1]Capex Input'!$E$48:$DT$48</definedName>
    <definedName name="cash">#REF!</definedName>
    <definedName name="Cash_Flow_Statement" hidden="1">'[1]Financial Statements'!$A$69:$A$122</definedName>
    <definedName name="casheps">#REF!</definedName>
    <definedName name="changend">#REF!</definedName>
    <definedName name="Chile">#REF!</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decInput" hidden="1">'[1]Capex Input'!$E$33:$DT$33</definedName>
    <definedName name="Cognit" hidden="1">[1]Equipment!$E$235:$DT$235</definedName>
    <definedName name="ColCount" hidden="1">[1]Equipment!$B$11</definedName>
    <definedName name="Company_Code">[5]Front!$E$10</definedName>
    <definedName name="Company_Name">[5]Front!$E$11</definedName>
    <definedName name="Core_old__BT_cap_ex">#REF!</definedName>
    <definedName name="corecapex">#REF!</definedName>
    <definedName name="cost_of_capital" hidden="1">[1]Model!$E$43</definedName>
    <definedName name="CPE">#REF!</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creditors">#REF!</definedName>
    <definedName name="cueps">#REF!</definedName>
    <definedName name="Currency">[5]Front!$E$15</definedName>
    <definedName name="Datatabell">#REF!</definedName>
    <definedName name="Date">[5]Front!$E$16</definedName>
    <definedName name="DB" localSheetId="1">"WIRENYPROD"</definedName>
    <definedName name="DB">"WIREUK"</definedName>
    <definedName name="DCF_Valuation">[6]UK!#REF!</definedName>
    <definedName name="debtors">#REF!</definedName>
    <definedName name="depre">#REF!</definedName>
    <definedName name="depreciation">#REF!</definedName>
    <definedName name="dere" localSheetId="1" hidden="1">{#N/A,#N/A,FALSE,"Statement of Ops";#N/A,#N/A,FALSE,"Trend Ops"}</definedName>
    <definedName name="dere" hidden="1">{#N/A,#N/A,FALSE,"Statement of Ops";#N/A,#N/A,FALSE,"Trend Ops"}</definedName>
    <definedName name="dfdfd" localSheetId="1" hidden="1">{#N/A,#N/A,FALSE,"Statement of Ops";#N/A,#N/A,FALSE,"Trend Ops"}</definedName>
    <definedName name="dfdfd" hidden="1">{#N/A,#N/A,FALSE,"Statement of Ops";#N/A,#N/A,FALSE,"Trend Ops"}</definedName>
    <definedName name="dfsdf" localSheetId="1" hidden="1">{#N/A,#N/A,FALSE,"Statement of Ops";#N/A,#N/A,FALSE,"Trend Ops"}</definedName>
    <definedName name="dfsdf" hidden="1">{#N/A,#N/A,FALSE,"Statement of Ops";#N/A,#N/A,FALSE,"Trend Ops"}</definedName>
    <definedName name="disposals">#REF!</definedName>
    <definedName name="divpaid">#REF!</definedName>
    <definedName name="dps">#REF!</definedName>
    <definedName name="dsf" localSheetId="1" hidden="1">{#N/A,#N/A,FALSE,"Statement of Ops";#N/A,#N/A,FALSE,"Trend Ops"}</definedName>
    <definedName name="dsf" hidden="1">{#N/A,#N/A,FALSE,"Statement of Ops";#N/A,#N/A,FALSE,"Trend Ops"}</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1" hidden="1">{#N/A,#N/A,FALSE,"Statement of Ops";#N/A,#N/A,FALSE,"Trend Ops"}</definedName>
    <definedName name="eeeeeeeeee" hidden="1">{#N/A,#N/A,FALSE,"Statement of Ops";#N/A,#N/A,FALSE,"Trend Ops"}</definedName>
    <definedName name="EgenRappPath">#REF!</definedName>
    <definedName name="eps">#REF!</definedName>
    <definedName name="Equipment_and_CAPEX" hidden="1">[1]Model!$A$199:$A$265</definedName>
    <definedName name="erere" localSheetId="1" hidden="1">{#N/A,#N/A,FALSE,"Statement of Ops";#N/A,#N/A,FALSE,"Trend Ops"}</definedName>
    <definedName name="erere" hidden="1">{#N/A,#N/A,FALSE,"Statement of Ops";#N/A,#N/A,FALSE,"Trend Ops"}</definedName>
    <definedName name="ererere" localSheetId="1"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F.1981.03">#REF!</definedName>
    <definedName name="F.1982.03">#REF!</definedName>
    <definedName name="F.1983.03">#REF!</definedName>
    <definedName name="F.1984.03">#REF!</definedName>
    <definedName name="F.1985.03">#REF!</definedName>
    <definedName name="F.1986.03">#REF!</definedName>
    <definedName name="F.1987.03">#REF!</definedName>
    <definedName name="F.1988.03">#REF!</definedName>
    <definedName name="F.1989.03">#REF!</definedName>
    <definedName name="F.1990.03">#REF!</definedName>
    <definedName name="F.1991.03">#REF!</definedName>
    <definedName name="F.1992.03">#REF!</definedName>
    <definedName name="F.1993.03">#REF!</definedName>
    <definedName name="F.1994.03">#REF!</definedName>
    <definedName name="F.1995.03">#REF!</definedName>
    <definedName name="F.1998.03">#REF!</definedName>
    <definedName name="fcf">#REF!</definedName>
    <definedName name="France_Telecom">#REF!</definedName>
    <definedName name="France_Telecom_Belgium_mobile_interconnect_receipts">#REF!</definedName>
    <definedName name="France_Telecom_Belgium_mobile_interconnect_receipts_from_fixed_operators">#REF!</definedName>
    <definedName name="France_Telecom_Belgium_mobile_interconnect_receipts_from_mobile_operators">#REF!</definedName>
    <definedName name="France_Telecom_Belgium_mobile_other_revenue">#REF!</definedName>
    <definedName name="France_Telecom_Belgium_mobile_retail_and_wholesale_services_revenue">#REF!</definedName>
    <definedName name="France_Telecom_Belgium_mobile_retail_revenue">#REF!</definedName>
    <definedName name="France_Telecom_Belgium_mobile_retail_subscribers">#REF!</definedName>
    <definedName name="France_Telecom_Belgium_mobile_revenue">#REF!</definedName>
    <definedName name="France_Telecom_Belgium_mobile_wholesale_revenue">#REF!</definedName>
    <definedName name="France_Telecom_Belgium_mobile_wholesale_subscribers">#REF!</definedName>
    <definedName name="France_Telecom_Denmark_mobile_interconnect_receipts">#REF!</definedName>
    <definedName name="France_Telecom_Denmark_mobile_interconnect_receipts_from_fixed_operators">#REF!</definedName>
    <definedName name="France_Telecom_Denmark_mobile_interconnect_receipts_from_mobile_operators">#REF!</definedName>
    <definedName name="France_Telecom_Denmark_mobile_other_revenue">#REF!</definedName>
    <definedName name="France_Telecom_Denmark_mobile_retail_and_wholesale_services_revenue">#REF!</definedName>
    <definedName name="France_Telecom_Denmark_mobile_retail_revenue">#REF!</definedName>
    <definedName name="France_Telecom_Denmark_mobile_retail_subscribers">#REF!</definedName>
    <definedName name="France_Telecom_Denmark_mobile_revenue">#REF!</definedName>
    <definedName name="France_Telecom_Denmark_mobile_wholesale_revenue">#REF!</definedName>
    <definedName name="France_Telecom_Denmark_mobile_wholesale_subscribers">#REF!</definedName>
    <definedName name="France_Telecom_Egypt_mobile_interconnect_receipts">#REF!</definedName>
    <definedName name="France_Telecom_Egypt_mobile_interconnect_receipts_from_fixed_operators">#REF!</definedName>
    <definedName name="France_Telecom_Egypt_mobile_interconnect_receipts_from_mobile_operators">#REF!</definedName>
    <definedName name="France_Telecom_Egypt_mobile_other_revenue">#REF!</definedName>
    <definedName name="France_Telecom_Egypt_mobile_retail_and_wholesale_services_revenue">#REF!</definedName>
    <definedName name="France_Telecom_Egypt_mobile_retail_revenue">#REF!</definedName>
    <definedName name="France_Telecom_Egypt_mobile_retail_subscribers">#REF!</definedName>
    <definedName name="France_Telecom_Egypt_mobile_revenue">#REF!</definedName>
    <definedName name="France_Telecom_Egypt_mobile_wholesale_revenue">#REF!</definedName>
    <definedName name="France_Telecom_Egypt_mobile_wholesale_subscribers">#REF!</definedName>
    <definedName name="France_Telecom_France_fixed_broadband_revenue__business">#REF!</definedName>
    <definedName name="France_Telecom_France_fixed_broadband_revenue__residential">#REF!</definedName>
    <definedName name="France_Telecom_France_fixed_broadband_revenue__residential___business">#REF!</definedName>
    <definedName name="France_Telecom_France_fixed_interconnect_receipts">#REF!</definedName>
    <definedName name="France_Telecom_France_fixed_interconnect_receipts_from_fixed_operators">#REF!</definedName>
    <definedName name="France_Telecom_France_fixed_interconnect_receipts_from_mobile_operators">#REF!</definedName>
    <definedName name="France_Telecom_France_fixed_other_revenue">#REF!</definedName>
    <definedName name="France_Telecom_France_fixed_retail_and_wholesale_services_revenue">#REF!</definedName>
    <definedName name="France_Telecom_France_fixed_retail_broadband_business_sites">#REF!</definedName>
    <definedName name="France_Telecom_France_fixed_retail_broadband_homes">#REF!</definedName>
    <definedName name="France_Telecom_France_fixed_retail_broadband_sites__homes_and_businesses">#REF!</definedName>
    <definedName name="France_Telecom_France_fixed_retail_business_sites">#REF!</definedName>
    <definedName name="France_Telecom_France_fixed_retail_homes">#REF!</definedName>
    <definedName name="France_Telecom_France_fixed_retail_lines__business">#REF!</definedName>
    <definedName name="France_Telecom_France_fixed_retail_lines__ISDN">#REF!</definedName>
    <definedName name="France_Telecom_France_fixed_retail_lines__PSTN">#REF!</definedName>
    <definedName name="France_Telecom_France_fixed_retail_lines__PSTN___ISDN">#REF!</definedName>
    <definedName name="France_Telecom_France_fixed_retail_lines__residential">#REF!</definedName>
    <definedName name="France_Telecom_France_fixed_retail_lines__residential___business">#REF!</definedName>
    <definedName name="France_Telecom_France_fixed_retail_revenue__business">#REF!</definedName>
    <definedName name="France_Telecom_France_fixed_retail_revenue__residential">#REF!</definedName>
    <definedName name="France_Telecom_France_fixed_retail_revenue__residential___business">#REF!</definedName>
    <definedName name="France_Telecom_France_fixed_revenue">#REF!</definedName>
    <definedName name="France_Telecom_France_fixed_wholesale_and_interconnect_services_revenue">#REF!</definedName>
    <definedName name="France_Telecom_France_fixed_wholesale_broadband_business_sites">#REF!</definedName>
    <definedName name="France_Telecom_France_fixed_wholesale_broadband_homes">#REF!</definedName>
    <definedName name="France_Telecom_France_fixed_wholesale_broadband_sites__homes_and_businesses">#REF!</definedName>
    <definedName name="France_Telecom_France_fixed_wholesale_business_sites">#REF!</definedName>
    <definedName name="France_Telecom_France_fixed_wholesale_homes">#REF!</definedName>
    <definedName name="France_Telecom_France_fixed_wholesale_lines__business">#REF!</definedName>
    <definedName name="France_Telecom_France_fixed_wholesale_lines__ISDN">#REF!</definedName>
    <definedName name="France_Telecom_France_fixed_wholesale_lines__PSTN">#REF!</definedName>
    <definedName name="France_Telecom_France_fixed_wholesale_lines__PSTN___ISDN">#REF!</definedName>
    <definedName name="France_Telecom_France_fixed_wholesale_lines__residential">#REF!</definedName>
    <definedName name="France_Telecom_France_fixed_wholesale_lines__residential___business">#REF!</definedName>
    <definedName name="France_Telecom_France_fixed_wholesale_revenue">#REF!</definedName>
    <definedName name="France_Telecom_France_mobile_interconnect_receipts">#REF!</definedName>
    <definedName name="France_Telecom_France_mobile_interconnect_receipts_from_fixed_operators">#REF!</definedName>
    <definedName name="France_Telecom_France_mobile_interconnect_receipts_from_mobile_operators">#REF!</definedName>
    <definedName name="France_Telecom_France_mobile_other_revenue">#REF!</definedName>
    <definedName name="France_Telecom_France_mobile_retail_and_wholesale_services_revenue">#REF!</definedName>
    <definedName name="France_Telecom_France_mobile_retail_revenue">#REF!</definedName>
    <definedName name="France_Telecom_France_mobile_retail_subscribers">#REF!</definedName>
    <definedName name="France_Telecom_France_mobile_revenue">#REF!</definedName>
    <definedName name="France_Telecom_France_mobile_wholesale_revenue">#REF!</definedName>
    <definedName name="France_Telecom_France_mobile_wholesale_subscribers">#REF!</definedName>
    <definedName name="France_Telecom_Netherlands_mobile_interconnect_receipts">#REF!</definedName>
    <definedName name="France_Telecom_Netherlands_mobile_interconnect_receipts_from_fixed_operators">#REF!</definedName>
    <definedName name="France_Telecom_Netherlands_mobile_interconnect_receipts_from_mobile_operators">#REF!</definedName>
    <definedName name="France_Telecom_Netherlands_mobile_other_revenue">#REF!</definedName>
    <definedName name="France_Telecom_Netherlands_mobile_retail_and_wholesale_services_revenue">#REF!</definedName>
    <definedName name="France_Telecom_Netherlands_mobile_retail_revenue">#REF!</definedName>
    <definedName name="France_Telecom_Netherlands_mobile_retail_subscribers">#REF!</definedName>
    <definedName name="France_Telecom_Netherlands_mobile_revenue">#REF!</definedName>
    <definedName name="France_Telecom_Netherlands_mobile_wholesale_revenue">#REF!</definedName>
    <definedName name="France_Telecom_Netherlands_mobile_wholesale_subscribers">#REF!</definedName>
    <definedName name="France_Telecom_Poland_fixed_broadband_revenue__business">#REF!</definedName>
    <definedName name="France_Telecom_Poland_fixed_broadband_revenue__residential">#REF!</definedName>
    <definedName name="France_Telecom_Poland_fixed_broadband_revenue__residential___business">#REF!</definedName>
    <definedName name="France_Telecom_Poland_fixed_interconnect_receipts">#REF!</definedName>
    <definedName name="France_Telecom_Poland_fixed_interconnect_receipts_from_fixed_operators">#REF!</definedName>
    <definedName name="France_Telecom_Poland_fixed_interconnect_receipts_from_mobile_operators">#REF!</definedName>
    <definedName name="France_Telecom_Poland_fixed_other_revenue">#REF!</definedName>
    <definedName name="France_Telecom_Poland_fixed_retail_and_wholesale_services_revenue">#REF!</definedName>
    <definedName name="France_Telecom_Poland_fixed_retail_broadband_business_sites">#REF!</definedName>
    <definedName name="France_Telecom_Poland_fixed_retail_broadband_homes">#REF!</definedName>
    <definedName name="France_Telecom_Poland_fixed_retail_broadband_sites__homes_and_businesses">#REF!</definedName>
    <definedName name="France_Telecom_Poland_fixed_retail_business_sites">#REF!</definedName>
    <definedName name="France_Telecom_Poland_fixed_retail_homes">#REF!</definedName>
    <definedName name="France_Telecom_Poland_fixed_retail_lines__business">#REF!</definedName>
    <definedName name="France_Telecom_Poland_fixed_retail_lines__ISDN">#REF!</definedName>
    <definedName name="France_Telecom_Poland_fixed_retail_lines__PSTN">#REF!</definedName>
    <definedName name="France_Telecom_Poland_fixed_retail_lines__PSTN___ISDN">#REF!</definedName>
    <definedName name="France_Telecom_Poland_fixed_retail_lines__residential">#REF!</definedName>
    <definedName name="France_Telecom_Poland_fixed_retail_lines__residential___business">#REF!</definedName>
    <definedName name="France_Telecom_Poland_fixed_retail_revenue__business">#REF!</definedName>
    <definedName name="France_Telecom_Poland_fixed_retail_revenue__residential">#REF!</definedName>
    <definedName name="France_Telecom_Poland_fixed_retail_revenue__residential___business">#REF!</definedName>
    <definedName name="France_Telecom_Poland_fixed_revenue">#REF!</definedName>
    <definedName name="France_Telecom_Poland_fixed_wholesale_and_interconnect_services_revenue">#REF!</definedName>
    <definedName name="France_Telecom_Poland_fixed_wholesale_broadband_business_sites">#REF!</definedName>
    <definedName name="France_Telecom_Poland_fixed_wholesale_broadband_homes">#REF!</definedName>
    <definedName name="France_Telecom_Poland_fixed_wholesale_broadband_sites__homes_and_businesses">#REF!</definedName>
    <definedName name="France_Telecom_Poland_fixed_wholesale_business_sites">#REF!</definedName>
    <definedName name="France_Telecom_Poland_fixed_wholesale_homes">#REF!</definedName>
    <definedName name="France_Telecom_Poland_fixed_wholesale_lines__business">#REF!</definedName>
    <definedName name="France_Telecom_Poland_fixed_wholesale_lines__ISDN">#REF!</definedName>
    <definedName name="France_Telecom_Poland_fixed_wholesale_lines__PSTN">#REF!</definedName>
    <definedName name="France_Telecom_Poland_fixed_wholesale_lines__PSTN___ISDN">#REF!</definedName>
    <definedName name="France_Telecom_Poland_fixed_wholesale_lines__residential">#REF!</definedName>
    <definedName name="France_Telecom_Poland_fixed_wholesale_lines__residential___business">#REF!</definedName>
    <definedName name="France_Telecom_Poland_fixed_wholesale_revenue">#REF!</definedName>
    <definedName name="France_Telecom_Poland_mobile_interconnect_receipts">#REF!</definedName>
    <definedName name="France_Telecom_Poland_mobile_interconnect_receipts_from_fixed_operators">#REF!</definedName>
    <definedName name="France_Telecom_Poland_mobile_interconnect_receipts_from_mobile_operators">#REF!</definedName>
    <definedName name="France_Telecom_Poland_mobile_other_revenue">#REF!</definedName>
    <definedName name="France_Telecom_Poland_mobile_retail_and_wholesale_services_revenue">#REF!</definedName>
    <definedName name="France_Telecom_Poland_mobile_retail_revenue">#REF!</definedName>
    <definedName name="France_Telecom_Poland_mobile_retail_subscribers">#REF!</definedName>
    <definedName name="France_Telecom_Poland_mobile_revenue">#REF!</definedName>
    <definedName name="France_Telecom_Poland_mobile_wholesale_revenue">#REF!</definedName>
    <definedName name="France_Telecom_Poland_mobile_wholesale_subscribers">#REF!</definedName>
    <definedName name="France_Telecom_Romania_mobile_interconnect_receipts">#REF!</definedName>
    <definedName name="France_Telecom_Romania_mobile_interconnect_receipts_from_fixed_operators">#REF!</definedName>
    <definedName name="France_Telecom_Romania_mobile_interconnect_receipts_from_mobile_operators">#REF!</definedName>
    <definedName name="France_Telecom_Romania_mobile_other_revenue">#REF!</definedName>
    <definedName name="France_Telecom_Romania_mobile_retail_and_wholesale_services_revenue">#REF!</definedName>
    <definedName name="France_Telecom_Romania_mobile_retail_revenue">#REF!</definedName>
    <definedName name="France_Telecom_Romania_mobile_retail_subscribers">#REF!</definedName>
    <definedName name="France_Telecom_Romania_mobile_revenue">#REF!</definedName>
    <definedName name="France_Telecom_Romania_mobile_wholesale_revenue">#REF!</definedName>
    <definedName name="France_Telecom_Romania_mobile_wholesale_subscribers">#REF!</definedName>
    <definedName name="France_Telecom_Slovakia_mobile_interconnect_receipts">#REF!</definedName>
    <definedName name="France_Telecom_Slovakia_mobile_interconnect_receipts_from_fixed_operators">#REF!</definedName>
    <definedName name="France_Telecom_Slovakia_mobile_interconnect_receipts_from_mobile_operators">#REF!</definedName>
    <definedName name="France_Telecom_Slovakia_mobile_other_revenue">#REF!</definedName>
    <definedName name="France_Telecom_Slovakia_mobile_retail_and_wholesale_services_revenue">#REF!</definedName>
    <definedName name="France_Telecom_Slovakia_mobile_retail_revenue">#REF!</definedName>
    <definedName name="France_Telecom_Slovakia_mobile_retail_subscribers">#REF!</definedName>
    <definedName name="France_Telecom_Slovakia_mobile_revenue">#REF!</definedName>
    <definedName name="France_Telecom_Slovakia_mobile_wholesale_revenue">#REF!</definedName>
    <definedName name="France_Telecom_Slovakia_mobile_wholesale_subscribers">#REF!</definedName>
    <definedName name="France_Telecom_Switzerland_mobile_interconnect_receipts">#REF!</definedName>
    <definedName name="France_Telecom_Switzerland_mobile_interconnect_receipts_from_fixed_operators">#REF!</definedName>
    <definedName name="France_Telecom_Switzerland_mobile_interconnect_receipts_from_mobile_operators">#REF!</definedName>
    <definedName name="France_Telecom_Switzerland_mobile_other_revenue">#REF!</definedName>
    <definedName name="France_Telecom_Switzerland_mobile_retail_and_wholesale_services_revenue">#REF!</definedName>
    <definedName name="France_Telecom_Switzerland_mobile_retail_revenue">#REF!</definedName>
    <definedName name="France_Telecom_Switzerland_mobile_retail_subscribers">#REF!</definedName>
    <definedName name="France_Telecom_Switzerland_mobile_revenue">#REF!</definedName>
    <definedName name="France_Telecom_Switzerland_mobile_wholesale_revenue">#REF!</definedName>
    <definedName name="France_Telecom_Switzerland_mobile_wholesale_subscribers">#REF!</definedName>
    <definedName name="France_Telecom2">#REF!</definedName>
    <definedName name="France_TelecomFrancefixedretail_revenue__residential">#REF!</definedName>
    <definedName name="FT">#REF!</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BPUSD">[7]Summary!$C$84</definedName>
    <definedName name="gdps">#REF!</definedName>
    <definedName name="GOS" hidden="1">[1]Equipment!$E$23:$DT$23</definedName>
    <definedName name="GOSInput" hidden="1">'[1]Capex Input'!$E$36:$DT$36</definedName>
    <definedName name="Graphs" hidden="1">[1]Results!$A$49:$A$62</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1.1989.09">[8]cuslink!#REF!</definedName>
    <definedName name="I1.1996.09">#REF!</definedName>
    <definedName name="inccred">#REF!</definedName>
    <definedName name="Income_Statement" hidden="1">'[1]Financial Statements'!$A$31:$A$65</definedName>
    <definedName name="income_tax_rate" hidden="1">[1]Model!$E$42</definedName>
    <definedName name="incpenprov">#REF!</definedName>
    <definedName name="increc">#REF!</definedName>
    <definedName name="incstock">#REF!</definedName>
    <definedName name="Intangible_Fixed_Assets">#REF!</definedName>
    <definedName name="InTC">#REF!</definedName>
    <definedName name="investment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39420.5584027778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min">#REF!</definedName>
    <definedName name="issord">#REF!</definedName>
    <definedName name="ITC">#REF!</definedName>
    <definedName name="k_kost">'[2]K-kost'!$A$9:$J$37</definedName>
    <definedName name="k_kost_akk">'[2]K-kost'!$O$8:$AA$42</definedName>
    <definedName name="kk" localSheetId="1" hidden="1">#REF!</definedName>
    <definedName name="kk" hidden="1">#REF!</definedName>
    <definedName name="Kopieringsområde">'[9]Business Sol'!$A$7:$K$77</definedName>
    <definedName name="LATASize" hidden="1">[1]Equipment!$E$149:$DT$149</definedName>
    <definedName name="LATASizeInput" hidden="1">'[1]Capex Input'!$E$28:$DT$28</definedName>
    <definedName name="Leased">#REF!</definedName>
    <definedName name="LegalOk" hidden="1">"No"</definedName>
    <definedName name="limcount" hidden="1">1</definedName>
    <definedName name="Linerent">#REF!</definedName>
    <definedName name="Lines_per_100_pop">#REF!</definedName>
    <definedName name="LinesPerFN" hidden="1">[1]Equipment!$E$15:$DT$15</definedName>
    <definedName name="LinesPerSubInput" hidden="1">[1]Model!$E$77:$DT$77</definedName>
    <definedName name="lll" localSheetId="1" hidden="1">{#N/A,#N/A,FALSE,"Statement of Ops";#N/A,#N/A,FALSE,"Trend Ops"}</definedName>
    <definedName name="lll" hidden="1">{#N/A,#N/A,FALSE,"Statement of Ops";#N/A,#N/A,FALSE,"Trend Ops"}</definedName>
    <definedName name="llll" localSheetId="1" hidden="1">{#N/A,#N/A,FALSE,"Statement of Ops";#N/A,#N/A,FALSE,"Trend Ops"}</definedName>
    <definedName name="llll" hidden="1">{#N/A,#N/A,FALSE,"Statement of Ops";#N/A,#N/A,FALSE,"Trend Ops"}</definedName>
    <definedName name="lllll" localSheetId="1"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ösenord">#REF!</definedName>
    <definedName name="ltd">#REF!</definedName>
    <definedName name="måned">[10]Grunndata!$B$3:$C$14</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ority">#REF!</definedName>
    <definedName name="MinPerLineLocal" hidden="1">[1]Model!$E$111:$DT$111</definedName>
    <definedName name="MinPerLineToll" hidden="1">[1]Model!$E$112:$DT$112</definedName>
    <definedName name="Mobile">#REF!</definedName>
    <definedName name="mv" hidden="1">[1]Model!$E$51</definedName>
    <definedName name="Net_Assets">#REF!</definedName>
    <definedName name="Net_Profit_SGW_Adjusted_">#REF!</definedName>
    <definedName name="netint">#REF!</definedName>
    <definedName name="netprofit">#REF!</definedName>
    <definedName name="ni_divs">#REF!</definedName>
    <definedName name="nidivs">#REF!</definedName>
    <definedName name="oldcueps">#REF!</definedName>
    <definedName name="OnNetMaxInput" hidden="1">'[1]Capex Input'!$E$29:$DT$29</definedName>
    <definedName name="Operations" hidden="1">[1]Model!$A$269:$A$412</definedName>
    <definedName name="oppro">#REF!</definedName>
    <definedName name="opprofit">#REF!</definedName>
    <definedName name="Oss">#REF!</definedName>
    <definedName name="OSSInput" hidden="1">'[1]Capex Input'!$E$144:$DT$144</definedName>
    <definedName name="Other_Long_Term_Liabilities">#REF!</definedName>
    <definedName name="Otherinc">#REF!</definedName>
    <definedName name="Otherop">#REF!</definedName>
    <definedName name="Otheropcf">#REF!</definedName>
    <definedName name="ownwork">#REF!</definedName>
    <definedName name="p" hidden="1">[1]Model!$E$53</definedName>
    <definedName name="pbt">#REF!</definedName>
    <definedName name="PentrData" hidden="1">[1]Equipment!$E$4:$DT$4</definedName>
    <definedName name="PentrDataInput" hidden="1">[1]Model!$E$76:$DT$76</definedName>
    <definedName name="PentrVoice" hidden="1">[1]Equipment!$E$2:$DT$2</definedName>
    <definedName name="PentrVoiceInput" hidden="1">[1]Model!$E$75:$DT$75</definedName>
    <definedName name="Period">[5]Front!$E$12</definedName>
    <definedName name="Peru">#REF!</definedName>
    <definedName name="PHSInput" hidden="1">'[1]Capex Input'!$E$35:$DT$35</definedName>
    <definedName name="PlatformInput" hidden="1">'[1]Capex Input'!$E$47:$DT$47</definedName>
    <definedName name="_xlnm.Print_Area" localSheetId="0">#REF!</definedName>
    <definedName name="_xlnm.Print_Area" localSheetId="3">Master!$A$1:$AK$405</definedName>
    <definedName name="_xlnm.Print_Area" localSheetId="1">#REF!</definedName>
    <definedName name="_xlnm.Print_Area">#N/A</definedName>
    <definedName name="_xlnm.Print_Titles" localSheetId="0">#REF!</definedName>
    <definedName name="_xlnm.Print_Titles" localSheetId="1">#REF!</definedName>
    <definedName name="_xlnm.Print_Titles">#N/A</definedName>
    <definedName name="proforma">[11]proforma!#REF!</definedName>
    <definedName name="ProjectName" localSheetId="13">{"Client Name or Project Name"}</definedName>
    <definedName name="ProjectName">{"Client Name or Project Name"}</definedName>
    <definedName name="PT_Portugal_fixed_export">#REF!</definedName>
    <definedName name="PT_Portugal_mobile_export">#REF!</definedName>
    <definedName name="Purchase_of_tangible_fixed_assets">#REF!</definedName>
    <definedName name="purfai">#REF!</definedName>
    <definedName name="pursub">#REF!</definedName>
    <definedName name="purtfa">#REF!</definedName>
    <definedName name="Q1.1996.06">#REF!</definedName>
    <definedName name="Q1_Account" localSheetId="1">#REF!</definedName>
    <definedName name="Q1_Account">#REF!</definedName>
    <definedName name="Q1_Coding">#REF!</definedName>
    <definedName name="Q1_Data">#REF!</definedName>
    <definedName name="Q1_Period">#REF!</definedName>
    <definedName name="Q1_TP">#REF!</definedName>
    <definedName name="Q2.1996.09">#REF!</definedName>
    <definedName name="Q2_Account">#REF!</definedName>
    <definedName name="Q2_Coding">#REF!</definedName>
    <definedName name="Q2_Data">#REF!</definedName>
    <definedName name="Q2_Period">#REF!</definedName>
    <definedName name="Q2_TP">#REF!</definedName>
    <definedName name="Q3.1996.12">#REF!</definedName>
    <definedName name="Q3_Account">#REF!</definedName>
    <definedName name="Q3_Coding">#REF!</definedName>
    <definedName name="Q3_Data">#REF!</definedName>
    <definedName name="Q3_Period">#REF!</definedName>
    <definedName name="Q3_TP">#REF!</definedName>
    <definedName name="Q4_Account">#REF!</definedName>
    <definedName name="Q4_Coding">#REF!</definedName>
    <definedName name="Q4_Data">#REF!</definedName>
    <definedName name="Q4_Period">#REF!</definedName>
    <definedName name="Q4_TP">#REF!</definedName>
    <definedName name="QC用労働時間有">'[12]03FY 2nd Hafl Latest Estimate'!$A$1:$A$2638</definedName>
    <definedName name="QC用労働時間無">'[12]03FY 2nd Hafl Latest Estimate'!$A$1:$D$618</definedName>
    <definedName name="RapportTyp">#REF!</definedName>
    <definedName name="Redundancy">#REF!</definedName>
    <definedName name="RedundantEdgeInput" hidden="1">'[1]Capex Input'!$E$51:$DT$51</definedName>
    <definedName name="RedundantGWInput" hidden="1">'[1]Capex Input'!$E$53:$DT$53</definedName>
    <definedName name="RedundNInput" hidden="1">'[1]Capex Input'!$E$58:$DT$58</definedName>
    <definedName name="Repdate1" localSheetId="1">#REF!</definedName>
    <definedName name="Repdate1">#REF!</definedName>
    <definedName name="Repdate2" localSheetId="1">#REF!</definedName>
    <definedName name="Repdate2">#REF!</definedName>
    <definedName name="res_2002">#REF!</definedName>
    <definedName name="res_2002_a">#REF!</definedName>
    <definedName name="Revenue">#REF!</definedName>
    <definedName name="RevFixed_05">[13]TPSA_Model!$O$468</definedName>
    <definedName name="RF" hidden="1">[1]Equipment!$E$92:$DT$92</definedName>
    <definedName name="RFData" hidden="1">[1]Equipment!$E$110:$DT$110</definedName>
    <definedName name="rngColData">'[14]RevCost Report'!$G$1:$Y$65536,'[14]RevCost Report'!$AA$1:$BV$65536</definedName>
    <definedName name="rngColHidden">'[14]RevCost Report'!$A$1:$B$65536,'[14]RevCost Report'!$D$1:$D$65536</definedName>
    <definedName name="rngHideMissingColumns">FALSE</definedName>
    <definedName name="rngHideMissingRows">FALSE</definedName>
    <definedName name="rngRowHidden">'[14]RevCost Report'!$A$4:$IV$5,'[14]RevCost Report'!$A$11:$IV$17</definedName>
    <definedName name="RoutesPerLATA" hidden="1">[1]Model!$E$114:$DT$114</definedName>
    <definedName name="Rpt_Month">[15]★ﾒﾆｭｰ!$I$31</definedName>
    <definedName name="Rpt_Year">[15]★ﾒﾆｭｰ!$I$30</definedName>
    <definedName name="salefa">#REF!</definedName>
    <definedName name="SalvagePct" hidden="1">[1]Model!$E$38</definedName>
    <definedName name="SampleInput" hidden="1">'[1]Capex Input'!$E$34:$DT$34</definedName>
    <definedName name="SAPBEXhrIndnt" hidden="1">1</definedName>
    <definedName name="SAPBEXrevision" hidden="1">0</definedName>
    <definedName name="SAPBEXsysID" hidden="1">"UBP"</definedName>
    <definedName name="SAPBEXwbID" hidden="1">"46ZQZIX9P9TMSSGKMZCTXHTXP"</definedName>
    <definedName name="sdsdsd" localSheetId="1" hidden="1">{#N/A,#N/A,FALSE,"Statement of Ops";#N/A,#N/A,FALSE,"Trend Ops"}</definedName>
    <definedName name="sdsdsd" hidden="1">{#N/A,#N/A,FALSE,"Statement of Ops";#N/A,#N/A,FALSE,"Trend Ops"}</definedName>
    <definedName name="SecretArchiveNumber" hidden="1">1</definedName>
    <definedName name="Select_Inc_Exp">[16]Ref!$B$12</definedName>
    <definedName name="sencount" localSheetId="0" hidden="1">2</definedName>
    <definedName name="sencount" localSheetId="1" hidden="1">2</definedName>
    <definedName name="sencount" hidden="1">1</definedName>
    <definedName name="ServerHWCapex" hidden="1">[1]Capex!$E$268:$DT$268</definedName>
    <definedName name="ServerHWMaint" hidden="1">[1]Capex!$E$293:$DT$293</definedName>
    <definedName name="Services_and_Revenue" hidden="1">[1]Model!$A$126:$A$195</definedName>
    <definedName name="sfsdf" localSheetId="1" hidden="1">{#N/A,#N/A,FALSE,"Statement of Ops";#N/A,#N/A,FALSE,"Trend Ops"}</definedName>
    <definedName name="sfsdf" hidden="1">{#N/A,#N/A,FALSE,"Statement of Ops";#N/A,#N/A,FALSE,"Trend Ops"}</definedName>
    <definedName name="sharecap">#REF!</definedName>
    <definedName name="Sheetname_Instructions" localSheetId="1">[16]Ref!#REF!</definedName>
    <definedName name="Sheetname_Instructions">[16]Ref!#REF!</definedName>
    <definedName name="show_base">[16]WaterFall_Prep!$U$1</definedName>
    <definedName name="show_newbase">[16]WaterFall_Prep!$W$1</definedName>
    <definedName name="show_pctchange">[16]WaterFall_Prep!$Y$1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APrint">[17]SPA!$A$1:$AD$48,[17]SPA!$A$90:$AD$137</definedName>
    <definedName name="Staff">#REF!</definedName>
    <definedName name="staffcosts">#REF!</definedName>
    <definedName name="std">#REF!</definedName>
    <definedName name="stocks">#REF!</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total">[18]基礎ﾃﾞｰﾀ!#REF!</definedName>
    <definedName name="sweden_telenor_mobile_export">[3]IM!#REF!</definedName>
    <definedName name="TA">[12]Sheet3!$A$1:$E$196</definedName>
    <definedName name="Tangible_Fixed_Assets">#REF!</definedName>
    <definedName name="tax">#REF!</definedName>
    <definedName name="taxpaid">#REF!</definedName>
    <definedName name="telcopay">#REF!</definedName>
    <definedName name="Telesp">#REF!</definedName>
    <definedName name="Template.WIRE">"DBACCESS"</definedName>
    <definedName name="tfa">#REF!</definedName>
    <definedName name="TI_Italy_fixed_export">#REF!</definedName>
    <definedName name="Total_lines">#REF!</definedName>
    <definedName name="Trace">FALSE</definedName>
    <definedName name="Transaction_Type">[5]Front!$E$20</definedName>
    <definedName name="Trend_Start">[15]★ﾒﾆｭｰ!$L$31</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K_population__ms">#REF!</definedName>
    <definedName name="UKPrint">[17]UK!$A$90:$AD$137,[17]UK!$A$1:$AD$48</definedName>
    <definedName name="unadjusted">#REF!</definedName>
    <definedName name="uOne" hidden="1">[1]Equipment!$E$259:$DT$259</definedName>
    <definedName name="UpgradeVersion">"v2.35"</definedName>
    <definedName name="UPIBVPrint">[17]UPIBV!$A$1:$AD$48,[17]UPIBV!$A$90:$AD$137</definedName>
    <definedName name="UPIOPrint">[17]UPIO!$A$90:$AD$137,[17]UPIO!$A$1:$AD$48</definedName>
    <definedName name="UPVPPrint">[17]UPVP!$A$1:$AD$48,[17]UPVP!$A$90:$AD$137</definedName>
    <definedName name="USBandwidth" hidden="1">[1]Equipment!$E$54:$DT$54</definedName>
    <definedName name="USDBRL">[7]Summary!$C$86</definedName>
    <definedName name="USDJPY">[7]Summary!$C$87</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aluearea">[19]data!$AQ$26:$CS$864</definedName>
    <definedName name="variance_logic" localSheetId="1">#REF!</definedName>
    <definedName name="variance_logic">#REF!</definedName>
    <definedName name="VerintFixed" hidden="1">[1]Equipment!$E$244:$DT$244</definedName>
    <definedName name="VerintVar" hidden="1">[1]Equipment!$E$250:$DT$250</definedName>
    <definedName name="Version.WIRE">1</definedName>
    <definedName name="vis_måned">[10]Grunndata!$A$3:$B$14</definedName>
    <definedName name="VISM" hidden="1">[1]Equipment!$E$159:$DT$159</definedName>
    <definedName name="VoiceLines" hidden="1">[1]Model!$E$83:$DT$83</definedName>
    <definedName name="VoiceSubs" hidden="1">[1]Model!$E$81:$DT$81</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orkbook.Author">[20]Contents!$B$14</definedName>
    <definedName name="Workbook.Authors_Email_Address">[20]Contents!$B$15</definedName>
    <definedName name="Workbook.Objective">[20]Contents!$B$6</definedName>
    <definedName name="Workbook.Status">[20]Contents!$B$9</definedName>
    <definedName name="Workbook.Title">[20]Contents!$B$5</definedName>
    <definedName name="Workbook.Version">[20]Contents!$B$8</definedName>
    <definedName name="WORKBOOK_SAPBEXq0003" comment="DP_4">"DP_4"</definedName>
    <definedName name="WORKBOOK_SAPBEXq0004" comment="DP_5">"DP_5"</definedName>
    <definedName name="WORKBOOK_SAPBEXq0009" comment="DP_6">"DP_6"</definedName>
    <definedName name="WORKBOOK_SAPBEXq0010" comment="DP_7">"DP_7"</definedName>
    <definedName name="WORKBOOK_SAPBEXq0011" comment="DP_8">"DP_8"</definedName>
    <definedName name="WORKBOOK_SAPBEXq0012" comment="DP_9">"DP_9"</definedName>
    <definedName name="WORKBOOK_SAPBEXq0015" comment="DP_10">"DP_10"</definedName>
    <definedName name="wrn.4Q._.Report." localSheetId="1"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1" hidden="1">{"Headcount Annual",#N/A,FALSE,"Headcount";"Headcount Monthly",#N/A,FALSE,"Headcount"}</definedName>
    <definedName name="wrn.Cable._.Headcount._.Reports." hidden="1">{"Headcount Annual",#N/A,FALSE,"Headcount";"Headcount Monthly",#N/A,FALSE,"Headcount"}</definedName>
    <definedName name="wrn.Capital." localSheetId="1" hidden="1">{"Capital",#N/A,FALSE,"CapSum"}</definedName>
    <definedName name="wrn.Capital." hidden="1">{"Capital",#N/A,FALSE,"CapSum"}</definedName>
    <definedName name="wrn.Capital._.Report." localSheetId="1" hidden="1">{"Capital",#N/A,FALSE,"CapSum"}</definedName>
    <definedName name="wrn.Capital._.Report." hidden="1">{"Capital",#N/A,FALSE,"CapSum"}</definedName>
    <definedName name="wrn.Capital._.Reports." localSheetId="1"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1" hidden="1">{"Capital",#N/A,FALSE,"CapSum"}</definedName>
    <definedName name="wrn.Capital._.Summary." hidden="1">{"Capital",#N/A,FALSE,"CapSum"}</definedName>
    <definedName name="wrn.Current._.Month." localSheetId="1" hidden="1">{"current month",#N/A,FALSE,"Capitalization"}</definedName>
    <definedName name="wrn.Current._.Month." hidden="1">{"current month",#N/A,FALSE,"Capitalization"}</definedName>
    <definedName name="wrn.Digital._.Sub._.Detail." localSheetId="1" hidden="1">{"Digital Detail",#N/A,FALSE,"Digital"}</definedName>
    <definedName name="wrn.Digital._.Sub._.Detail." hidden="1">{"Digital Detail",#N/A,FALSE,"Digital"}</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1"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1"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1"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1" hidden="1">{"Online Detail",#N/A,FALSE,"OnLine"}</definedName>
    <definedName name="wrn.Online._.Sub._.Detail." hidden="1">{"Online Detail",#N/A,FALSE,"OnLine"}</definedName>
    <definedName name="wrn.PandL." localSheetId="13" hidden="1">{"P&amp;L",#N/A,FALSE,"annual"}</definedName>
    <definedName name="wrn.PandL." hidden="1">{"P&amp;L",#N/A,FALSE,"annual"}</definedName>
    <definedName name="wrn.Pay._.Sub._.Detail." localSheetId="1" hidden="1">{"Pay Detail",#N/A,FALSE,"Pay"}</definedName>
    <definedName name="wrn.Pay._.Sub._.Detail." hidden="1">{"Pay Detail",#N/A,FALSE,"Pay"}</definedName>
    <definedName name="wrn.Trend." localSheetId="1" hidden="1">{"trend",#N/A,TRUE,"Capitalization"}</definedName>
    <definedName name="wrn.Trend." hidden="1">{"trend",#N/A,TRUE,"Capitalization"}</definedName>
    <definedName name="wrn.Trend._.Reports." localSheetId="1"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Vodafone._.printout." localSheetId="13"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wwwwwwwwwwwww" localSheetId="1" hidden="1">{#N/A,#N/A,FALSE,"Statement of Ops";#N/A,#N/A,FALSE,"Trend Ops"}</definedName>
    <definedName name="wwwwwwwwwwwww" hidden="1">{#N/A,#N/A,FALSE,"Statement of Ops";#N/A,#N/A,FALSE,"Trend Ops"}</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Year_ending_March">#REF!</definedName>
    <definedName name="years">#REF!</definedName>
    <definedName name="Yellow">#REF!</definedName>
    <definedName name="YTDcomrange1" localSheetId="1">#REF!</definedName>
    <definedName name="YTDcomrange1">#REF!</definedName>
    <definedName name="YTDcomrange2" localSheetId="1">#REF!</definedName>
    <definedName name="YTDcomrange2">#REF!</definedName>
    <definedName name="Z_FB9FEF07_E23D_4093_B787_DA7C6E65880F_.wvu.PrintTitles" hidden="1">'[21]Inputs - Debt Roll'!$A$1:$F$65536,'[21]Inputs - Debt Roll'!$A$1:$IV$9</definedName>
    <definedName name="ｸﾞﾚｰ">'[22]ﾃﾞｰﾀ加工(MTD)'!$EY$4</definedName>
    <definedName name="ｸﾞﾚｰY">'[22]ﾃﾞｰﾀ加工(YTD)'!$EY$4</definedName>
    <definedName name="チケット別日別販売実績_DAT" localSheetId="1">#REF!</definedName>
    <definedName name="チケット別日別販売実績_DAT">#REF!</definedName>
    <definedName name="ベニューリスト" localSheetId="1">#REF!</definedName>
    <definedName name="ベニューリスト">#REF!</definedName>
    <definedName name="元DATA">'[12]03FY 2nd Hafl Latest Estimate'!$B$2:$J$1450</definedName>
    <definedName name="利益処分計算">'[12]03FY 2nd Hafl Latest Estimate'!#REF!</definedName>
    <definedName name="勘定科目" localSheetId="1">#REF!</definedName>
    <definedName name="勘定科目">#REF!</definedName>
    <definedName name="印刷01">'[12]03FY 2nd Hafl Latest Estimate'!$B$4:$Z$399</definedName>
    <definedName name="印刷02">'[12]03FY 2nd Hafl Latest Estimate'!$B$400:$Z$474</definedName>
    <definedName name="反転">'[22]ﾃﾞｰﾀ加工(MTD)'!$FC$4</definedName>
    <definedName name="反転Y">'[22]ﾃﾞｰﾀ加工(YTD)'!$FC$4</definedName>
    <definedName name="基本項目_FLAG">[18]基礎ﾃﾞｰﾀ!#REF!</definedName>
    <definedName name="消税率" localSheetId="1">#REF!</definedName>
    <definedName name="消税率">#REF!</definedName>
  </definedNames>
  <calcPr calcId="191029" calcMode="manual"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24" i="6" l="1"/>
  <c r="X22" i="6"/>
  <c r="X20" i="6"/>
  <c r="X19" i="6"/>
  <c r="S66" i="2"/>
  <c r="S65" i="2"/>
  <c r="BR62" i="3" s="1"/>
  <c r="S64" i="2"/>
  <c r="S94" i="2"/>
  <c r="T94" i="2" s="1"/>
  <c r="BO56" i="3"/>
  <c r="BO54" i="3"/>
  <c r="BO53" i="3"/>
  <c r="BO52" i="3"/>
  <c r="BO55" i="3" s="1"/>
  <c r="BP33" i="3"/>
  <c r="BQ33" i="3" s="1"/>
  <c r="BP23" i="3"/>
  <c r="BQ23" i="3" s="1"/>
  <c r="BR189" i="3"/>
  <c r="BR183" i="3"/>
  <c r="BR181" i="3"/>
  <c r="BR178" i="3"/>
  <c r="BR63" i="3"/>
  <c r="BR61" i="3"/>
  <c r="BR60" i="3"/>
  <c r="BP89" i="3"/>
  <c r="BP88" i="3"/>
  <c r="BP87" i="3"/>
  <c r="BP46" i="3"/>
  <c r="BP47" i="3" s="1"/>
  <c r="BP43" i="3"/>
  <c r="BP40" i="3"/>
  <c r="BP42" i="3"/>
  <c r="BP18" i="3"/>
  <c r="BP19" i="3" s="1"/>
  <c r="BP11" i="3"/>
  <c r="BP12" i="3" s="1"/>
  <c r="BP7" i="3"/>
  <c r="BP8" i="3" s="1"/>
  <c r="AH37" i="14"/>
  <c r="AH36" i="14"/>
  <c r="AH34" i="14"/>
  <c r="AH24" i="14"/>
  <c r="AH22" i="14"/>
  <c r="AH12" i="14"/>
  <c r="AH10" i="14"/>
  <c r="AH6" i="14"/>
  <c r="AH5" i="14"/>
  <c r="AH3" i="14"/>
  <c r="AH2" i="14"/>
  <c r="AH33" i="14" s="1"/>
  <c r="S23" i="14"/>
  <c r="S67" i="14"/>
  <c r="S58" i="14"/>
  <c r="S57" i="14"/>
  <c r="S55" i="14"/>
  <c r="S44" i="14"/>
  <c r="S35" i="14"/>
  <c r="S39" i="14" s="1"/>
  <c r="S33" i="14"/>
  <c r="S31" i="14"/>
  <c r="S29" i="14"/>
  <c r="S18" i="14"/>
  <c r="S16" i="14"/>
  <c r="S11" i="14"/>
  <c r="S4" i="14"/>
  <c r="S7" i="14" s="1"/>
  <c r="X139" i="13"/>
  <c r="W112" i="13"/>
  <c r="W111" i="13"/>
  <c r="W110" i="13"/>
  <c r="X79" i="13"/>
  <c r="X78" i="13"/>
  <c r="X73" i="13"/>
  <c r="W66" i="13"/>
  <c r="W58" i="13"/>
  <c r="W99" i="13" s="1"/>
  <c r="W57" i="13"/>
  <c r="W96" i="13" s="1"/>
  <c r="W56" i="13"/>
  <c r="W92" i="13" s="1"/>
  <c r="W52" i="13"/>
  <c r="BP34" i="3" l="1"/>
  <c r="S30" i="14"/>
  <c r="BP24" i="3"/>
  <c r="BP94" i="3" s="1"/>
  <c r="BP92" i="3"/>
  <c r="BP93" i="3"/>
  <c r="BP41" i="3"/>
  <c r="S17" i="14"/>
  <c r="S50" i="14"/>
  <c r="S51" i="14"/>
  <c r="S49" i="14"/>
  <c r="S52" i="14"/>
  <c r="S13" i="14"/>
  <c r="S48" i="14"/>
  <c r="S19" i="14" l="1"/>
  <c r="BO123" i="3"/>
  <c r="BO122" i="3"/>
  <c r="BO121" i="3"/>
  <c r="BO119" i="3"/>
  <c r="BO104" i="3"/>
  <c r="BO43" i="3"/>
  <c r="AC10" i="13"/>
  <c r="AB3" i="13"/>
  <c r="L27" i="13"/>
  <c r="L26" i="13"/>
  <c r="L24" i="13"/>
  <c r="L23" i="13"/>
  <c r="L20" i="13"/>
  <c r="AC20" i="13" s="1"/>
  <c r="L19" i="13"/>
  <c r="AC19" i="13" s="1"/>
  <c r="L18" i="13"/>
  <c r="AC18" i="13" s="1"/>
  <c r="L17" i="13"/>
  <c r="AC17" i="13" s="1"/>
  <c r="L16" i="13"/>
  <c r="AC16" i="13" s="1"/>
  <c r="L15" i="13"/>
  <c r="AC15" i="13" s="1"/>
  <c r="L14" i="13"/>
  <c r="AC14" i="13" s="1"/>
  <c r="L10" i="13"/>
  <c r="L9" i="13"/>
  <c r="L7" i="13"/>
  <c r="L5" i="13"/>
  <c r="AC5" i="13" s="1"/>
  <c r="L4" i="13"/>
  <c r="AC4" i="13" s="1"/>
  <c r="K20" i="13"/>
  <c r="AB20" i="13" s="1"/>
  <c r="K18" i="13"/>
  <c r="AB18" i="13" s="1"/>
  <c r="K15" i="13"/>
  <c r="AB15" i="13" s="1"/>
  <c r="K9" i="13"/>
  <c r="AB9" i="13" s="1"/>
  <c r="K7" i="13"/>
  <c r="AB7" i="13" s="1"/>
  <c r="K4" i="13"/>
  <c r="W169" i="1"/>
  <c r="V169" i="1"/>
  <c r="V141" i="1"/>
  <c r="W141" i="1" s="1"/>
  <c r="X141" i="1" s="1"/>
  <c r="Y141" i="1" s="1"/>
  <c r="Z141" i="1" s="1"/>
  <c r="AA141" i="1" s="1"/>
  <c r="AB141" i="1" s="1"/>
  <c r="AC141" i="1" s="1"/>
  <c r="AD141" i="1" s="1"/>
  <c r="V132" i="1"/>
  <c r="V134" i="1" s="1"/>
  <c r="V135" i="1" s="1"/>
  <c r="V142" i="1"/>
  <c r="S105" i="2"/>
  <c r="BN135" i="3"/>
  <c r="BQ46" i="3"/>
  <c r="BQ18" i="3"/>
  <c r="BQ11" i="3"/>
  <c r="BQ7" i="3"/>
  <c r="BO124" i="3" l="1"/>
  <c r="X75" i="13" s="1"/>
  <c r="L8" i="13"/>
  <c r="AC8" i="13" s="1"/>
  <c r="L11" i="13"/>
  <c r="K8" i="13"/>
  <c r="AB8" i="13" s="1"/>
  <c r="L6" i="13"/>
  <c r="AC7" i="13"/>
  <c r="K11" i="13"/>
  <c r="AB4" i="13"/>
  <c r="AC9" i="13"/>
  <c r="W336" i="1"/>
  <c r="W185" i="1"/>
  <c r="X185" i="1" s="1"/>
  <c r="V185" i="1"/>
  <c r="W208" i="1"/>
  <c r="X208" i="1" s="1"/>
  <c r="W204" i="1"/>
  <c r="X204" i="1" s="1"/>
  <c r="W200" i="1"/>
  <c r="W201" i="1" s="1"/>
  <c r="X201" i="1" s="1"/>
  <c r="W198" i="1"/>
  <c r="W325" i="1"/>
  <c r="W166" i="1"/>
  <c r="W179" i="1"/>
  <c r="W184" i="1"/>
  <c r="R108" i="2"/>
  <c r="R100" i="2"/>
  <c r="R93" i="2"/>
  <c r="R81" i="2"/>
  <c r="R82" i="2" s="1"/>
  <c r="R47" i="2"/>
  <c r="R31" i="2"/>
  <c r="R22" i="2"/>
  <c r="R13" i="2"/>
  <c r="R6" i="2"/>
  <c r="R5" i="2"/>
  <c r="N8" i="5"/>
  <c r="I419" i="14"/>
  <c r="I420" i="14"/>
  <c r="I421" i="14"/>
  <c r="I427" i="14" s="1"/>
  <c r="D438" i="14" s="1"/>
  <c r="I426" i="14"/>
  <c r="D437" i="14" s="1"/>
  <c r="B438" i="14"/>
  <c r="B437" i="14"/>
  <c r="B436" i="14"/>
  <c r="D435" i="14"/>
  <c r="C435" i="14"/>
  <c r="F407" i="14"/>
  <c r="E407" i="14"/>
  <c r="D407" i="14"/>
  <c r="C407" i="14"/>
  <c r="H409" i="14"/>
  <c r="H408" i="14"/>
  <c r="D430" i="14"/>
  <c r="C430" i="14"/>
  <c r="B433" i="14"/>
  <c r="B432" i="14"/>
  <c r="B431" i="14"/>
  <c r="B430" i="14"/>
  <c r="H421" i="14"/>
  <c r="H420" i="14"/>
  <c r="H415" i="14"/>
  <c r="H414" i="14"/>
  <c r="F427" i="14"/>
  <c r="E427" i="14"/>
  <c r="D427" i="14"/>
  <c r="L12" i="13" l="1"/>
  <c r="R103" i="2"/>
  <c r="R104" i="2" s="1"/>
  <c r="D432" i="14"/>
  <c r="D433" i="14"/>
  <c r="H407" i="14"/>
  <c r="H426" i="14"/>
  <c r="H427" i="14"/>
  <c r="C433" i="14" l="1"/>
  <c r="C438" i="14"/>
  <c r="C432" i="14"/>
  <c r="C437" i="14"/>
  <c r="F426" i="14"/>
  <c r="E426" i="14"/>
  <c r="D426" i="14"/>
  <c r="C426" i="14"/>
  <c r="F413" i="14" l="1"/>
  <c r="E413" i="14"/>
  <c r="D413" i="14"/>
  <c r="C413" i="14"/>
  <c r="F419" i="14"/>
  <c r="E419" i="14"/>
  <c r="D419" i="14"/>
  <c r="C419" i="14"/>
  <c r="C427" i="14"/>
  <c r="E362" i="14"/>
  <c r="P16" i="14"/>
  <c r="O16" i="14"/>
  <c r="N16" i="14"/>
  <c r="M16" i="14"/>
  <c r="L16" i="14"/>
  <c r="K16" i="14"/>
  <c r="J16" i="14"/>
  <c r="I16" i="14"/>
  <c r="G16" i="14"/>
  <c r="F16" i="14"/>
  <c r="E16" i="14"/>
  <c r="C16" i="14"/>
  <c r="Q16" i="14"/>
  <c r="R16" i="14"/>
  <c r="H65" i="14"/>
  <c r="D65" i="14"/>
  <c r="D425" i="14" l="1"/>
  <c r="E425" i="14"/>
  <c r="F425" i="14"/>
  <c r="H413" i="14"/>
  <c r="H419" i="14"/>
  <c r="C425" i="14"/>
  <c r="DD11" i="3"/>
  <c r="BN14" i="3"/>
  <c r="BM14" i="3"/>
  <c r="BL14" i="3"/>
  <c r="BK14" i="3"/>
  <c r="BI14" i="3"/>
  <c r="BH14" i="3"/>
  <c r="BG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BN21" i="3"/>
  <c r="BM21" i="3"/>
  <c r="BL21" i="3"/>
  <c r="BK21" i="3"/>
  <c r="BI21" i="3"/>
  <c r="BH21" i="3"/>
  <c r="BG21" i="3"/>
  <c r="BE21" i="3"/>
  <c r="BD21" i="3"/>
  <c r="BC21" i="3"/>
  <c r="BB21" i="3"/>
  <c r="BA21" i="3"/>
  <c r="AZ21" i="3"/>
  <c r="AY21" i="3"/>
  <c r="AX21" i="3"/>
  <c r="AW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E356" i="14"/>
  <c r="F343" i="14"/>
  <c r="F350" i="14"/>
  <c r="F340" i="14"/>
  <c r="F347" i="14"/>
  <c r="F341" i="14"/>
  <c r="F348" i="14"/>
  <c r="G349" i="14"/>
  <c r="H425" i="14" l="1"/>
  <c r="D342" i="14"/>
  <c r="D341" i="14"/>
  <c r="C342" i="14"/>
  <c r="C341" i="14"/>
  <c r="H290" i="14"/>
  <c r="G290" i="14"/>
  <c r="F290" i="14"/>
  <c r="E290" i="14"/>
  <c r="R67" i="14"/>
  <c r="AG37" i="14"/>
  <c r="AG36" i="14"/>
  <c r="AG24" i="14"/>
  <c r="AG22" i="14"/>
  <c r="AF37" i="14"/>
  <c r="AF36" i="14"/>
  <c r="AF22" i="14"/>
  <c r="AG12" i="14"/>
  <c r="AG10" i="14"/>
  <c r="AG6" i="14"/>
  <c r="AG5" i="14"/>
  <c r="AG3" i="14"/>
  <c r="AG2" i="14"/>
  <c r="AG33" i="14" s="1"/>
  <c r="R58" i="14"/>
  <c r="R57" i="14"/>
  <c r="R55" i="14"/>
  <c r="R35" i="14"/>
  <c r="S56" i="14" s="1"/>
  <c r="R33" i="14"/>
  <c r="R31" i="14"/>
  <c r="R29" i="14"/>
  <c r="R23" i="14"/>
  <c r="R11" i="14"/>
  <c r="R13" i="14" s="1"/>
  <c r="C431" i="14" l="1"/>
  <c r="C436" i="14"/>
  <c r="R30" i="14"/>
  <c r="R39" i="14"/>
  <c r="AF6" i="14"/>
  <c r="AE6" i="14"/>
  <c r="AD6" i="14"/>
  <c r="AC6" i="14"/>
  <c r="AB6" i="14"/>
  <c r="AA6" i="14"/>
  <c r="Z6" i="14"/>
  <c r="AF5" i="14"/>
  <c r="AE5" i="14"/>
  <c r="AD5" i="14"/>
  <c r="AC5" i="14"/>
  <c r="AB5" i="14"/>
  <c r="AA5" i="14"/>
  <c r="Z5" i="14"/>
  <c r="AF3" i="14"/>
  <c r="AE3" i="14"/>
  <c r="AD3" i="14"/>
  <c r="AC3" i="14"/>
  <c r="AB3" i="14"/>
  <c r="AA3" i="14"/>
  <c r="Z3" i="14"/>
  <c r="Z2" i="14"/>
  <c r="AA2" i="14"/>
  <c r="AB2" i="14"/>
  <c r="AC2" i="14"/>
  <c r="AD2" i="14"/>
  <c r="AE2" i="14"/>
  <c r="AF2" i="14"/>
  <c r="AF33" i="14" s="1"/>
  <c r="R18" i="14"/>
  <c r="R4" i="14"/>
  <c r="R49" i="14" l="1"/>
  <c r="S59" i="14"/>
  <c r="R17" i="14"/>
  <c r="R7" i="14"/>
  <c r="R19" i="14" s="1"/>
  <c r="R48" i="14"/>
  <c r="R52" i="14"/>
  <c r="R51" i="14"/>
  <c r="R50" i="14"/>
  <c r="C167" i="13" l="1"/>
  <c r="H163" i="13"/>
  <c r="G163" i="13"/>
  <c r="H162" i="13"/>
  <c r="G162" i="13"/>
  <c r="G164" i="13" l="1"/>
  <c r="H164" i="13"/>
  <c r="W139" i="13"/>
  <c r="V139" i="13"/>
  <c r="U139" i="13"/>
  <c r="T139" i="13"/>
  <c r="S139" i="13"/>
  <c r="R139" i="13"/>
  <c r="Q139" i="13"/>
  <c r="P139" i="13"/>
  <c r="O139" i="13"/>
  <c r="N139" i="13"/>
  <c r="M139" i="13"/>
  <c r="L139" i="13"/>
  <c r="K139" i="13"/>
  <c r="J139" i="13"/>
  <c r="I139" i="13"/>
  <c r="H139" i="13"/>
  <c r="G139" i="13"/>
  <c r="F139" i="13"/>
  <c r="E139" i="13"/>
  <c r="D139" i="13"/>
  <c r="C139" i="13"/>
  <c r="O697" i="7"/>
  <c r="V112" i="13" l="1"/>
  <c r="V111" i="13"/>
  <c r="V110" i="13"/>
  <c r="W79" i="13"/>
  <c r="W78" i="13"/>
  <c r="W73" i="13"/>
  <c r="V66" i="13"/>
  <c r="V58" i="13"/>
  <c r="V99" i="13" s="1"/>
  <c r="V57" i="13"/>
  <c r="V96" i="13" s="1"/>
  <c r="V56" i="13"/>
  <c r="V92" i="13" s="1"/>
  <c r="V52" i="13"/>
  <c r="BN123" i="3"/>
  <c r="BN122" i="3"/>
  <c r="BN121" i="3"/>
  <c r="BN119" i="3"/>
  <c r="BN124" i="3" s="1"/>
  <c r="W75" i="13" s="1"/>
  <c r="BN54" i="3"/>
  <c r="BN53" i="3"/>
  <c r="BN52" i="3"/>
  <c r="BN64" i="3"/>
  <c r="AE8" i="13"/>
  <c r="N27" i="13"/>
  <c r="N26" i="13"/>
  <c r="N24" i="13"/>
  <c r="N23" i="13"/>
  <c r="N20" i="13"/>
  <c r="N19" i="13"/>
  <c r="N18" i="13"/>
  <c r="N17" i="13"/>
  <c r="N16" i="13"/>
  <c r="N15" i="13"/>
  <c r="N14" i="13"/>
  <c r="N10" i="13"/>
  <c r="N9" i="13"/>
  <c r="N7" i="13"/>
  <c r="N5" i="13"/>
  <c r="N4" i="13"/>
  <c r="B672" i="7"/>
  <c r="J672" i="7" s="1"/>
  <c r="C679" i="7"/>
  <c r="BN55" i="3" l="1"/>
  <c r="BN104" i="3" s="1"/>
  <c r="N6" i="13"/>
  <c r="N11" i="13"/>
  <c r="N8" i="13"/>
  <c r="G672" i="7"/>
  <c r="D672" i="7"/>
  <c r="E672" i="7"/>
  <c r="F672" i="7"/>
  <c r="Q672" i="7"/>
  <c r="O672" i="7"/>
  <c r="N672" i="7"/>
  <c r="P672" i="7"/>
  <c r="I672" i="7"/>
  <c r="H672" i="7"/>
  <c r="M672" i="7"/>
  <c r="L672" i="7"/>
  <c r="R672" i="7"/>
  <c r="B13" i="12"/>
  <c r="B14" i="12"/>
  <c r="B15" i="12"/>
  <c r="B12" i="12"/>
  <c r="N12" i="13" l="1"/>
  <c r="O9" i="13" l="1"/>
  <c r="O5" i="13"/>
  <c r="D26" i="13"/>
  <c r="E26" i="13"/>
  <c r="F26" i="13"/>
  <c r="G26" i="13"/>
  <c r="H26" i="13"/>
  <c r="I26" i="13"/>
  <c r="D27" i="13"/>
  <c r="E27" i="13"/>
  <c r="F27" i="13"/>
  <c r="G27" i="13"/>
  <c r="H27" i="13"/>
  <c r="I27" i="13"/>
  <c r="C27" i="13"/>
  <c r="C26" i="13"/>
  <c r="C4" i="13"/>
  <c r="D4" i="13"/>
  <c r="C5" i="13"/>
  <c r="D5" i="13"/>
  <c r="C7" i="13"/>
  <c r="D7" i="13"/>
  <c r="C9" i="13"/>
  <c r="D9" i="13"/>
  <c r="D15" i="13"/>
  <c r="C17" i="13"/>
  <c r="D17" i="13"/>
  <c r="C18" i="13"/>
  <c r="D18" i="13"/>
  <c r="C20" i="13"/>
  <c r="D20" i="13"/>
  <c r="BT182" i="3"/>
  <c r="BT183" i="3" s="1"/>
  <c r="E4" i="13"/>
  <c r="F4" i="13"/>
  <c r="G4" i="13"/>
  <c r="AG4" i="13" s="1"/>
  <c r="H4" i="13"/>
  <c r="E5" i="13"/>
  <c r="F5" i="13"/>
  <c r="G5" i="13"/>
  <c r="AG5" i="13" s="1"/>
  <c r="H5" i="13"/>
  <c r="E7" i="13"/>
  <c r="E8" i="13" s="1"/>
  <c r="F7" i="13"/>
  <c r="G7" i="13"/>
  <c r="H7" i="13"/>
  <c r="E9" i="13"/>
  <c r="F9" i="13"/>
  <c r="G9" i="13"/>
  <c r="AG9" i="13" s="1"/>
  <c r="H9" i="13"/>
  <c r="E15" i="13"/>
  <c r="F15" i="13"/>
  <c r="G15" i="13"/>
  <c r="AG15" i="13" s="1"/>
  <c r="H15" i="13"/>
  <c r="E17" i="13"/>
  <c r="F17" i="13"/>
  <c r="G17" i="13"/>
  <c r="AG17" i="13" s="1"/>
  <c r="H17" i="13"/>
  <c r="E18" i="13"/>
  <c r="F18" i="13"/>
  <c r="G18" i="13"/>
  <c r="AG18" i="13" s="1"/>
  <c r="H18" i="13"/>
  <c r="E20" i="13"/>
  <c r="F20" i="13"/>
  <c r="G20" i="13"/>
  <c r="AG20" i="13" s="1"/>
  <c r="H20" i="13"/>
  <c r="D669" i="7"/>
  <c r="E669" i="7"/>
  <c r="F669" i="7"/>
  <c r="G669" i="7"/>
  <c r="F670" i="7"/>
  <c r="F678" i="7" s="1"/>
  <c r="D690" i="7"/>
  <c r="D692" i="7" s="1"/>
  <c r="E690" i="7"/>
  <c r="E692" i="7" s="1"/>
  <c r="F690" i="7"/>
  <c r="F692" i="7" s="1"/>
  <c r="G690" i="7"/>
  <c r="G692" i="7" s="1"/>
  <c r="D697" i="7"/>
  <c r="E697" i="7"/>
  <c r="F697" i="7"/>
  <c r="G697" i="7"/>
  <c r="D701" i="7"/>
  <c r="D703" i="7" s="1"/>
  <c r="E701" i="7"/>
  <c r="E703" i="7" s="1"/>
  <c r="F701" i="7"/>
  <c r="F703" i="7" s="1"/>
  <c r="G701" i="7"/>
  <c r="G703" i="7" s="1"/>
  <c r="BP124" i="3"/>
  <c r="BQ124" i="3"/>
  <c r="P702" i="7"/>
  <c r="Q702" i="7" s="1"/>
  <c r="R702" i="7" s="1"/>
  <c r="C678" i="7"/>
  <c r="T691" i="7"/>
  <c r="U691" i="7" s="1"/>
  <c r="I697" i="7"/>
  <c r="J697" i="7"/>
  <c r="K697" i="7"/>
  <c r="L697" i="7"/>
  <c r="M697" i="7"/>
  <c r="N697" i="7"/>
  <c r="H697" i="7"/>
  <c r="N684" i="7"/>
  <c r="O684" i="7"/>
  <c r="P684" i="7"/>
  <c r="Q684" i="7"/>
  <c r="R684" i="7"/>
  <c r="S684" i="7"/>
  <c r="T684" i="7"/>
  <c r="U684" i="7"/>
  <c r="V684" i="7"/>
  <c r="W684" i="7"/>
  <c r="M683" i="7"/>
  <c r="L683" i="7" s="1"/>
  <c r="M682" i="7"/>
  <c r="L682" i="7" s="1"/>
  <c r="I690" i="7"/>
  <c r="I692" i="7" s="1"/>
  <c r="J690" i="7"/>
  <c r="J692" i="7" s="1"/>
  <c r="K690" i="7"/>
  <c r="K692" i="7" s="1"/>
  <c r="L690" i="7"/>
  <c r="L692" i="7" s="1"/>
  <c r="M690" i="7"/>
  <c r="M692" i="7" s="1"/>
  <c r="N690" i="7"/>
  <c r="N692" i="7" s="1"/>
  <c r="P690" i="7"/>
  <c r="P692" i="7" s="1"/>
  <c r="Q690" i="7"/>
  <c r="Q692" i="7" s="1"/>
  <c r="R690" i="7"/>
  <c r="R692" i="7" s="1"/>
  <c r="T690" i="7"/>
  <c r="U690" i="7"/>
  <c r="V690" i="7"/>
  <c r="H690" i="7"/>
  <c r="H692" i="7" s="1"/>
  <c r="T669" i="7"/>
  <c r="U669" i="7"/>
  <c r="V669" i="7"/>
  <c r="W669" i="7"/>
  <c r="S669" i="7"/>
  <c r="I669" i="7"/>
  <c r="J669" i="7"/>
  <c r="K669" i="7"/>
  <c r="L669" i="7"/>
  <c r="M669" i="7"/>
  <c r="N669" i="7"/>
  <c r="O669" i="7"/>
  <c r="P669" i="7"/>
  <c r="Q669" i="7"/>
  <c r="R669" i="7"/>
  <c r="H669" i="7"/>
  <c r="Y185" i="1"/>
  <c r="Z185" i="1" s="1"/>
  <c r="AA185" i="1" s="1"/>
  <c r="AB185" i="1" s="1"/>
  <c r="AC185" i="1" s="1"/>
  <c r="AD185" i="1" s="1"/>
  <c r="E2552" i="4"/>
  <c r="J18" i="13"/>
  <c r="BQ151" i="3"/>
  <c r="BP151" i="3"/>
  <c r="BO151" i="3"/>
  <c r="BQ137" i="3"/>
  <c r="BP137" i="3"/>
  <c r="BO137" i="3"/>
  <c r="BQ133" i="3"/>
  <c r="DR133" i="3" s="1"/>
  <c r="BP133" i="3"/>
  <c r="BM119" i="3"/>
  <c r="DR119" i="3" s="1"/>
  <c r="DR111" i="3"/>
  <c r="DQ111" i="3"/>
  <c r="DP111" i="3"/>
  <c r="BQ67" i="3"/>
  <c r="BP67" i="3"/>
  <c r="BO67" i="3"/>
  <c r="DR63" i="3"/>
  <c r="DQ63" i="3"/>
  <c r="DP63" i="3"/>
  <c r="DR62" i="3"/>
  <c r="DQ62" i="3"/>
  <c r="DP62" i="3"/>
  <c r="DR61" i="3"/>
  <c r="DQ61" i="3"/>
  <c r="DP61" i="3"/>
  <c r="DR60" i="3"/>
  <c r="DQ60" i="3"/>
  <c r="DP60" i="3"/>
  <c r="BQ64" i="3"/>
  <c r="BQ56" i="3" s="1"/>
  <c r="BQ57" i="3" s="1"/>
  <c r="DR57" i="3" s="1"/>
  <c r="BP64" i="3"/>
  <c r="BP56" i="3" s="1"/>
  <c r="BP57" i="3" s="1"/>
  <c r="DQ57" i="3" s="1"/>
  <c r="BR67" i="3"/>
  <c r="DP4" i="3"/>
  <c r="W29" i="13" s="1"/>
  <c r="W47" i="13" s="1"/>
  <c r="DQ4" i="3"/>
  <c r="DR4" i="3"/>
  <c r="DS4" i="3"/>
  <c r="BR46" i="3"/>
  <c r="E662" i="7"/>
  <c r="E656" i="7"/>
  <c r="E664" i="7"/>
  <c r="D665" i="7" s="1"/>
  <c r="F662" i="7" s="1"/>
  <c r="E658" i="7"/>
  <c r="D659" i="7" s="1"/>
  <c r="F656" i="7" s="1"/>
  <c r="G8" i="13" l="1"/>
  <c r="AG8" i="13" s="1"/>
  <c r="AG7" i="13"/>
  <c r="W60" i="13"/>
  <c r="W90" i="13" s="1"/>
  <c r="W94" i="13" s="1"/>
  <c r="W55" i="13"/>
  <c r="BO177" i="3"/>
  <c r="BO179" i="3" s="1"/>
  <c r="H8" i="13"/>
  <c r="D8" i="13"/>
  <c r="F8" i="13"/>
  <c r="C6" i="13"/>
  <c r="AH18" i="13"/>
  <c r="AF18" i="13"/>
  <c r="AD18" i="13"/>
  <c r="H699" i="7"/>
  <c r="I699" i="7"/>
  <c r="E6" i="13"/>
  <c r="N699" i="7"/>
  <c r="M699" i="7"/>
  <c r="O10" i="13"/>
  <c r="L699" i="7"/>
  <c r="K699" i="7"/>
  <c r="J699" i="7"/>
  <c r="O6" i="13"/>
  <c r="C11" i="13"/>
  <c r="H6" i="13"/>
  <c r="H11" i="13"/>
  <c r="D6" i="13"/>
  <c r="G11" i="13"/>
  <c r="F11" i="13"/>
  <c r="G6" i="13"/>
  <c r="E11" i="13"/>
  <c r="F6" i="13"/>
  <c r="D11" i="13"/>
  <c r="C8" i="13"/>
  <c r="DQ133" i="3"/>
  <c r="Q697" i="7"/>
  <c r="BT57" i="3"/>
  <c r="BT99" i="3" s="1"/>
  <c r="BT148" i="3" s="1"/>
  <c r="R697" i="7"/>
  <c r="BU57" i="3"/>
  <c r="S702" i="7"/>
  <c r="V691" i="7"/>
  <c r="U692" i="7"/>
  <c r="T692" i="7"/>
  <c r="M684" i="7"/>
  <c r="K682" i="7"/>
  <c r="L684" i="7"/>
  <c r="K683" i="7"/>
  <c r="BQ71" i="3"/>
  <c r="BP70" i="3"/>
  <c r="BP157" i="3"/>
  <c r="BP177" i="3"/>
  <c r="BP179" i="3" s="1"/>
  <c r="BP184" i="3" s="1"/>
  <c r="BP186" i="3" s="1"/>
  <c r="BP160" i="3" s="1"/>
  <c r="BO157" i="3"/>
  <c r="BP71" i="3"/>
  <c r="BP103" i="3"/>
  <c r="BQ157" i="3"/>
  <c r="BQ177" i="3"/>
  <c r="BQ179" i="3" s="1"/>
  <c r="BQ184" i="3" s="1"/>
  <c r="BQ186" i="3" s="1"/>
  <c r="BQ160" i="3" s="1"/>
  <c r="BP68" i="3"/>
  <c r="BQ103" i="3"/>
  <c r="BQ112" i="3" s="1"/>
  <c r="BP99" i="3"/>
  <c r="BP148" i="3" s="1"/>
  <c r="BO68" i="3"/>
  <c r="BQ68" i="3"/>
  <c r="BQ99" i="3"/>
  <c r="BQ148" i="3" s="1"/>
  <c r="BQ70" i="3"/>
  <c r="DP133" i="3"/>
  <c r="X140" i="13" s="1"/>
  <c r="DP64" i="3"/>
  <c r="W84" i="13" s="1"/>
  <c r="DQ64" i="3"/>
  <c r="BR64" i="3"/>
  <c r="DR64" i="3"/>
  <c r="U399" i="14"/>
  <c r="T399" i="14"/>
  <c r="S399" i="14"/>
  <c r="R399" i="14"/>
  <c r="Q399" i="14"/>
  <c r="P399" i="14"/>
  <c r="O399" i="14"/>
  <c r="N399" i="14"/>
  <c r="M399" i="14"/>
  <c r="L399" i="14"/>
  <c r="K399" i="14"/>
  <c r="J399" i="14"/>
  <c r="I399" i="14"/>
  <c r="H399" i="14"/>
  <c r="G399" i="14"/>
  <c r="F399" i="14"/>
  <c r="E399" i="14"/>
  <c r="U398" i="14"/>
  <c r="T398" i="14"/>
  <c r="S398" i="14"/>
  <c r="R398" i="14"/>
  <c r="Q398" i="14"/>
  <c r="P398" i="14"/>
  <c r="O398" i="14"/>
  <c r="N398" i="14"/>
  <c r="M398" i="14"/>
  <c r="L398" i="14"/>
  <c r="K398" i="14"/>
  <c r="J398" i="14"/>
  <c r="I398" i="14"/>
  <c r="H398" i="14"/>
  <c r="G398" i="14"/>
  <c r="F398" i="14"/>
  <c r="E398" i="14"/>
  <c r="U397" i="14"/>
  <c r="T397" i="14"/>
  <c r="S397" i="14"/>
  <c r="R397" i="14"/>
  <c r="Q397" i="14"/>
  <c r="P397" i="14"/>
  <c r="O397" i="14"/>
  <c r="N397" i="14"/>
  <c r="M397" i="14"/>
  <c r="L397" i="14"/>
  <c r="D399" i="14"/>
  <c r="D398" i="14"/>
  <c r="B399" i="14"/>
  <c r="B398" i="14"/>
  <c r="B397" i="14"/>
  <c r="B396" i="14"/>
  <c r="BO184" i="3" l="1"/>
  <c r="BO187" i="3" s="1"/>
  <c r="K14" i="13"/>
  <c r="AB14" i="13" s="1"/>
  <c r="C12" i="13"/>
  <c r="U697" i="7"/>
  <c r="E12" i="13"/>
  <c r="O12" i="13"/>
  <c r="F12" i="13"/>
  <c r="G12" i="13"/>
  <c r="D12" i="13"/>
  <c r="H12" i="13"/>
  <c r="BQ190" i="3"/>
  <c r="BQ191" i="3" s="1"/>
  <c r="V697" i="7"/>
  <c r="BU99" i="3"/>
  <c r="BU148" i="3" s="1"/>
  <c r="W691" i="7"/>
  <c r="V692" i="7"/>
  <c r="K684" i="7"/>
  <c r="J682" i="7"/>
  <c r="I682" i="7" s="1"/>
  <c r="J683" i="7"/>
  <c r="BP112" i="3"/>
  <c r="BP107" i="3"/>
  <c r="BP114" i="3"/>
  <c r="BP113" i="3"/>
  <c r="DQ103" i="3"/>
  <c r="BQ114" i="3"/>
  <c r="DR103" i="3"/>
  <c r="BQ113" i="3"/>
  <c r="BQ107" i="3"/>
  <c r="BP134" i="3"/>
  <c r="BR68" i="3"/>
  <c r="BQ134" i="3"/>
  <c r="BQ72" i="3"/>
  <c r="BR56" i="3"/>
  <c r="AI130" i="9"/>
  <c r="AI122" i="9"/>
  <c r="AI108" i="9"/>
  <c r="AI71" i="9"/>
  <c r="AI17" i="9"/>
  <c r="AI9" i="9"/>
  <c r="AH130" i="9"/>
  <c r="AH122" i="9"/>
  <c r="AH108" i="9"/>
  <c r="AH71" i="9"/>
  <c r="AH17" i="9"/>
  <c r="AH9" i="9"/>
  <c r="AG130" i="9"/>
  <c r="AG122" i="9"/>
  <c r="AG108" i="9"/>
  <c r="AG71" i="9"/>
  <c r="AG17" i="9"/>
  <c r="AG9" i="9"/>
  <c r="AF130" i="9"/>
  <c r="AF122" i="9"/>
  <c r="AF108" i="9"/>
  <c r="AF71" i="9"/>
  <c r="AF17" i="9"/>
  <c r="AF9" i="9"/>
  <c r="K16" i="13" l="1"/>
  <c r="AB16" i="13" s="1"/>
  <c r="J684" i="7"/>
  <c r="I683" i="7"/>
  <c r="I684" i="7" s="1"/>
  <c r="H682" i="7"/>
  <c r="G682" i="7" s="1"/>
  <c r="AS51" i="14"/>
  <c r="AR51" i="14"/>
  <c r="N67" i="15"/>
  <c r="D568" i="7"/>
  <c r="D570" i="7" s="1"/>
  <c r="D562" i="7" s="1"/>
  <c r="L33" i="15"/>
  <c r="K33" i="15"/>
  <c r="J33" i="15"/>
  <c r="I33" i="15"/>
  <c r="H33" i="15"/>
  <c r="G33" i="15"/>
  <c r="F33" i="15"/>
  <c r="E29" i="15"/>
  <c r="F29" i="15" s="1"/>
  <c r="D49" i="15"/>
  <c r="D573" i="7"/>
  <c r="N59" i="15"/>
  <c r="K619" i="7"/>
  <c r="J619" i="7"/>
  <c r="I619" i="7"/>
  <c r="H619" i="7"/>
  <c r="G619" i="7"/>
  <c r="F619" i="7"/>
  <c r="E619" i="7"/>
  <c r="K618" i="7"/>
  <c r="J618" i="7"/>
  <c r="I618" i="7"/>
  <c r="H618" i="7"/>
  <c r="G618" i="7"/>
  <c r="F618" i="7"/>
  <c r="E618" i="7"/>
  <c r="D618" i="7"/>
  <c r="E616" i="7"/>
  <c r="F616" i="7" s="1"/>
  <c r="G616" i="7" s="1"/>
  <c r="H616" i="7" s="1"/>
  <c r="I616" i="7" s="1"/>
  <c r="J616" i="7" s="1"/>
  <c r="K616" i="7" s="1"/>
  <c r="K613" i="7"/>
  <c r="J613" i="7"/>
  <c r="I613" i="7"/>
  <c r="H613" i="7"/>
  <c r="G613" i="7"/>
  <c r="F613" i="7"/>
  <c r="E613" i="7"/>
  <c r="D613" i="7"/>
  <c r="E611" i="7"/>
  <c r="F611" i="7" s="1"/>
  <c r="G611" i="7" s="1"/>
  <c r="H611" i="7" s="1"/>
  <c r="I611" i="7" s="1"/>
  <c r="J611" i="7" s="1"/>
  <c r="K611" i="7" s="1"/>
  <c r="M587" i="7"/>
  <c r="M583" i="7"/>
  <c r="L583" i="7"/>
  <c r="K583" i="7"/>
  <c r="J583" i="7"/>
  <c r="M510" i="7"/>
  <c r="M511" i="7" s="1"/>
  <c r="L510" i="7"/>
  <c r="L511" i="7" s="1"/>
  <c r="M549" i="7"/>
  <c r="L549" i="7"/>
  <c r="L573" i="7"/>
  <c r="L576" i="7" s="1"/>
  <c r="K573" i="7"/>
  <c r="K576" i="7" s="1"/>
  <c r="T544" i="7"/>
  <c r="BO160" i="3" l="1"/>
  <c r="K17" i="13"/>
  <c r="AB17" i="13" s="1"/>
  <c r="F682" i="7"/>
  <c r="BS57" i="3"/>
  <c r="P697" i="7"/>
  <c r="H683" i="7"/>
  <c r="DP57" i="3"/>
  <c r="BO70" i="3"/>
  <c r="BO138" i="3" s="1"/>
  <c r="BO99" i="3"/>
  <c r="BO71" i="3"/>
  <c r="BP72" i="3" s="1"/>
  <c r="K5" i="13"/>
  <c r="K510" i="7"/>
  <c r="K511" i="7" s="1"/>
  <c r="J510" i="7"/>
  <c r="J511" i="7" s="1"/>
  <c r="K549" i="7"/>
  <c r="J549" i="7"/>
  <c r="K6" i="13" l="1"/>
  <c r="K12" i="13" s="1"/>
  <c r="AB5" i="13"/>
  <c r="BO148" i="3"/>
  <c r="G683" i="7"/>
  <c r="E682" i="7"/>
  <c r="F686" i="7"/>
  <c r="T697" i="7"/>
  <c r="BS99" i="3"/>
  <c r="BS148" i="3" s="1"/>
  <c r="H684" i="7"/>
  <c r="DP103" i="3"/>
  <c r="BO112" i="3"/>
  <c r="BO114" i="3"/>
  <c r="BO107" i="3"/>
  <c r="BO113" i="3"/>
  <c r="BO134" i="3"/>
  <c r="X76" i="13" s="1"/>
  <c r="X141" i="13" s="1"/>
  <c r="N65" i="15"/>
  <c r="K10" i="13" l="1"/>
  <c r="AB10" i="13" s="1"/>
  <c r="X74" i="13"/>
  <c r="W85" i="13"/>
  <c r="W33" i="13"/>
  <c r="D682" i="7"/>
  <c r="F683" i="7"/>
  <c r="G684" i="7"/>
  <c r="T547" i="7"/>
  <c r="T545" i="7"/>
  <c r="H10" i="15"/>
  <c r="H13" i="15"/>
  <c r="I554" i="7" s="1"/>
  <c r="J554" i="7" s="1"/>
  <c r="K554" i="7" s="1"/>
  <c r="L554" i="7" s="1"/>
  <c r="M554" i="7" s="1"/>
  <c r="G13" i="15"/>
  <c r="H554" i="7" s="1"/>
  <c r="E683" i="7" l="1"/>
  <c r="F684" i="7"/>
  <c r="DN39" i="3"/>
  <c r="DM39" i="3"/>
  <c r="Q29" i="14"/>
  <c r="Q35" i="14"/>
  <c r="Q31" i="14"/>
  <c r="Q23" i="14"/>
  <c r="Q18" i="14"/>
  <c r="Q4" i="14"/>
  <c r="BM8" i="3"/>
  <c r="N670" i="7" s="1"/>
  <c r="N686" i="7" s="1"/>
  <c r="DN64" i="3"/>
  <c r="U84" i="13" s="1"/>
  <c r="DN63" i="3"/>
  <c r="DN62" i="3"/>
  <c r="DN61" i="3"/>
  <c r="DN60" i="3"/>
  <c r="R56" i="14" l="1"/>
  <c r="AT51" i="14"/>
  <c r="D683" i="7"/>
  <c r="E684" i="7"/>
  <c r="Q30" i="14"/>
  <c r="Q39" i="14"/>
  <c r="U112" i="13"/>
  <c r="U111" i="13"/>
  <c r="U110" i="13"/>
  <c r="V79" i="13"/>
  <c r="V78" i="13"/>
  <c r="V73" i="13"/>
  <c r="U66" i="13"/>
  <c r="U58" i="13"/>
  <c r="U99" i="13" s="1"/>
  <c r="U57" i="13"/>
  <c r="U96" i="13" s="1"/>
  <c r="U56" i="13"/>
  <c r="U92" i="13" s="1"/>
  <c r="U52" i="13"/>
  <c r="BM123" i="3"/>
  <c r="BM122" i="3"/>
  <c r="BM121" i="3"/>
  <c r="BM112" i="3"/>
  <c r="V74" i="13" s="1"/>
  <c r="R59" i="14" l="1"/>
  <c r="D684" i="7"/>
  <c r="BM36" i="3"/>
  <c r="BM35" i="3"/>
  <c r="U53" i="13" s="1"/>
  <c r="BM47" i="3"/>
  <c r="BM24" i="3"/>
  <c r="U50" i="13" s="1"/>
  <c r="BM19" i="3"/>
  <c r="BM12" i="3"/>
  <c r="I18" i="13"/>
  <c r="I15" i="13"/>
  <c r="I10" i="13"/>
  <c r="AF12" i="14"/>
  <c r="AF10" i="14"/>
  <c r="U48" i="13" l="1"/>
  <c r="I23" i="13"/>
  <c r="U49" i="13"/>
  <c r="N671" i="7"/>
  <c r="I24" i="13"/>
  <c r="Q58" i="14"/>
  <c r="Q57" i="14"/>
  <c r="U51" i="13" l="1"/>
  <c r="N673" i="7"/>
  <c r="N675" i="7" s="1"/>
  <c r="N687" i="7" s="1"/>
  <c r="Q33" i="14"/>
  <c r="BL177" i="3"/>
  <c r="BL179" i="3" s="1"/>
  <c r="BK177" i="3"/>
  <c r="BK179" i="3" s="1"/>
  <c r="G14" i="13" s="1"/>
  <c r="AG14" i="13" s="1"/>
  <c r="BJ177" i="3"/>
  <c r="BJ179" i="3" s="1"/>
  <c r="F14" i="13" s="1"/>
  <c r="BI177" i="3"/>
  <c r="BI179" i="3" s="1"/>
  <c r="E14" i="13" s="1"/>
  <c r="BH177" i="3"/>
  <c r="BH179" i="3" s="1"/>
  <c r="D14" i="13" s="1"/>
  <c r="BG177" i="3"/>
  <c r="BG179" i="3" s="1"/>
  <c r="C14" i="13" s="1"/>
  <c r="BF177" i="3"/>
  <c r="BF179" i="3" s="1"/>
  <c r="BE177" i="3"/>
  <c r="BE179" i="3" s="1"/>
  <c r="BD177" i="3"/>
  <c r="BD179" i="3" s="1"/>
  <c r="BC177" i="3"/>
  <c r="BC179" i="3" s="1"/>
  <c r="BB177" i="3"/>
  <c r="BB179" i="3" s="1"/>
  <c r="BA177" i="3"/>
  <c r="BA179" i="3" s="1"/>
  <c r="AZ177" i="3"/>
  <c r="AY177" i="3"/>
  <c r="AY179" i="3" s="1"/>
  <c r="AX177" i="3"/>
  <c r="AX179" i="3" s="1"/>
  <c r="AW177" i="3"/>
  <c r="AW179" i="3" s="1"/>
  <c r="AU177" i="3"/>
  <c r="AT177" i="3"/>
  <c r="AT179" i="3" s="1"/>
  <c r="AS177" i="3"/>
  <c r="AS179" i="3" s="1"/>
  <c r="DM64" i="3"/>
  <c r="T84" i="13" s="1"/>
  <c r="DM63" i="3"/>
  <c r="DM62" i="3"/>
  <c r="DM61" i="3"/>
  <c r="DM60" i="3"/>
  <c r="P67" i="14"/>
  <c r="P35" i="14"/>
  <c r="P23" i="14"/>
  <c r="P11" i="14"/>
  <c r="P4" i="14"/>
  <c r="T110" i="13"/>
  <c r="S110" i="13"/>
  <c r="R110" i="13"/>
  <c r="Q110" i="13"/>
  <c r="P110" i="13"/>
  <c r="O110" i="13"/>
  <c r="N110" i="13"/>
  <c r="M110" i="13"/>
  <c r="L110" i="13"/>
  <c r="K110" i="13"/>
  <c r="J110" i="13"/>
  <c r="I110" i="13"/>
  <c r="H110" i="13"/>
  <c r="G110" i="13"/>
  <c r="F110" i="13"/>
  <c r="E110" i="13"/>
  <c r="D110" i="13"/>
  <c r="C110" i="13"/>
  <c r="T112" i="13"/>
  <c r="T111" i="13"/>
  <c r="U79" i="13"/>
  <c r="U78" i="13"/>
  <c r="U73" i="13"/>
  <c r="T66" i="13"/>
  <c r="T58" i="13"/>
  <c r="T99" i="13" s="1"/>
  <c r="T57" i="13"/>
  <c r="T96" i="13" s="1"/>
  <c r="T56" i="13"/>
  <c r="T92" i="13" s="1"/>
  <c r="T52" i="13"/>
  <c r="N679" i="7" l="1"/>
  <c r="BL184" i="3"/>
  <c r="H16" i="13" s="1"/>
  <c r="H14" i="13"/>
  <c r="P30" i="14"/>
  <c r="BL151" i="3"/>
  <c r="BL123" i="3"/>
  <c r="BL122" i="3"/>
  <c r="BL121" i="3"/>
  <c r="BL114" i="3"/>
  <c r="DQ114" i="3" s="1"/>
  <c r="BL112" i="3"/>
  <c r="BL99" i="3"/>
  <c r="BL148" i="3" s="1"/>
  <c r="BL71" i="3"/>
  <c r="BL68" i="3"/>
  <c r="BL67" i="3"/>
  <c r="BL36" i="3"/>
  <c r="BL35" i="3"/>
  <c r="T53" i="13" s="1"/>
  <c r="BL47" i="3"/>
  <c r="BL24" i="3"/>
  <c r="T50" i="13" s="1"/>
  <c r="BL19" i="3"/>
  <c r="BL12" i="3"/>
  <c r="BL8" i="3"/>
  <c r="M670" i="7" s="1"/>
  <c r="M686" i="7" s="1"/>
  <c r="P34" i="14"/>
  <c r="Q55" i="14" s="1"/>
  <c r="P13" i="14"/>
  <c r="P7" i="14"/>
  <c r="P19" i="14" l="1"/>
  <c r="N694" i="7"/>
  <c r="N688" i="7"/>
  <c r="BL187" i="3"/>
  <c r="T48" i="13"/>
  <c r="H23" i="13"/>
  <c r="T49" i="13"/>
  <c r="M671" i="7"/>
  <c r="H24" i="13"/>
  <c r="BL190" i="3"/>
  <c r="U74" i="13"/>
  <c r="H10" i="13"/>
  <c r="BP73" i="3"/>
  <c r="DQ71" i="3"/>
  <c r="BL134" i="3"/>
  <c r="U76" i="13" s="1"/>
  <c r="U141" i="13" s="1"/>
  <c r="BL93" i="3"/>
  <c r="T62" i="13" s="1"/>
  <c r="T95" i="13" s="1"/>
  <c r="BL94" i="3"/>
  <c r="BL92" i="3"/>
  <c r="T61" i="13" s="1"/>
  <c r="T91" i="13" s="1"/>
  <c r="P31" i="14"/>
  <c r="P29" i="14"/>
  <c r="AE37" i="14"/>
  <c r="AE36" i="14"/>
  <c r="AE22" i="14"/>
  <c r="AE12" i="14"/>
  <c r="AE10" i="14"/>
  <c r="AE33" i="14"/>
  <c r="P18" i="14"/>
  <c r="P17" i="14"/>
  <c r="K26" i="12"/>
  <c r="K24" i="12"/>
  <c r="K22" i="12"/>
  <c r="K21" i="12"/>
  <c r="K20" i="12"/>
  <c r="K18" i="12"/>
  <c r="K17" i="12"/>
  <c r="K16" i="12"/>
  <c r="L22" i="12"/>
  <c r="P22" i="12" s="1"/>
  <c r="L21" i="12"/>
  <c r="L20" i="12"/>
  <c r="O22" i="12"/>
  <c r="O21" i="12"/>
  <c r="O20" i="12"/>
  <c r="N22" i="12"/>
  <c r="N21" i="12"/>
  <c r="N20" i="12"/>
  <c r="M22" i="12"/>
  <c r="M21" i="12"/>
  <c r="M20" i="12"/>
  <c r="K27" i="12" l="1"/>
  <c r="T51" i="13"/>
  <c r="N696" i="7"/>
  <c r="N698" i="7" s="1"/>
  <c r="M673" i="7"/>
  <c r="M675" i="7" s="1"/>
  <c r="M687" i="7" s="1"/>
  <c r="P20" i="12"/>
  <c r="P21" i="12"/>
  <c r="BL191" i="3"/>
  <c r="H19" i="13"/>
  <c r="BL95" i="3"/>
  <c r="T64" i="13" s="1"/>
  <c r="T63" i="13"/>
  <c r="EY137" i="3"/>
  <c r="V246" i="14"/>
  <c r="U246" i="14"/>
  <c r="T246" i="14"/>
  <c r="S246" i="14"/>
  <c r="R246" i="14"/>
  <c r="Q246" i="14"/>
  <c r="P246" i="14"/>
  <c r="O246" i="14"/>
  <c r="N246" i="14"/>
  <c r="M246" i="14"/>
  <c r="L246" i="14"/>
  <c r="K246" i="14"/>
  <c r="J246" i="14"/>
  <c r="I246" i="14"/>
  <c r="H246" i="14"/>
  <c r="G246" i="14"/>
  <c r="M679" i="7" l="1"/>
  <c r="EY138" i="3"/>
  <c r="P58" i="14"/>
  <c r="H317" i="14"/>
  <c r="J316" i="14"/>
  <c r="D316" i="14"/>
  <c r="E316" i="14"/>
  <c r="F316" i="14"/>
  <c r="G316" i="14"/>
  <c r="H316" i="14"/>
  <c r="I316" i="14"/>
  <c r="C316" i="14"/>
  <c r="T279" i="14"/>
  <c r="T275" i="14" s="1"/>
  <c r="S279" i="14"/>
  <c r="S275" i="14" s="1"/>
  <c r="R279" i="14"/>
  <c r="R275" i="14" s="1"/>
  <c r="Q279" i="14"/>
  <c r="Q275" i="14" s="1"/>
  <c r="P279" i="14"/>
  <c r="P275" i="14" s="1"/>
  <c r="O279" i="14"/>
  <c r="O275" i="14" s="1"/>
  <c r="N279" i="14"/>
  <c r="N275" i="14" s="1"/>
  <c r="M279" i="14"/>
  <c r="M275" i="14" s="1"/>
  <c r="L279" i="14"/>
  <c r="L275" i="14" s="1"/>
  <c r="K279" i="14"/>
  <c r="K275" i="14" s="1"/>
  <c r="J279" i="14"/>
  <c r="J275" i="14" s="1"/>
  <c r="I279" i="14"/>
  <c r="I275" i="14" s="1"/>
  <c r="H279" i="14"/>
  <c r="H275" i="14" s="1"/>
  <c r="G279" i="14"/>
  <c r="G275" i="14" s="1"/>
  <c r="F279" i="14"/>
  <c r="F275" i="14" s="1"/>
  <c r="E279" i="14"/>
  <c r="E275" i="14" s="1"/>
  <c r="D279" i="14"/>
  <c r="D275" i="14" s="1"/>
  <c r="C279" i="14"/>
  <c r="C275" i="14" s="1"/>
  <c r="D270" i="14"/>
  <c r="E270" i="14"/>
  <c r="F270" i="14"/>
  <c r="G270" i="14"/>
  <c r="H270" i="14"/>
  <c r="I270" i="14"/>
  <c r="J270" i="14"/>
  <c r="K270" i="14"/>
  <c r="L270" i="14"/>
  <c r="M270" i="14"/>
  <c r="N270" i="14"/>
  <c r="O270" i="14"/>
  <c r="P270" i="14"/>
  <c r="Q270" i="14"/>
  <c r="R270" i="14"/>
  <c r="S270" i="14"/>
  <c r="T270" i="14"/>
  <c r="U270" i="14"/>
  <c r="V270" i="14"/>
  <c r="C270" i="14"/>
  <c r="V245" i="14"/>
  <c r="U245" i="14"/>
  <c r="T245" i="14"/>
  <c r="S245" i="14"/>
  <c r="R245" i="14"/>
  <c r="Q245" i="14"/>
  <c r="P245" i="14"/>
  <c r="O245" i="14"/>
  <c r="N245" i="14"/>
  <c r="M245" i="14"/>
  <c r="L245" i="14"/>
  <c r="K245" i="14"/>
  <c r="J245" i="14"/>
  <c r="I245" i="14"/>
  <c r="H245" i="14"/>
  <c r="G245" i="14"/>
  <c r="S235" i="14"/>
  <c r="R235" i="14"/>
  <c r="Q235" i="14"/>
  <c r="P235" i="14"/>
  <c r="O235" i="14"/>
  <c r="N235" i="14"/>
  <c r="M235" i="14"/>
  <c r="L235" i="14"/>
  <c r="K235" i="14"/>
  <c r="J235" i="14"/>
  <c r="I235" i="14"/>
  <c r="H235" i="14"/>
  <c r="G235" i="14"/>
  <c r="F235" i="14"/>
  <c r="E235" i="14"/>
  <c r="V234" i="14"/>
  <c r="V242" i="14" s="1"/>
  <c r="U234" i="14"/>
  <c r="U242" i="14" s="1"/>
  <c r="T234" i="14"/>
  <c r="T242" i="14" s="1"/>
  <c r="S234" i="14"/>
  <c r="S242" i="14" s="1"/>
  <c r="R234" i="14"/>
  <c r="R242" i="14" s="1"/>
  <c r="Q234" i="14"/>
  <c r="Q242" i="14" s="1"/>
  <c r="P234" i="14"/>
  <c r="P242" i="14" s="1"/>
  <c r="O234" i="14"/>
  <c r="O242" i="14" s="1"/>
  <c r="N234" i="14"/>
  <c r="N242" i="14" s="1"/>
  <c r="M234" i="14"/>
  <c r="M242" i="14" s="1"/>
  <c r="L234" i="14"/>
  <c r="L242" i="14" s="1"/>
  <c r="K234" i="14"/>
  <c r="K242" i="14" s="1"/>
  <c r="J234" i="14"/>
  <c r="J242" i="14" s="1"/>
  <c r="I234" i="14"/>
  <c r="I242" i="14" s="1"/>
  <c r="H234" i="14"/>
  <c r="H242" i="14" s="1"/>
  <c r="G234" i="14"/>
  <c r="G242" i="14" s="1"/>
  <c r="F234" i="14"/>
  <c r="F242" i="14" s="1"/>
  <c r="E234" i="14"/>
  <c r="E242" i="14" s="1"/>
  <c r="D234" i="14"/>
  <c r="D242" i="14" s="1"/>
  <c r="C234" i="14"/>
  <c r="C242" i="14" s="1"/>
  <c r="C235" i="14"/>
  <c r="M694" i="7" l="1"/>
  <c r="M688" i="7"/>
  <c r="AL18" i="13"/>
  <c r="AJ18" i="13"/>
  <c r="AK18" i="13"/>
  <c r="R243" i="14"/>
  <c r="J243" i="14"/>
  <c r="M243" i="14"/>
  <c r="N243" i="14"/>
  <c r="G243" i="14"/>
  <c r="S243" i="14"/>
  <c r="P243" i="14"/>
  <c r="I243" i="14"/>
  <c r="Q243" i="14"/>
  <c r="K243" i="14"/>
  <c r="L243" i="14"/>
  <c r="O243" i="14"/>
  <c r="M696" i="7" l="1"/>
  <c r="M698" i="7" s="1"/>
  <c r="C204" i="14"/>
  <c r="D176" i="14"/>
  <c r="E176" i="14"/>
  <c r="F176" i="14"/>
  <c r="G176" i="14"/>
  <c r="H176" i="14"/>
  <c r="I176" i="14"/>
  <c r="J176" i="14"/>
  <c r="K176" i="14"/>
  <c r="L176" i="14"/>
  <c r="M176" i="14"/>
  <c r="N176" i="14"/>
  <c r="O176" i="14"/>
  <c r="P176" i="14"/>
  <c r="Q176" i="14"/>
  <c r="R176" i="14"/>
  <c r="S176" i="14"/>
  <c r="T176" i="14"/>
  <c r="U176" i="14"/>
  <c r="V176" i="14"/>
  <c r="D177" i="14"/>
  <c r="E177" i="14"/>
  <c r="F177" i="14"/>
  <c r="G177" i="14"/>
  <c r="H177" i="14"/>
  <c r="I177" i="14"/>
  <c r="J177" i="14"/>
  <c r="K177" i="14"/>
  <c r="L177" i="14"/>
  <c r="M177" i="14"/>
  <c r="O177" i="14"/>
  <c r="P177" i="14"/>
  <c r="Q177" i="14"/>
  <c r="R177" i="14"/>
  <c r="C177" i="14"/>
  <c r="C176" i="14"/>
  <c r="P178" i="14" l="1"/>
  <c r="E178" i="14"/>
  <c r="R178" i="14"/>
  <c r="J178" i="14"/>
  <c r="H178" i="14"/>
  <c r="F178" i="14"/>
  <c r="L178" i="14"/>
  <c r="Q178" i="14"/>
  <c r="I178" i="14"/>
  <c r="G178" i="14"/>
  <c r="M178" i="14"/>
  <c r="D178" i="14"/>
  <c r="K178" i="14"/>
  <c r="J179" i="14" l="1"/>
  <c r="AE130" i="9" l="1"/>
  <c r="AD130" i="9"/>
  <c r="AC130" i="9"/>
  <c r="AB130" i="9"/>
  <c r="AA130" i="9"/>
  <c r="Z130" i="9"/>
  <c r="Y130" i="9"/>
  <c r="AE122" i="9"/>
  <c r="AD122" i="9"/>
  <c r="AC122" i="9"/>
  <c r="AB122" i="9"/>
  <c r="AA122" i="9"/>
  <c r="Z122" i="9"/>
  <c r="Y122" i="9"/>
  <c r="AE108" i="9"/>
  <c r="AD108" i="9"/>
  <c r="AC108" i="9"/>
  <c r="AB108" i="9"/>
  <c r="AA108" i="9"/>
  <c r="Z108" i="9"/>
  <c r="Y108" i="9"/>
  <c r="AE71" i="9"/>
  <c r="AD71" i="9"/>
  <c r="AC71" i="9"/>
  <c r="AB71" i="9"/>
  <c r="AA71" i="9"/>
  <c r="Z71" i="9"/>
  <c r="Y71" i="9"/>
  <c r="AE17" i="9"/>
  <c r="AD17" i="9"/>
  <c r="AC17" i="9"/>
  <c r="AB17" i="9"/>
  <c r="AA17" i="9"/>
  <c r="Z17" i="9"/>
  <c r="Y17" i="9"/>
  <c r="AE9" i="9"/>
  <c r="V92" i="1" l="1"/>
  <c r="U92" i="1"/>
  <c r="S92" i="1"/>
  <c r="Q92" i="1"/>
  <c r="P92" i="1"/>
  <c r="BJ171" i="3"/>
  <c r="BI171" i="3"/>
  <c r="BH171" i="3"/>
  <c r="BG171" i="3"/>
  <c r="BK171" i="3"/>
  <c r="V336" i="1"/>
  <c r="BK160" i="3"/>
  <c r="P57" i="14"/>
  <c r="P55" i="14"/>
  <c r="BK161" i="3" l="1"/>
  <c r="P33" i="14"/>
  <c r="Y34" i="14"/>
  <c r="V24" i="1"/>
  <c r="U24" i="1"/>
  <c r="S24" i="1"/>
  <c r="Q24" i="1"/>
  <c r="P24" i="1"/>
  <c r="U169" i="1"/>
  <c r="DL64" i="3" l="1"/>
  <c r="DL63" i="3"/>
  <c r="DL62" i="3"/>
  <c r="DL61" i="3"/>
  <c r="DL60" i="3"/>
  <c r="T47" i="2"/>
  <c r="U47" i="2" s="1"/>
  <c r="V47" i="2" s="1"/>
  <c r="W47" i="2" s="1"/>
  <c r="X47" i="2" s="1"/>
  <c r="Y47" i="2" s="1"/>
  <c r="N67" i="14"/>
  <c r="M67" i="14"/>
  <c r="L67" i="14"/>
  <c r="K67" i="14"/>
  <c r="J67" i="14"/>
  <c r="I67" i="14"/>
  <c r="H67" i="14"/>
  <c r="G67" i="14"/>
  <c r="O67" i="14"/>
  <c r="K24" i="14"/>
  <c r="L24" i="14" s="1"/>
  <c r="O78" i="14"/>
  <c r="O79" i="14" s="1"/>
  <c r="K78" i="14"/>
  <c r="K57" i="14"/>
  <c r="L44" i="14"/>
  <c r="M44" i="14" s="1"/>
  <c r="N44" i="14" s="1"/>
  <c r="O44" i="14" s="1"/>
  <c r="P44" i="14" s="1"/>
  <c r="Q44" i="14" s="1"/>
  <c r="R44" i="14" s="1"/>
  <c r="O33" i="14"/>
  <c r="N33" i="14"/>
  <c r="M33" i="14"/>
  <c r="L33" i="14"/>
  <c r="K33" i="14"/>
  <c r="J33" i="14"/>
  <c r="I33" i="14"/>
  <c r="H33" i="14"/>
  <c r="G33" i="14"/>
  <c r="K45" i="14"/>
  <c r="M24" i="14" l="1"/>
  <c r="AF24" i="14" s="1"/>
  <c r="AE24" i="14"/>
  <c r="B51" i="14"/>
  <c r="D58" i="14"/>
  <c r="D57" i="14"/>
  <c r="E58" i="14"/>
  <c r="E57" i="14"/>
  <c r="F58" i="14"/>
  <c r="F57" i="14"/>
  <c r="F55" i="14"/>
  <c r="G58" i="14"/>
  <c r="G57" i="14"/>
  <c r="G55" i="14"/>
  <c r="H58" i="14"/>
  <c r="H57" i="14"/>
  <c r="H55" i="14"/>
  <c r="I58" i="14"/>
  <c r="I57" i="14"/>
  <c r="J58" i="14"/>
  <c r="J57" i="14"/>
  <c r="O58" i="14"/>
  <c r="N58" i="14"/>
  <c r="M58" i="14"/>
  <c r="L58" i="14"/>
  <c r="K58" i="14"/>
  <c r="O57" i="14"/>
  <c r="N57" i="14"/>
  <c r="M57" i="14"/>
  <c r="L57" i="14"/>
  <c r="EX111" i="3"/>
  <c r="EX133" i="3"/>
  <c r="AD22" i="14"/>
  <c r="O29" i="14"/>
  <c r="AD10" i="14"/>
  <c r="DL39" i="3" l="1"/>
  <c r="DK39" i="3"/>
  <c r="DJ39" i="3"/>
  <c r="DI39" i="3"/>
  <c r="DH39" i="3"/>
  <c r="DG39" i="3"/>
  <c r="DF39" i="3"/>
  <c r="DL133" i="3" l="1"/>
  <c r="DK133" i="3"/>
  <c r="S177" i="14"/>
  <c r="S178" i="14" s="1"/>
  <c r="BK184" i="3"/>
  <c r="G16" i="13" s="1"/>
  <c r="AG16" i="13" s="1"/>
  <c r="BK172" i="3"/>
  <c r="BK157" i="3"/>
  <c r="BK151" i="3"/>
  <c r="BK123" i="3"/>
  <c r="BK122" i="3"/>
  <c r="BK121" i="3"/>
  <c r="BK119" i="3"/>
  <c r="BK114" i="3"/>
  <c r="DP114" i="3" s="1"/>
  <c r="BK112" i="3"/>
  <c r="G10" i="13" s="1"/>
  <c r="AG10" i="13" s="1"/>
  <c r="BK107" i="3"/>
  <c r="DP107" i="3" s="1"/>
  <c r="BK99" i="3"/>
  <c r="BK148" i="3" s="1"/>
  <c r="BK71" i="3"/>
  <c r="BK68" i="3"/>
  <c r="BK67" i="3"/>
  <c r="BK54" i="3"/>
  <c r="BK53" i="3"/>
  <c r="BK52" i="3"/>
  <c r="BK36" i="3"/>
  <c r="BK35" i="3"/>
  <c r="BK34" i="3"/>
  <c r="BK47" i="3"/>
  <c r="BK28" i="3"/>
  <c r="BK26" i="3"/>
  <c r="BK24" i="3"/>
  <c r="BK94" i="3" s="1"/>
  <c r="BK19" i="3"/>
  <c r="BK12" i="3"/>
  <c r="BK8" i="3"/>
  <c r="L670" i="7" s="1"/>
  <c r="L686" i="7" s="1"/>
  <c r="K34" i="14"/>
  <c r="DP53" i="3" l="1"/>
  <c r="W31" i="13" s="1"/>
  <c r="DP54" i="3"/>
  <c r="W32" i="13" s="1"/>
  <c r="DP52" i="3"/>
  <c r="W30" i="13" s="1"/>
  <c r="S271" i="14"/>
  <c r="T140" i="13"/>
  <c r="G317" i="14"/>
  <c r="R271" i="14"/>
  <c r="S140" i="13"/>
  <c r="BK93" i="3"/>
  <c r="S62" i="13" s="1"/>
  <c r="S95" i="13" s="1"/>
  <c r="G24" i="13"/>
  <c r="L671" i="7"/>
  <c r="BK92" i="3"/>
  <c r="S61" i="13" s="1"/>
  <c r="S91" i="13" s="1"/>
  <c r="G23" i="13"/>
  <c r="BL72" i="3"/>
  <c r="DP71" i="3"/>
  <c r="BO73" i="3"/>
  <c r="BK137" i="3"/>
  <c r="DP119" i="3"/>
  <c r="BK55" i="3"/>
  <c r="BK124" i="3"/>
  <c r="T75" i="13" s="1"/>
  <c r="Z34" i="14"/>
  <c r="AD34" i="14"/>
  <c r="K88" i="14"/>
  <c r="K55" i="14"/>
  <c r="L34" i="14"/>
  <c r="AE34" i="14" s="1"/>
  <c r="BK190" i="3"/>
  <c r="BK187" i="3"/>
  <c r="BK43" i="3"/>
  <c r="L701" i="7" s="1"/>
  <c r="L703" i="7" s="1"/>
  <c r="BK134" i="3"/>
  <c r="AD37" i="14"/>
  <c r="AD36" i="14"/>
  <c r="AD12" i="14"/>
  <c r="AD33" i="14"/>
  <c r="O35" i="14"/>
  <c r="AH35" i="14" s="1"/>
  <c r="O23" i="14"/>
  <c r="AH23" i="14" s="1"/>
  <c r="O18" i="14"/>
  <c r="O11" i="14"/>
  <c r="O4" i="14"/>
  <c r="AH4" i="14" s="1"/>
  <c r="S112" i="13"/>
  <c r="S111" i="13"/>
  <c r="T79" i="13"/>
  <c r="T78" i="13"/>
  <c r="T74" i="13"/>
  <c r="T73" i="13"/>
  <c r="S66" i="13"/>
  <c r="S63" i="13"/>
  <c r="S58" i="13"/>
  <c r="S99" i="13" s="1"/>
  <c r="S57" i="13"/>
  <c r="S96" i="13" s="1"/>
  <c r="S56" i="13"/>
  <c r="S92" i="13" s="1"/>
  <c r="S53" i="13"/>
  <c r="S52" i="13"/>
  <c r="S50" i="13"/>
  <c r="S49" i="13"/>
  <c r="S48" i="13"/>
  <c r="O8" i="13"/>
  <c r="BJ52" i="3"/>
  <c r="O13" i="14" l="1"/>
  <c r="AH13" i="14" s="1"/>
  <c r="AH11" i="14"/>
  <c r="BK113" i="3"/>
  <c r="BK104" i="3"/>
  <c r="T76" i="13"/>
  <c r="T141" i="13" s="1"/>
  <c r="BK95" i="3"/>
  <c r="S64" i="13" s="1"/>
  <c r="L673" i="7"/>
  <c r="L675" i="7" s="1"/>
  <c r="L687" i="7" s="1"/>
  <c r="BK191" i="3"/>
  <c r="G19" i="13"/>
  <c r="AG19" i="13" s="1"/>
  <c r="BK56" i="3"/>
  <c r="S51" i="13"/>
  <c r="L55" i="14"/>
  <c r="AA34" i="14"/>
  <c r="O30" i="14"/>
  <c r="O39" i="14"/>
  <c r="AH39" i="14" s="1"/>
  <c r="O7" i="14"/>
  <c r="L88" i="14"/>
  <c r="M34" i="14"/>
  <c r="AF34" i="14" s="1"/>
  <c r="O17" i="14"/>
  <c r="O19" i="14" l="1"/>
  <c r="AH7" i="14"/>
  <c r="L679" i="7"/>
  <c r="L694" i="7"/>
  <c r="L688" i="7"/>
  <c r="BK65" i="3"/>
  <c r="DP56" i="3"/>
  <c r="BK70" i="3"/>
  <c r="BK58" i="3"/>
  <c r="O49" i="14"/>
  <c r="O52" i="14"/>
  <c r="O50" i="14"/>
  <c r="O48" i="14"/>
  <c r="O51" i="14"/>
  <c r="M55" i="14"/>
  <c r="M88" i="14"/>
  <c r="N34" i="14"/>
  <c r="AG34" i="14" s="1"/>
  <c r="P19" i="5"/>
  <c r="Q19" i="5" s="1"/>
  <c r="R19" i="5" s="1"/>
  <c r="S19" i="5" s="1"/>
  <c r="T19" i="5" s="1"/>
  <c r="U19" i="5" s="1"/>
  <c r="L696" i="7" l="1"/>
  <c r="L698" i="7" s="1"/>
  <c r="S238" i="14"/>
  <c r="DP70" i="3"/>
  <c r="W83" i="13" s="1"/>
  <c r="BK138" i="3"/>
  <c r="AC34" i="14"/>
  <c r="O55" i="14"/>
  <c r="N55" i="14"/>
  <c r="N88" i="14"/>
  <c r="O88" i="14"/>
  <c r="J78" i="14"/>
  <c r="N78" i="14"/>
  <c r="N79" i="14" s="1"/>
  <c r="C1024" i="7"/>
  <c r="C1023" i="7"/>
  <c r="C1022" i="7"/>
  <c r="V325" i="1"/>
  <c r="V179" i="1"/>
  <c r="V207" i="1"/>
  <c r="W209" i="1" s="1"/>
  <c r="Q105" i="2"/>
  <c r="V326" i="1" l="1"/>
  <c r="W326" i="1"/>
  <c r="M8" i="5"/>
  <c r="V284" i="1"/>
  <c r="V208" i="1"/>
  <c r="V198" i="1"/>
  <c r="V204" i="1"/>
  <c r="V201" i="1"/>
  <c r="V184" i="1"/>
  <c r="X184" i="1" s="1"/>
  <c r="Y184" i="1" s="1"/>
  <c r="Z184" i="1" s="1"/>
  <c r="AA184" i="1" s="1"/>
  <c r="AB184" i="1" s="1"/>
  <c r="AC184" i="1" s="1"/>
  <c r="AD184" i="1" s="1"/>
  <c r="Q108" i="2"/>
  <c r="Q100" i="2"/>
  <c r="Q47" i="2"/>
  <c r="Q31" i="2"/>
  <c r="Q22" i="2"/>
  <c r="Q13" i="2"/>
  <c r="Q5" i="2"/>
  <c r="BF135" i="3"/>
  <c r="BJ135" i="3"/>
  <c r="F2242" i="4"/>
  <c r="H2242" i="4" s="1"/>
  <c r="D2242" i="4"/>
  <c r="F115" i="14"/>
  <c r="E115" i="14"/>
  <c r="D115" i="14"/>
  <c r="F114" i="14"/>
  <c r="E114" i="14"/>
  <c r="D114" i="14"/>
  <c r="F113" i="14"/>
  <c r="E113" i="14"/>
  <c r="D113" i="14"/>
  <c r="F111" i="14"/>
  <c r="AC10" i="14"/>
  <c r="AB10" i="14"/>
  <c r="B114" i="14"/>
  <c r="G115" i="14"/>
  <c r="G114" i="14"/>
  <c r="G113" i="14"/>
  <c r="G111" i="14"/>
  <c r="H115" i="14"/>
  <c r="H114" i="14"/>
  <c r="H113" i="14"/>
  <c r="H111" i="14"/>
  <c r="I115" i="14"/>
  <c r="I114" i="14"/>
  <c r="I113" i="14"/>
  <c r="J115" i="14"/>
  <c r="J114" i="14"/>
  <c r="J113" i="14"/>
  <c r="K115" i="14"/>
  <c r="K114" i="14"/>
  <c r="K113" i="14"/>
  <c r="L115" i="14"/>
  <c r="L114" i="14"/>
  <c r="L113" i="14"/>
  <c r="M115" i="14"/>
  <c r="M114" i="14"/>
  <c r="M113" i="14"/>
  <c r="M111" i="14"/>
  <c r="N115" i="14"/>
  <c r="N114" i="14"/>
  <c r="N113" i="14"/>
  <c r="N111" i="14"/>
  <c r="AC37" i="14"/>
  <c r="AC36" i="14"/>
  <c r="AC12" i="14"/>
  <c r="AC33" i="14"/>
  <c r="N35" i="14"/>
  <c r="AG35" i="14" s="1"/>
  <c r="N23" i="14"/>
  <c r="AG23" i="14" s="1"/>
  <c r="N18" i="14"/>
  <c r="N11" i="14"/>
  <c r="N4" i="14"/>
  <c r="AG4" i="14" s="1"/>
  <c r="DK111" i="3"/>
  <c r="R272" i="14" s="1"/>
  <c r="N13" i="14" l="1"/>
  <c r="AG11" i="14"/>
  <c r="BQ88" i="3"/>
  <c r="BQ89" i="3"/>
  <c r="BQ87" i="3"/>
  <c r="Q103" i="2"/>
  <c r="O56" i="14"/>
  <c r="N30" i="14"/>
  <c r="N39" i="14"/>
  <c r="AG39" i="14" s="1"/>
  <c r="N17" i="14"/>
  <c r="N7" i="14"/>
  <c r="AG7" i="14" s="1"/>
  <c r="AG13" i="14" l="1"/>
  <c r="N19" i="14"/>
  <c r="BR87" i="3"/>
  <c r="BR88" i="3"/>
  <c r="BR89" i="3"/>
  <c r="Q104" i="2"/>
  <c r="N52" i="14"/>
  <c r="N50" i="14"/>
  <c r="N51" i="14"/>
  <c r="O59" i="14"/>
  <c r="N48" i="14"/>
  <c r="N49" i="14"/>
  <c r="R112" i="13"/>
  <c r="R111" i="13"/>
  <c r="S79" i="13"/>
  <c r="S78" i="13"/>
  <c r="S73" i="13"/>
  <c r="DK103" i="3"/>
  <c r="R33" i="13" s="1"/>
  <c r="R66" i="13"/>
  <c r="R58" i="13"/>
  <c r="R99" i="13" s="1"/>
  <c r="R57" i="13"/>
  <c r="R96" i="13" s="1"/>
  <c r="R56" i="13"/>
  <c r="R92" i="13" s="1"/>
  <c r="R52" i="13"/>
  <c r="DK63" i="3"/>
  <c r="DK62" i="3"/>
  <c r="DK61" i="3"/>
  <c r="DK60" i="3"/>
  <c r="DK57" i="3"/>
  <c r="DK42" i="3"/>
  <c r="R69" i="13" s="1"/>
  <c r="DK41" i="3"/>
  <c r="R68" i="13" s="1"/>
  <c r="DK40" i="3"/>
  <c r="R67" i="13" s="1"/>
  <c r="DK4" i="3"/>
  <c r="R29" i="13" s="1"/>
  <c r="BJ64" i="3"/>
  <c r="BJ68" i="3" s="1"/>
  <c r="BJ121" i="3"/>
  <c r="BJ184" i="3"/>
  <c r="F16" i="13" s="1"/>
  <c r="BJ172" i="3"/>
  <c r="BJ160" i="3"/>
  <c r="BJ161" i="3" s="1"/>
  <c r="BJ157" i="3"/>
  <c r="BJ151" i="3"/>
  <c r="BJ123" i="3"/>
  <c r="BJ122" i="3"/>
  <c r="BJ119" i="3"/>
  <c r="BJ137" i="3" s="1"/>
  <c r="BJ114" i="3"/>
  <c r="BJ112" i="3"/>
  <c r="F10" i="13" s="1"/>
  <c r="BJ107" i="3"/>
  <c r="BJ99" i="3"/>
  <c r="BJ134" i="3" s="1"/>
  <c r="S76" i="13" s="1"/>
  <c r="S141" i="13" s="1"/>
  <c r="BJ67" i="3"/>
  <c r="BJ54" i="3"/>
  <c r="BJ53" i="3"/>
  <c r="BJ36" i="3"/>
  <c r="BJ35" i="3"/>
  <c r="BJ34" i="3"/>
  <c r="BJ47" i="3"/>
  <c r="BJ28" i="3"/>
  <c r="BJ24" i="3"/>
  <c r="BJ94" i="3" s="1"/>
  <c r="R63" i="13" s="1"/>
  <c r="BJ19" i="3"/>
  <c r="BJ12" i="3"/>
  <c r="BJ8" i="3"/>
  <c r="K670" i="7" s="1"/>
  <c r="K686" i="7" s="1"/>
  <c r="BJ92" i="3" l="1"/>
  <c r="R61" i="13" s="1"/>
  <c r="R91" i="13" s="1"/>
  <c r="F23" i="13"/>
  <c r="BJ93" i="3"/>
  <c r="R62" i="13" s="1"/>
  <c r="R95" i="13" s="1"/>
  <c r="F24" i="13"/>
  <c r="K671" i="7"/>
  <c r="R47" i="13"/>
  <c r="R60" i="13" s="1"/>
  <c r="R90" i="13" s="1"/>
  <c r="R94" i="13" s="1"/>
  <c r="F3" i="13"/>
  <c r="BK173" i="3"/>
  <c r="BK29" i="3"/>
  <c r="R53" i="13"/>
  <c r="R85" i="13"/>
  <c r="S74" i="13"/>
  <c r="BJ124" i="3"/>
  <c r="S75" i="13" s="1"/>
  <c r="R48" i="13"/>
  <c r="R49" i="13"/>
  <c r="R50" i="13"/>
  <c r="DK64" i="3"/>
  <c r="R84" i="13" s="1"/>
  <c r="BJ71" i="3"/>
  <c r="BK72" i="3" s="1"/>
  <c r="BJ148" i="3"/>
  <c r="F317" i="14" s="1"/>
  <c r="BJ43" i="3"/>
  <c r="K701" i="7" s="1"/>
  <c r="K703" i="7" s="1"/>
  <c r="BJ55" i="3"/>
  <c r="BJ187" i="3"/>
  <c r="BJ190" i="3"/>
  <c r="F19" i="13" s="1"/>
  <c r="N88" i="15"/>
  <c r="D90" i="15"/>
  <c r="BJ104" i="3" l="1"/>
  <c r="BJ95" i="3"/>
  <c r="R64" i="13" s="1"/>
  <c r="R55" i="13"/>
  <c r="BJ113" i="3"/>
  <c r="R51" i="13"/>
  <c r="BJ191" i="3"/>
  <c r="BJ56" i="3"/>
  <c r="W543" i="7"/>
  <c r="S543" i="7"/>
  <c r="V543" i="7"/>
  <c r="U543" i="7"/>
  <c r="T543" i="7"/>
  <c r="C104" i="15"/>
  <c r="D88" i="15"/>
  <c r="N85" i="15"/>
  <c r="D85" i="15" s="1"/>
  <c r="D68" i="15"/>
  <c r="N89" i="15"/>
  <c r="D89" i="15" s="1"/>
  <c r="S51" i="15"/>
  <c r="S53" i="15" s="1"/>
  <c r="D51" i="15"/>
  <c r="E40" i="15"/>
  <c r="F40" i="15" s="1"/>
  <c r="E39" i="15"/>
  <c r="F39" i="15" s="1"/>
  <c r="G39" i="15" s="1"/>
  <c r="H39" i="15" s="1"/>
  <c r="I39" i="15" s="1"/>
  <c r="J39" i="15" s="1"/>
  <c r="K39" i="15" s="1"/>
  <c r="L39" i="15" s="1"/>
  <c r="F30" i="15"/>
  <c r="G29" i="15"/>
  <c r="H29" i="15" s="1"/>
  <c r="I29" i="15" s="1"/>
  <c r="J29" i="15" s="1"/>
  <c r="K29" i="15" s="1"/>
  <c r="L29" i="15" s="1"/>
  <c r="E18" i="15"/>
  <c r="D18" i="15"/>
  <c r="B18" i="15"/>
  <c r="B11" i="15"/>
  <c r="G10" i="15"/>
  <c r="F10" i="15"/>
  <c r="E10" i="15"/>
  <c r="D10" i="15"/>
  <c r="B10" i="15"/>
  <c r="E3" i="15"/>
  <c r="D3" i="15"/>
  <c r="E2" i="15"/>
  <c r="D2" i="15"/>
  <c r="U336" i="1"/>
  <c r="T336" i="1"/>
  <c r="U338" i="1"/>
  <c r="V97" i="1" s="1"/>
  <c r="BH162" i="3" s="1"/>
  <c r="U326" i="1"/>
  <c r="E47" i="15" l="1"/>
  <c r="E23" i="15"/>
  <c r="D47" i="15"/>
  <c r="D23" i="15"/>
  <c r="BJ70" i="3"/>
  <c r="BJ65" i="3"/>
  <c r="D59" i="15"/>
  <c r="S54" i="15" s="1"/>
  <c r="N91" i="15"/>
  <c r="D91" i="15" s="1"/>
  <c r="E4" i="15"/>
  <c r="F3" i="15"/>
  <c r="S52" i="15"/>
  <c r="G40" i="15"/>
  <c r="G30" i="15"/>
  <c r="H30" i="15" s="1"/>
  <c r="I30" i="15" s="1"/>
  <c r="J30" i="15" s="1"/>
  <c r="K30" i="15" s="1"/>
  <c r="L30" i="15" s="1"/>
  <c r="F31" i="15"/>
  <c r="E31" i="15"/>
  <c r="R53" i="15"/>
  <c r="T53" i="15" s="1"/>
  <c r="R51" i="15"/>
  <c r="R52" i="15" s="1"/>
  <c r="R238" i="14" l="1"/>
  <c r="BJ138" i="3"/>
  <c r="S55" i="15"/>
  <c r="G31" i="15"/>
  <c r="H40" i="15"/>
  <c r="H31" i="15"/>
  <c r="I31" i="15" l="1"/>
  <c r="I40" i="15"/>
  <c r="J31" i="15" l="1"/>
  <c r="J40" i="15"/>
  <c r="K40" i="15" l="1"/>
  <c r="K31" i="15"/>
  <c r="L40" i="15" l="1"/>
  <c r="L31" i="15"/>
  <c r="T546" i="7" l="1"/>
  <c r="S544" i="7"/>
  <c r="T513" i="7"/>
  <c r="F31" i="14" l="1"/>
  <c r="E31" i="14"/>
  <c r="D31" i="14"/>
  <c r="C31" i="14"/>
  <c r="H29" i="14"/>
  <c r="G29" i="14"/>
  <c r="AB37" i="14"/>
  <c r="AA37" i="14"/>
  <c r="Z37" i="14"/>
  <c r="Y37" i="14"/>
  <c r="X37" i="14"/>
  <c r="W37" i="14"/>
  <c r="V37" i="14"/>
  <c r="AB36" i="14"/>
  <c r="AA36" i="14"/>
  <c r="Z36" i="14"/>
  <c r="Y36" i="14"/>
  <c r="X36" i="14"/>
  <c r="W36" i="14"/>
  <c r="V36" i="14"/>
  <c r="M35" i="14"/>
  <c r="AF35" i="14" s="1"/>
  <c r="L35" i="14"/>
  <c r="K35" i="14"/>
  <c r="I35" i="14"/>
  <c r="H35" i="14"/>
  <c r="G35" i="14"/>
  <c r="F35" i="14"/>
  <c r="E35" i="14"/>
  <c r="D35" i="14"/>
  <c r="C35" i="14"/>
  <c r="D34" i="14"/>
  <c r="C34" i="14"/>
  <c r="AN53" i="14"/>
  <c r="AM53" i="14"/>
  <c r="AN52" i="14"/>
  <c r="G24" i="14"/>
  <c r="G31" i="14" s="1"/>
  <c r="M23" i="14"/>
  <c r="AF23" i="14" s="1"/>
  <c r="L23" i="14"/>
  <c r="AE23" i="14" s="1"/>
  <c r="K23" i="14"/>
  <c r="AD23" i="14" s="1"/>
  <c r="I23" i="14"/>
  <c r="H23" i="14"/>
  <c r="G23" i="14"/>
  <c r="F23" i="14"/>
  <c r="E23" i="14"/>
  <c r="D23" i="14"/>
  <c r="C23" i="14"/>
  <c r="W22" i="14"/>
  <c r="V22" i="14"/>
  <c r="F22" i="14"/>
  <c r="F29" i="14" s="1"/>
  <c r="E22" i="14"/>
  <c r="E29" i="14" s="1"/>
  <c r="M18" i="14"/>
  <c r="L18" i="14"/>
  <c r="K18" i="14"/>
  <c r="J18" i="14"/>
  <c r="I18" i="14"/>
  <c r="H18" i="14"/>
  <c r="G18" i="14"/>
  <c r="F18" i="14"/>
  <c r="E18" i="14"/>
  <c r="D18" i="14"/>
  <c r="C18" i="14"/>
  <c r="AB12" i="14"/>
  <c r="AA12" i="14"/>
  <c r="Z12" i="14"/>
  <c r="Y12" i="14"/>
  <c r="X12" i="14"/>
  <c r="W12" i="14"/>
  <c r="V12" i="14"/>
  <c r="B12" i="14"/>
  <c r="B18" i="14" s="1"/>
  <c r="M11" i="14"/>
  <c r="M13" i="14" s="1"/>
  <c r="L11" i="14"/>
  <c r="K11" i="14"/>
  <c r="J11" i="14"/>
  <c r="I11" i="14"/>
  <c r="I13" i="14" s="1"/>
  <c r="H11" i="14"/>
  <c r="G11" i="14"/>
  <c r="G13" i="14" s="1"/>
  <c r="F11" i="14"/>
  <c r="F13" i="14" s="1"/>
  <c r="E11" i="14"/>
  <c r="E13" i="14" s="1"/>
  <c r="D11" i="14"/>
  <c r="C11" i="14"/>
  <c r="C13" i="14" s="1"/>
  <c r="B11" i="14"/>
  <c r="B23" i="14" s="1"/>
  <c r="B49" i="14" s="1"/>
  <c r="Z10" i="14"/>
  <c r="Y10" i="14"/>
  <c r="X10" i="14"/>
  <c r="V10" i="14"/>
  <c r="H10" i="14"/>
  <c r="H16" i="14" s="1"/>
  <c r="D10" i="14"/>
  <c r="B16" i="14"/>
  <c r="Y6" i="14"/>
  <c r="X6" i="14"/>
  <c r="W6" i="14"/>
  <c r="V6" i="14"/>
  <c r="Y5" i="14"/>
  <c r="X5" i="14"/>
  <c r="W5" i="14"/>
  <c r="V5" i="14"/>
  <c r="M4" i="14"/>
  <c r="L4" i="14"/>
  <c r="K4" i="14"/>
  <c r="J4" i="14"/>
  <c r="AC4" i="14" s="1"/>
  <c r="I4" i="14"/>
  <c r="I7" i="14" s="1"/>
  <c r="H4" i="14"/>
  <c r="H7" i="14" s="1"/>
  <c r="G4" i="14"/>
  <c r="G7" i="14" s="1"/>
  <c r="F4" i="14"/>
  <c r="F7" i="14" s="1"/>
  <c r="E4" i="14"/>
  <c r="E7" i="14" s="1"/>
  <c r="D4" i="14"/>
  <c r="C4" i="14"/>
  <c r="Y3" i="14"/>
  <c r="X3" i="14"/>
  <c r="W3" i="14"/>
  <c r="V3" i="14"/>
  <c r="AB33" i="14"/>
  <c r="AA33" i="14"/>
  <c r="Z33" i="14"/>
  <c r="Y2" i="14"/>
  <c r="Y33" i="14" s="1"/>
  <c r="X2" i="14"/>
  <c r="X33" i="14" s="1"/>
  <c r="W2" i="14"/>
  <c r="W33" i="14" s="1"/>
  <c r="V2" i="14"/>
  <c r="V33" i="14" s="1"/>
  <c r="E19" i="14" l="1"/>
  <c r="D13" i="14"/>
  <c r="D16" i="14"/>
  <c r="G19" i="14"/>
  <c r="I19" i="14"/>
  <c r="F19" i="14"/>
  <c r="Z4" i="14"/>
  <c r="AD4" i="14"/>
  <c r="AA4" i="14"/>
  <c r="AE4" i="14"/>
  <c r="M7" i="14"/>
  <c r="M19" i="14" s="1"/>
  <c r="AB4" i="14"/>
  <c r="AF4" i="14"/>
  <c r="L13" i="14"/>
  <c r="AE11" i="14"/>
  <c r="H13" i="14"/>
  <c r="H19" i="14" s="1"/>
  <c r="AB13" i="14"/>
  <c r="AC11" i="14"/>
  <c r="J13" i="14"/>
  <c r="AD11" i="14"/>
  <c r="K13" i="14"/>
  <c r="J79" i="14"/>
  <c r="K79" i="14"/>
  <c r="D56" i="14"/>
  <c r="E56" i="14"/>
  <c r="E30" i="14"/>
  <c r="E55" i="14"/>
  <c r="D55" i="14"/>
  <c r="I55" i="14"/>
  <c r="J55" i="14"/>
  <c r="AB34" i="14"/>
  <c r="L56" i="14"/>
  <c r="F56" i="14"/>
  <c r="G56" i="14"/>
  <c r="I56" i="14"/>
  <c r="V34" i="14"/>
  <c r="H56" i="14"/>
  <c r="AD35" i="14"/>
  <c r="M56" i="14"/>
  <c r="N56" i="14"/>
  <c r="D112" i="14"/>
  <c r="M39" i="14"/>
  <c r="AF39" i="14" s="1"/>
  <c r="M112" i="14"/>
  <c r="N112" i="14"/>
  <c r="AN51" i="14"/>
  <c r="I112" i="14"/>
  <c r="I111" i="14"/>
  <c r="J111" i="14"/>
  <c r="L112" i="14"/>
  <c r="E39" i="14"/>
  <c r="E112" i="14"/>
  <c r="D29" i="14"/>
  <c r="E111" i="14"/>
  <c r="D111" i="14"/>
  <c r="F39" i="14"/>
  <c r="F52" i="14" s="1"/>
  <c r="F112" i="14"/>
  <c r="G39" i="14"/>
  <c r="G112" i="14"/>
  <c r="AA10" i="14"/>
  <c r="H39" i="14"/>
  <c r="H112" i="14"/>
  <c r="I39" i="14"/>
  <c r="I30" i="14"/>
  <c r="W10" i="14"/>
  <c r="W11" i="14"/>
  <c r="AM50" i="14"/>
  <c r="D30" i="14"/>
  <c r="C29" i="14"/>
  <c r="E17" i="14"/>
  <c r="M17" i="14"/>
  <c r="B22" i="14"/>
  <c r="B48" i="14" s="1"/>
  <c r="X22" i="14"/>
  <c r="AB23" i="14"/>
  <c r="X23" i="14"/>
  <c r="B24" i="14"/>
  <c r="B50" i="14" s="1"/>
  <c r="K17" i="14"/>
  <c r="B17" i="14"/>
  <c r="W23" i="14"/>
  <c r="V24" i="14"/>
  <c r="C30" i="14"/>
  <c r="L30" i="14"/>
  <c r="F17" i="14"/>
  <c r="G17" i="14"/>
  <c r="Y4" i="14"/>
  <c r="V4" i="14"/>
  <c r="Z23" i="14"/>
  <c r="AA23" i="14"/>
  <c r="K30" i="14"/>
  <c r="H17" i="14"/>
  <c r="I17" i="14"/>
  <c r="M30" i="14"/>
  <c r="L17" i="14"/>
  <c r="AA11" i="14"/>
  <c r="Y11" i="14"/>
  <c r="AM51" i="14"/>
  <c r="V35" i="14"/>
  <c r="C39" i="14"/>
  <c r="C49" i="14" s="1"/>
  <c r="V23" i="14"/>
  <c r="X11" i="14"/>
  <c r="D17" i="14"/>
  <c r="AB11" i="14"/>
  <c r="AB35" i="14"/>
  <c r="AL51" i="14"/>
  <c r="B35" i="14"/>
  <c r="B56" i="14" s="1"/>
  <c r="X7" i="14"/>
  <c r="J29" i="14"/>
  <c r="Y22" i="14"/>
  <c r="J7" i="14"/>
  <c r="AC7" i="14" s="1"/>
  <c r="C7" i="14"/>
  <c r="V7" i="14" s="1"/>
  <c r="L39" i="14"/>
  <c r="L52" i="14" s="1"/>
  <c r="F30" i="14"/>
  <c r="G30" i="14"/>
  <c r="Z11" i="14"/>
  <c r="C17" i="14"/>
  <c r="W35" i="14"/>
  <c r="H30" i="14"/>
  <c r="H24" i="14"/>
  <c r="W34" i="14"/>
  <c r="X35" i="14"/>
  <c r="W4" i="14"/>
  <c r="X34" i="14"/>
  <c r="K7" i="14"/>
  <c r="D39" i="14"/>
  <c r="D52" i="14" s="1"/>
  <c r="I29" i="14"/>
  <c r="L7" i="14"/>
  <c r="AN50" i="14"/>
  <c r="X4" i="14"/>
  <c r="Z35" i="14"/>
  <c r="D7" i="14"/>
  <c r="W7" i="14" s="1"/>
  <c r="J17" i="14"/>
  <c r="V11" i="14"/>
  <c r="AA35" i="14"/>
  <c r="G595" i="7"/>
  <c r="F2" i="15" s="1"/>
  <c r="U525" i="7"/>
  <c r="K19" i="14" l="1"/>
  <c r="AE13" i="14"/>
  <c r="L19" i="14"/>
  <c r="J19" i="14"/>
  <c r="D19" i="14"/>
  <c r="C19" i="14"/>
  <c r="AB7" i="14"/>
  <c r="AE7" i="14"/>
  <c r="AA7" i="14"/>
  <c r="AD7" i="14"/>
  <c r="Z7" i="14"/>
  <c r="F47" i="15"/>
  <c r="F23" i="15"/>
  <c r="AA13" i="14"/>
  <c r="Z13" i="14"/>
  <c r="AD13" i="14"/>
  <c r="AC13" i="14"/>
  <c r="M52" i="14"/>
  <c r="G52" i="14"/>
  <c r="H52" i="14"/>
  <c r="E49" i="14"/>
  <c r="E52" i="14"/>
  <c r="C51" i="14"/>
  <c r="C52" i="14"/>
  <c r="I49" i="14"/>
  <c r="I52" i="14"/>
  <c r="L49" i="14"/>
  <c r="M59" i="14"/>
  <c r="M51" i="14"/>
  <c r="M50" i="14"/>
  <c r="M48" i="14"/>
  <c r="N59" i="14"/>
  <c r="I50" i="14"/>
  <c r="I51" i="14"/>
  <c r="I59" i="14"/>
  <c r="F50" i="14"/>
  <c r="F59" i="14"/>
  <c r="F48" i="14"/>
  <c r="F51" i="14"/>
  <c r="D51" i="14"/>
  <c r="D59" i="14"/>
  <c r="D50" i="14"/>
  <c r="G50" i="14"/>
  <c r="G59" i="14"/>
  <c r="G48" i="14"/>
  <c r="G51" i="14"/>
  <c r="I48" i="14"/>
  <c r="M49" i="14"/>
  <c r="C50" i="14"/>
  <c r="H59" i="14"/>
  <c r="H50" i="14"/>
  <c r="H48" i="14"/>
  <c r="H51" i="14"/>
  <c r="H49" i="14"/>
  <c r="G49" i="14"/>
  <c r="L51" i="14"/>
  <c r="L50" i="14"/>
  <c r="L48" i="14"/>
  <c r="D49" i="14"/>
  <c r="E50" i="14"/>
  <c r="E51" i="14"/>
  <c r="E59" i="14"/>
  <c r="E48" i="14"/>
  <c r="C48" i="14"/>
  <c r="F49" i="14"/>
  <c r="D48" i="14"/>
  <c r="F116" i="14"/>
  <c r="V39" i="14"/>
  <c r="H116" i="14"/>
  <c r="I116" i="14"/>
  <c r="AB39" i="14"/>
  <c r="X39" i="14"/>
  <c r="W39" i="14"/>
  <c r="D116" i="14"/>
  <c r="Y7" i="14"/>
  <c r="G116" i="14"/>
  <c r="E116" i="14"/>
  <c r="M116" i="14"/>
  <c r="N116" i="14"/>
  <c r="AA39" i="14"/>
  <c r="B30" i="14"/>
  <c r="B112" i="14"/>
  <c r="AL52" i="14"/>
  <c r="B36" i="14"/>
  <c r="B57" i="14" s="1"/>
  <c r="B34" i="14"/>
  <c r="AL50" i="14"/>
  <c r="H595" i="7"/>
  <c r="G2" i="15" s="1"/>
  <c r="U529" i="7"/>
  <c r="H31" i="14"/>
  <c r="I24" i="14"/>
  <c r="W24" i="14"/>
  <c r="Z22" i="14"/>
  <c r="G47" i="15" l="1"/>
  <c r="G23" i="15"/>
  <c r="B29" i="14"/>
  <c r="B55" i="14"/>
  <c r="B31" i="14"/>
  <c r="B113" i="14"/>
  <c r="K39" i="14"/>
  <c r="L111" i="14"/>
  <c r="K111" i="14"/>
  <c r="I595" i="7"/>
  <c r="H2" i="15" s="1"/>
  <c r="H23" i="15" s="1"/>
  <c r="U551" i="7"/>
  <c r="U546" i="7"/>
  <c r="AM52" i="14"/>
  <c r="I31" i="14"/>
  <c r="X24" i="14"/>
  <c r="AA22" i="14"/>
  <c r="L29" i="14"/>
  <c r="K52" i="14" l="1"/>
  <c r="K51" i="14"/>
  <c r="K50" i="14"/>
  <c r="K48" i="14"/>
  <c r="K49" i="14"/>
  <c r="L59" i="14"/>
  <c r="AD39" i="14"/>
  <c r="Z39" i="14"/>
  <c r="L116" i="14"/>
  <c r="N29" i="14"/>
  <c r="AC22" i="14"/>
  <c r="I2" i="15"/>
  <c r="I23" i="15" s="1"/>
  <c r="H47" i="15"/>
  <c r="M29" i="14"/>
  <c r="AB22" i="14"/>
  <c r="J31" i="14"/>
  <c r="Y24" i="14"/>
  <c r="BH114" i="3"/>
  <c r="BG114" i="3"/>
  <c r="BF114" i="3"/>
  <c r="DK114" i="3" s="1"/>
  <c r="BE114" i="3"/>
  <c r="BD114" i="3"/>
  <c r="BC114" i="3"/>
  <c r="BB114" i="3"/>
  <c r="BA114" i="3"/>
  <c r="AZ114" i="3"/>
  <c r="AY114" i="3"/>
  <c r="BI114" i="3"/>
  <c r="DE114" i="3" l="1"/>
  <c r="DJ114" i="3"/>
  <c r="DI114" i="3"/>
  <c r="DG114" i="3"/>
  <c r="DH114" i="3"/>
  <c r="DD114" i="3"/>
  <c r="DF114" i="3"/>
  <c r="J2" i="15"/>
  <c r="J23" i="15" s="1"/>
  <c r="I47" i="15"/>
  <c r="Z24" i="14"/>
  <c r="K31" i="14"/>
  <c r="DN42" i="3"/>
  <c r="U69" i="13" s="1"/>
  <c r="DN41" i="3"/>
  <c r="U68" i="13" s="1"/>
  <c r="DN40" i="3"/>
  <c r="U67" i="13" s="1"/>
  <c r="DN4" i="3"/>
  <c r="U29" i="13" s="1"/>
  <c r="Q112" i="13"/>
  <c r="P112" i="13"/>
  <c r="O112" i="13"/>
  <c r="N112" i="13"/>
  <c r="M112" i="13"/>
  <c r="L112" i="13"/>
  <c r="K112" i="13"/>
  <c r="J112" i="13"/>
  <c r="I112" i="13"/>
  <c r="H112" i="13"/>
  <c r="G112" i="13"/>
  <c r="F112" i="13"/>
  <c r="E112" i="13"/>
  <c r="D112" i="13"/>
  <c r="Q111" i="13"/>
  <c r="P111" i="13"/>
  <c r="O111" i="13"/>
  <c r="N111" i="13"/>
  <c r="M111" i="13"/>
  <c r="L111" i="13"/>
  <c r="K111" i="13"/>
  <c r="J111" i="13"/>
  <c r="I111" i="13"/>
  <c r="H111" i="13"/>
  <c r="G111" i="13"/>
  <c r="F111" i="13"/>
  <c r="E111" i="13"/>
  <c r="D111" i="13"/>
  <c r="C111" i="13"/>
  <c r="C112" i="13"/>
  <c r="U47" i="13" l="1"/>
  <c r="U60" i="13" s="1"/>
  <c r="U90" i="13" s="1"/>
  <c r="U94" i="13" s="1"/>
  <c r="I3" i="13"/>
  <c r="K2" i="15"/>
  <c r="K23" i="15" s="1"/>
  <c r="J47" i="15"/>
  <c r="AA24" i="14"/>
  <c r="L31" i="14"/>
  <c r="Q66" i="13"/>
  <c r="Q58" i="13"/>
  <c r="Q99" i="13" s="1"/>
  <c r="Q57" i="13"/>
  <c r="Q96" i="13" s="1"/>
  <c r="Q56" i="13"/>
  <c r="Q92" i="13" s="1"/>
  <c r="Q52" i="13"/>
  <c r="R79" i="13"/>
  <c r="R78" i="13"/>
  <c r="R73" i="13"/>
  <c r="DJ133" i="3"/>
  <c r="DJ111" i="3"/>
  <c r="Q272" i="14" s="1"/>
  <c r="DJ103" i="3"/>
  <c r="Q33" i="13" s="1"/>
  <c r="DJ64" i="3"/>
  <c r="Q84" i="13" s="1"/>
  <c r="DJ63" i="3"/>
  <c r="DJ62" i="3"/>
  <c r="DJ61" i="3"/>
  <c r="DJ60" i="3"/>
  <c r="DJ57" i="3"/>
  <c r="DJ42" i="3"/>
  <c r="Q69" i="13" s="1"/>
  <c r="DJ41" i="3"/>
  <c r="Q68" i="13" s="1"/>
  <c r="DJ40" i="3"/>
  <c r="Q67" i="13" s="1"/>
  <c r="DJ23" i="3"/>
  <c r="DJ18" i="3"/>
  <c r="DJ11" i="3"/>
  <c r="DJ7" i="3"/>
  <c r="DJ4" i="3"/>
  <c r="Q29" i="13" s="1"/>
  <c r="BI184" i="3"/>
  <c r="E16" i="13" s="1"/>
  <c r="BI172" i="3"/>
  <c r="BI160" i="3"/>
  <c r="BI161" i="3" s="1"/>
  <c r="BI157" i="3"/>
  <c r="BI151" i="3"/>
  <c r="BI123" i="3"/>
  <c r="BI122" i="3"/>
  <c r="BI121" i="3"/>
  <c r="BI119" i="3"/>
  <c r="BI137" i="3" s="1"/>
  <c r="BI112" i="3"/>
  <c r="E10" i="13" s="1"/>
  <c r="BI107" i="3"/>
  <c r="BI99" i="3"/>
  <c r="BI148" i="3" s="1"/>
  <c r="E317" i="14" s="1"/>
  <c r="BI71" i="3"/>
  <c r="BJ72" i="3" s="1"/>
  <c r="BI68" i="3"/>
  <c r="BI67" i="3"/>
  <c r="BI54" i="3"/>
  <c r="BI53" i="3"/>
  <c r="BI52" i="3"/>
  <c r="BI36" i="3"/>
  <c r="BI35" i="3"/>
  <c r="Q53" i="13" s="1"/>
  <c r="BI34" i="3"/>
  <c r="BI47" i="3"/>
  <c r="BI28" i="3"/>
  <c r="BI26" i="3"/>
  <c r="BI24" i="3"/>
  <c r="Q50" i="13" s="1"/>
  <c r="BI19" i="3"/>
  <c r="BI12" i="3"/>
  <c r="BI8" i="3"/>
  <c r="J670" i="7" s="1"/>
  <c r="J686" i="7" s="1"/>
  <c r="Q271" i="14" l="1"/>
  <c r="R140" i="13"/>
  <c r="BI92" i="3"/>
  <c r="Q61" i="13" s="1"/>
  <c r="Q91" i="13" s="1"/>
  <c r="E23" i="13"/>
  <c r="BI93" i="3"/>
  <c r="Q62" i="13" s="1"/>
  <c r="Q95" i="13" s="1"/>
  <c r="E24" i="13"/>
  <c r="J671" i="7"/>
  <c r="U55" i="13"/>
  <c r="Q47" i="13"/>
  <c r="Q60" i="13" s="1"/>
  <c r="Q90" i="13" s="1"/>
  <c r="Q94" i="13" s="1"/>
  <c r="E3" i="13"/>
  <c r="BJ29" i="3"/>
  <c r="BJ173" i="3"/>
  <c r="FB137" i="3"/>
  <c r="O31" i="14"/>
  <c r="AD24" i="14"/>
  <c r="N31" i="14"/>
  <c r="AC24" i="14"/>
  <c r="BI43" i="3"/>
  <c r="J701" i="7" s="1"/>
  <c r="J703" i="7" s="1"/>
  <c r="L2" i="15"/>
  <c r="K47" i="15"/>
  <c r="AB24" i="14"/>
  <c r="M31" i="14"/>
  <c r="BI124" i="3"/>
  <c r="R75" i="13" s="1"/>
  <c r="BI134" i="3"/>
  <c r="R76" i="13" s="1"/>
  <c r="R141" i="13" s="1"/>
  <c r="Q85" i="13"/>
  <c r="R74" i="13"/>
  <c r="BI94" i="3"/>
  <c r="Q63" i="13" s="1"/>
  <c r="Q48" i="13"/>
  <c r="BI55" i="3"/>
  <c r="BI104" i="3" s="1"/>
  <c r="Q49" i="13"/>
  <c r="BI187" i="3"/>
  <c r="BI190" i="3"/>
  <c r="E19" i="13" s="1"/>
  <c r="N999" i="7"/>
  <c r="M999" i="7"/>
  <c r="L999" i="7"/>
  <c r="K999" i="7"/>
  <c r="J999" i="7"/>
  <c r="N997" i="7"/>
  <c r="M997" i="7"/>
  <c r="L997" i="7"/>
  <c r="K997" i="7"/>
  <c r="J997" i="7"/>
  <c r="Q55" i="13" l="1"/>
  <c r="J673" i="7"/>
  <c r="J675" i="7" s="1"/>
  <c r="J687" i="7" s="1"/>
  <c r="L47" i="15"/>
  <c r="L23" i="15"/>
  <c r="BI56" i="3"/>
  <c r="BI65" i="3" s="1"/>
  <c r="BI95" i="3"/>
  <c r="Q64" i="13" s="1"/>
  <c r="Q51" i="13"/>
  <c r="BI191" i="3"/>
  <c r="BI113" i="3"/>
  <c r="J980" i="7"/>
  <c r="P980" i="7" s="1"/>
  <c r="E980" i="7"/>
  <c r="K980" i="7" s="1"/>
  <c r="Q980" i="7" s="1"/>
  <c r="J679" i="7" l="1"/>
  <c r="BI70" i="3"/>
  <c r="Q238" i="14" s="1"/>
  <c r="F980" i="7"/>
  <c r="DM42" i="3"/>
  <c r="T69" i="13" s="1"/>
  <c r="DM41" i="3"/>
  <c r="T68" i="13" s="1"/>
  <c r="DM40" i="3"/>
  <c r="T67" i="13" s="1"/>
  <c r="DM4" i="3"/>
  <c r="T29" i="13" s="1"/>
  <c r="J694" i="7" l="1"/>
  <c r="J688" i="7"/>
  <c r="T47" i="13"/>
  <c r="T55" i="13" s="1"/>
  <c r="H3" i="13"/>
  <c r="BI138" i="3"/>
  <c r="G980" i="7"/>
  <c r="L980" i="7"/>
  <c r="R980" i="7" s="1"/>
  <c r="BH107" i="3"/>
  <c r="BH172" i="3"/>
  <c r="BH160" i="3"/>
  <c r="BH161" i="3" s="1"/>
  <c r="BH157" i="3"/>
  <c r="BH151" i="3"/>
  <c r="BH123" i="3"/>
  <c r="BH122" i="3"/>
  <c r="BH121" i="3"/>
  <c r="BH119" i="3"/>
  <c r="BH137" i="3" s="1"/>
  <c r="BH112" i="3"/>
  <c r="D10" i="13" s="1"/>
  <c r="BH99" i="3"/>
  <c r="BH134" i="3" s="1"/>
  <c r="Q76" i="13" s="1"/>
  <c r="Q141" i="13" s="1"/>
  <c r="BH71" i="3"/>
  <c r="BH68" i="3"/>
  <c r="BH67" i="3"/>
  <c r="BH54" i="3"/>
  <c r="BH53" i="3"/>
  <c r="BH52" i="3"/>
  <c r="BH36" i="3"/>
  <c r="BH35" i="3"/>
  <c r="BH34" i="3"/>
  <c r="BH47" i="3"/>
  <c r="BH28" i="3"/>
  <c r="BH8" i="3"/>
  <c r="I670" i="7" s="1"/>
  <c r="I686" i="7" s="1"/>
  <c r="BH12" i="3"/>
  <c r="BH19" i="3"/>
  <c r="BH24" i="3"/>
  <c r="BH94" i="3" s="1"/>
  <c r="P63" i="13" s="1"/>
  <c r="BH26" i="3"/>
  <c r="AG64" i="13"/>
  <c r="M480" i="7"/>
  <c r="M479" i="7"/>
  <c r="P66" i="13"/>
  <c r="P58" i="13"/>
  <c r="P99" i="13" s="1"/>
  <c r="P57" i="13"/>
  <c r="P96" i="13" s="1"/>
  <c r="P56" i="13"/>
  <c r="P92" i="13" s="1"/>
  <c r="P52" i="13"/>
  <c r="Q79" i="13"/>
  <c r="Q78" i="13"/>
  <c r="Q73" i="13"/>
  <c r="P73" i="13"/>
  <c r="P78" i="13"/>
  <c r="P79" i="13"/>
  <c r="O79" i="13"/>
  <c r="N79" i="13"/>
  <c r="M79" i="13"/>
  <c r="L79" i="13"/>
  <c r="K79" i="13"/>
  <c r="J79" i="13"/>
  <c r="I79" i="13"/>
  <c r="H79" i="13"/>
  <c r="O78" i="13"/>
  <c r="N78" i="13"/>
  <c r="M78" i="13"/>
  <c r="L78" i="13"/>
  <c r="K78" i="13"/>
  <c r="J78" i="13"/>
  <c r="I78" i="13"/>
  <c r="H78" i="13"/>
  <c r="O73" i="13"/>
  <c r="N73" i="13"/>
  <c r="M73" i="13"/>
  <c r="L73" i="13"/>
  <c r="K73" i="13"/>
  <c r="J73" i="13"/>
  <c r="I73" i="13"/>
  <c r="H73" i="13"/>
  <c r="G79" i="13"/>
  <c r="F79" i="13"/>
  <c r="E79" i="13"/>
  <c r="D79" i="13"/>
  <c r="C79" i="13"/>
  <c r="G78" i="13"/>
  <c r="F78" i="13"/>
  <c r="E78" i="13"/>
  <c r="D78" i="13"/>
  <c r="C78" i="13"/>
  <c r="G73" i="13"/>
  <c r="F73" i="13"/>
  <c r="E73" i="13"/>
  <c r="D73" i="13"/>
  <c r="C73" i="13"/>
  <c r="B69" i="13"/>
  <c r="B68" i="13"/>
  <c r="B67" i="13"/>
  <c r="O66" i="13"/>
  <c r="N66" i="13"/>
  <c r="M66" i="13"/>
  <c r="L66" i="13"/>
  <c r="K66" i="13"/>
  <c r="J66" i="13"/>
  <c r="I66" i="13"/>
  <c r="H66" i="13"/>
  <c r="G66" i="13"/>
  <c r="F66" i="13"/>
  <c r="E66" i="13"/>
  <c r="D66" i="13"/>
  <c r="C66" i="13"/>
  <c r="O58" i="13"/>
  <c r="O99" i="13" s="1"/>
  <c r="N58" i="13"/>
  <c r="N99" i="13" s="1"/>
  <c r="M58" i="13"/>
  <c r="M99" i="13" s="1"/>
  <c r="L58" i="13"/>
  <c r="L99" i="13" s="1"/>
  <c r="K58" i="13"/>
  <c r="K99" i="13" s="1"/>
  <c r="J58" i="13"/>
  <c r="J99" i="13" s="1"/>
  <c r="I58" i="13"/>
  <c r="I99" i="13" s="1"/>
  <c r="H58" i="13"/>
  <c r="H99" i="13" s="1"/>
  <c r="G58" i="13"/>
  <c r="G99" i="13" s="1"/>
  <c r="F58" i="13"/>
  <c r="F99" i="13" s="1"/>
  <c r="E58" i="13"/>
  <c r="E99" i="13" s="1"/>
  <c r="D58" i="13"/>
  <c r="D99" i="13" s="1"/>
  <c r="C58" i="13"/>
  <c r="C99" i="13" s="1"/>
  <c r="B58" i="13"/>
  <c r="O57" i="13"/>
  <c r="O96" i="13" s="1"/>
  <c r="N57" i="13"/>
  <c r="N96" i="13" s="1"/>
  <c r="M57" i="13"/>
  <c r="M96" i="13" s="1"/>
  <c r="L57" i="13"/>
  <c r="L96" i="13" s="1"/>
  <c r="K57" i="13"/>
  <c r="K96" i="13" s="1"/>
  <c r="J57" i="13"/>
  <c r="J96" i="13" s="1"/>
  <c r="I57" i="13"/>
  <c r="I96" i="13" s="1"/>
  <c r="H57" i="13"/>
  <c r="H96" i="13" s="1"/>
  <c r="G57" i="13"/>
  <c r="G96" i="13" s="1"/>
  <c r="F57" i="13"/>
  <c r="F96" i="13" s="1"/>
  <c r="E57" i="13"/>
  <c r="E96" i="13" s="1"/>
  <c r="D57" i="13"/>
  <c r="D96" i="13" s="1"/>
  <c r="C57" i="13"/>
  <c r="C96" i="13" s="1"/>
  <c r="B57" i="13"/>
  <c r="O56" i="13"/>
  <c r="O92" i="13" s="1"/>
  <c r="N56" i="13"/>
  <c r="N92" i="13" s="1"/>
  <c r="M56" i="13"/>
  <c r="M92" i="13" s="1"/>
  <c r="L56" i="13"/>
  <c r="L92" i="13" s="1"/>
  <c r="K56" i="13"/>
  <c r="K92" i="13" s="1"/>
  <c r="J56" i="13"/>
  <c r="J92" i="13" s="1"/>
  <c r="I56" i="13"/>
  <c r="I92" i="13" s="1"/>
  <c r="H56" i="13"/>
  <c r="H92" i="13" s="1"/>
  <c r="G56" i="13"/>
  <c r="G92" i="13" s="1"/>
  <c r="F56" i="13"/>
  <c r="F92" i="13" s="1"/>
  <c r="E56" i="13"/>
  <c r="E92" i="13" s="1"/>
  <c r="D56" i="13"/>
  <c r="D92" i="13" s="1"/>
  <c r="C56" i="13"/>
  <c r="C92" i="13" s="1"/>
  <c r="B56" i="13"/>
  <c r="O52" i="13"/>
  <c r="N52" i="13"/>
  <c r="M52" i="13"/>
  <c r="L52" i="13"/>
  <c r="K52" i="13"/>
  <c r="J52" i="13"/>
  <c r="I52" i="13"/>
  <c r="H52" i="13"/>
  <c r="G52" i="13"/>
  <c r="F52" i="13"/>
  <c r="E52" i="13"/>
  <c r="D52" i="13"/>
  <c r="C52" i="13"/>
  <c r="B43" i="13"/>
  <c r="B42" i="13"/>
  <c r="B41" i="13"/>
  <c r="B40" i="13"/>
  <c r="J696" i="7" l="1"/>
  <c r="J698" i="7" s="1"/>
  <c r="BH93" i="3"/>
  <c r="P62" i="13" s="1"/>
  <c r="P95" i="13" s="1"/>
  <c r="I671" i="7"/>
  <c r="D24" i="13"/>
  <c r="P48" i="13"/>
  <c r="D23" i="13"/>
  <c r="T60" i="13"/>
  <c r="T90" i="13" s="1"/>
  <c r="T94" i="13" s="1"/>
  <c r="BI173" i="3"/>
  <c r="BI72" i="3"/>
  <c r="BL73" i="3"/>
  <c r="Q74" i="13"/>
  <c r="BH43" i="3"/>
  <c r="I701" i="7" s="1"/>
  <c r="I703" i="7" s="1"/>
  <c r="BI29" i="3"/>
  <c r="P53" i="13"/>
  <c r="BH55" i="3"/>
  <c r="BH104" i="3" s="1"/>
  <c r="BH124" i="3"/>
  <c r="Q75" i="13" s="1"/>
  <c r="H980" i="7"/>
  <c r="N980" i="7" s="1"/>
  <c r="T980" i="7" s="1"/>
  <c r="M980" i="7"/>
  <c r="S980" i="7" s="1"/>
  <c r="P49" i="13"/>
  <c r="P50" i="13"/>
  <c r="BH92" i="3"/>
  <c r="BH184" i="3"/>
  <c r="BH148" i="3"/>
  <c r="D317" i="14" s="1"/>
  <c r="I673" i="7" l="1"/>
  <c r="I675" i="7" s="1"/>
  <c r="I687" i="7" s="1"/>
  <c r="D16" i="13"/>
  <c r="BH56" i="3"/>
  <c r="BH65" i="3" s="1"/>
  <c r="P51" i="13"/>
  <c r="BH113" i="3"/>
  <c r="BH95" i="3"/>
  <c r="P64" i="13" s="1"/>
  <c r="P61" i="13"/>
  <c r="P91" i="13" s="1"/>
  <c r="BH187" i="3"/>
  <c r="BH190" i="3"/>
  <c r="DI64" i="3"/>
  <c r="P84" i="13" s="1"/>
  <c r="DI63" i="3"/>
  <c r="DI57" i="3"/>
  <c r="DI133" i="3"/>
  <c r="DI111" i="3"/>
  <c r="P272" i="14" s="1"/>
  <c r="DI103" i="3"/>
  <c r="DL42" i="3"/>
  <c r="S69" i="13" s="1"/>
  <c r="DL41" i="3"/>
  <c r="S68" i="13" s="1"/>
  <c r="DL40" i="3"/>
  <c r="S67" i="13" s="1"/>
  <c r="L480" i="7"/>
  <c r="K480" i="7"/>
  <c r="J480" i="7"/>
  <c r="I480" i="7"/>
  <c r="H480" i="7"/>
  <c r="G480" i="7"/>
  <c r="F480" i="7"/>
  <c r="E480" i="7"/>
  <c r="L479" i="7"/>
  <c r="K479" i="7"/>
  <c r="J479" i="7"/>
  <c r="I479" i="7"/>
  <c r="H479" i="7"/>
  <c r="G479" i="7"/>
  <c r="F479" i="7"/>
  <c r="E479" i="7"/>
  <c r="I477" i="7"/>
  <c r="H477" i="7"/>
  <c r="G477" i="7"/>
  <c r="P271" i="14" l="1"/>
  <c r="Q140" i="13"/>
  <c r="I679" i="7"/>
  <c r="D19" i="13"/>
  <c r="BH70" i="3"/>
  <c r="P238" i="14" s="1"/>
  <c r="BH191" i="3"/>
  <c r="P33" i="13"/>
  <c r="P85" i="13"/>
  <c r="DI4" i="3"/>
  <c r="P29" i="13" s="1"/>
  <c r="DL4" i="3"/>
  <c r="S29" i="13" s="1"/>
  <c r="DS60" i="3"/>
  <c r="I694" i="7" l="1"/>
  <c r="I688" i="7"/>
  <c r="S47" i="13"/>
  <c r="S60" i="13" s="1"/>
  <c r="S90" i="13" s="1"/>
  <c r="S94" i="13" s="1"/>
  <c r="G3" i="13"/>
  <c r="P47" i="13"/>
  <c r="P60" i="13" s="1"/>
  <c r="P90" i="13" s="1"/>
  <c r="P94" i="13" s="1"/>
  <c r="D3" i="13"/>
  <c r="BH138" i="3"/>
  <c r="DO60" i="3"/>
  <c r="K477" i="7"/>
  <c r="J477" i="7"/>
  <c r="BB151" i="3"/>
  <c r="BA151" i="3"/>
  <c r="AZ151" i="3"/>
  <c r="AY151" i="3"/>
  <c r="AX151" i="3"/>
  <c r="AW151" i="3"/>
  <c r="AV151" i="3"/>
  <c r="AU151" i="3"/>
  <c r="BE151" i="3"/>
  <c r="BD151" i="3"/>
  <c r="BC151" i="3"/>
  <c r="BG151" i="3"/>
  <c r="C347" i="14" s="1"/>
  <c r="BF151" i="3"/>
  <c r="M478" i="7"/>
  <c r="I696" i="7" l="1"/>
  <c r="I698" i="7" s="1"/>
  <c r="S55" i="13"/>
  <c r="P55" i="13"/>
  <c r="DI7" i="3"/>
  <c r="DI23" i="3" l="1"/>
  <c r="DI11" i="3"/>
  <c r="BG181" i="3"/>
  <c r="BG182" i="3"/>
  <c r="C15" i="13" s="1"/>
  <c r="DH4" i="3" l="1"/>
  <c r="O29" i="13" s="1"/>
  <c r="BG172" i="3"/>
  <c r="BG160" i="3"/>
  <c r="BG161" i="3" s="1"/>
  <c r="BG157" i="3"/>
  <c r="BG123" i="3"/>
  <c r="BG122" i="3"/>
  <c r="BG121" i="3"/>
  <c r="BG119" i="3"/>
  <c r="BG112" i="3"/>
  <c r="C10" i="13" s="1"/>
  <c r="BG107" i="3"/>
  <c r="BG99" i="3"/>
  <c r="BG134" i="3" s="1"/>
  <c r="P76" i="13" s="1"/>
  <c r="P141" i="13" s="1"/>
  <c r="BG71" i="3"/>
  <c r="BG68" i="3"/>
  <c r="BG67" i="3"/>
  <c r="BG36" i="3"/>
  <c r="BG35" i="3"/>
  <c r="BG34" i="3"/>
  <c r="BG47" i="3"/>
  <c r="BG26" i="3"/>
  <c r="BG28" i="3"/>
  <c r="DH133" i="3"/>
  <c r="DH111" i="3"/>
  <c r="O272" i="14" s="1"/>
  <c r="DH103" i="3"/>
  <c r="DH63" i="3"/>
  <c r="DH62" i="3"/>
  <c r="DH61" i="3"/>
  <c r="DH60" i="3"/>
  <c r="DH57" i="3"/>
  <c r="DH42" i="3"/>
  <c r="O69" i="13" s="1"/>
  <c r="DH41" i="3"/>
  <c r="O68" i="13" s="1"/>
  <c r="DH40" i="3"/>
  <c r="O67" i="13" s="1"/>
  <c r="DH23" i="3"/>
  <c r="DH18" i="3"/>
  <c r="DH11" i="3"/>
  <c r="DH7" i="3"/>
  <c r="E844" i="7"/>
  <c r="D844" i="7"/>
  <c r="E843" i="7"/>
  <c r="D843" i="7"/>
  <c r="E848" i="7"/>
  <c r="O271" i="14" l="1"/>
  <c r="P140" i="13"/>
  <c r="O47" i="13"/>
  <c r="O55" i="13" s="1"/>
  <c r="C3" i="13"/>
  <c r="BK30" i="3"/>
  <c r="BH173" i="3"/>
  <c r="DL119" i="3"/>
  <c r="BG137" i="3"/>
  <c r="BH72" i="3"/>
  <c r="BK73" i="3"/>
  <c r="BH29" i="3"/>
  <c r="O33" i="13"/>
  <c r="O85" i="13"/>
  <c r="P74" i="13"/>
  <c r="O53" i="13"/>
  <c r="BG184" i="3"/>
  <c r="C16" i="13" s="1"/>
  <c r="BG124" i="3"/>
  <c r="P75" i="13" s="1"/>
  <c r="BG148" i="3"/>
  <c r="C317" i="14" s="1"/>
  <c r="C340" i="14" s="1"/>
  <c r="D848" i="7"/>
  <c r="O3" i="12"/>
  <c r="N3" i="12"/>
  <c r="O60" i="13" l="1"/>
  <c r="O90" i="13" s="1"/>
  <c r="O94" i="13" s="1"/>
  <c r="DL137" i="3"/>
  <c r="BG187" i="3"/>
  <c r="BG190" i="3"/>
  <c r="C19" i="13" s="1"/>
  <c r="P3" i="12"/>
  <c r="M3" i="12"/>
  <c r="L3" i="12"/>
  <c r="K3" i="12"/>
  <c r="J3" i="12"/>
  <c r="BG191" i="3" l="1"/>
  <c r="I510" i="7"/>
  <c r="H510" i="7"/>
  <c r="L775" i="7"/>
  <c r="L776" i="7" s="1"/>
  <c r="L777" i="7" s="1"/>
  <c r="M772" i="7"/>
  <c r="N772" i="7" s="1"/>
  <c r="O772" i="7" s="1"/>
  <c r="P772" i="7" s="1"/>
  <c r="Q772" i="7" s="1"/>
  <c r="D780" i="7"/>
  <c r="H511" i="7" l="1"/>
  <c r="I511" i="7"/>
  <c r="K745" i="7" l="1"/>
  <c r="J745" i="7"/>
  <c r="I745" i="7"/>
  <c r="H745" i="7"/>
  <c r="G745" i="7"/>
  <c r="F745" i="7"/>
  <c r="Q27" i="2" l="1"/>
  <c r="L18" i="12" l="1"/>
  <c r="L16" i="12"/>
  <c r="L17" i="12"/>
  <c r="T953" i="7"/>
  <c r="T952" i="7"/>
  <c r="T951" i="7"/>
  <c r="T950" i="7"/>
  <c r="N945" i="7"/>
  <c r="M945" i="7"/>
  <c r="L945" i="7"/>
  <c r="K945" i="7"/>
  <c r="J945" i="7"/>
  <c r="I945" i="7"/>
  <c r="H945" i="7"/>
  <c r="G945" i="7"/>
  <c r="F945" i="7"/>
  <c r="E945" i="7"/>
  <c r="R945" i="7" s="1"/>
  <c r="D945" i="7"/>
  <c r="Q945" i="7" s="1"/>
  <c r="N943" i="7"/>
  <c r="M943" i="7"/>
  <c r="L943" i="7"/>
  <c r="K943" i="7"/>
  <c r="J943" i="7"/>
  <c r="I943" i="7"/>
  <c r="H943" i="7"/>
  <c r="G943" i="7"/>
  <c r="F943" i="7"/>
  <c r="E943" i="7"/>
  <c r="A942" i="7" s="1"/>
  <c r="D943" i="7"/>
  <c r="O942" i="7"/>
  <c r="O941" i="7"/>
  <c r="O940" i="7"/>
  <c r="O939" i="7"/>
  <c r="O938" i="7"/>
  <c r="O937" i="7"/>
  <c r="O936" i="7"/>
  <c r="O935" i="7"/>
  <c r="O934" i="7"/>
  <c r="O933" i="7"/>
  <c r="O932" i="7"/>
  <c r="O931" i="7"/>
  <c r="O930" i="7"/>
  <c r="O929" i="7"/>
  <c r="O928" i="7"/>
  <c r="O927" i="7"/>
  <c r="O926" i="7"/>
  <c r="O925" i="7"/>
  <c r="O924" i="7"/>
  <c r="O923" i="7"/>
  <c r="O922" i="7"/>
  <c r="O921" i="7"/>
  <c r="O920" i="7"/>
  <c r="O919" i="7"/>
  <c r="O918" i="7"/>
  <c r="O917" i="7"/>
  <c r="O916" i="7"/>
  <c r="O915" i="7"/>
  <c r="O914" i="7"/>
  <c r="O913" i="7"/>
  <c r="O912" i="7"/>
  <c r="O911" i="7"/>
  <c r="U942" i="7"/>
  <c r="AA942" i="7" s="1"/>
  <c r="T942" i="7"/>
  <c r="S942" i="7"/>
  <c r="R942" i="7"/>
  <c r="Q942" i="7"/>
  <c r="U941" i="7"/>
  <c r="T941" i="7"/>
  <c r="S941" i="7"/>
  <c r="R941" i="7"/>
  <c r="Q941" i="7"/>
  <c r="U940" i="7"/>
  <c r="T940" i="7"/>
  <c r="S940" i="7"/>
  <c r="R940" i="7"/>
  <c r="Q940" i="7"/>
  <c r="U939" i="7"/>
  <c r="T939" i="7"/>
  <c r="S939" i="7"/>
  <c r="R939" i="7"/>
  <c r="Q939" i="7"/>
  <c r="W939" i="7" s="1"/>
  <c r="U938" i="7"/>
  <c r="AA938" i="7" s="1"/>
  <c r="T938" i="7"/>
  <c r="S938" i="7"/>
  <c r="R938" i="7"/>
  <c r="Q938" i="7"/>
  <c r="U937" i="7"/>
  <c r="T937" i="7"/>
  <c r="S937" i="7"/>
  <c r="R937" i="7"/>
  <c r="Q937" i="7"/>
  <c r="U936" i="7"/>
  <c r="T936" i="7"/>
  <c r="S936" i="7"/>
  <c r="R936" i="7"/>
  <c r="Q936" i="7"/>
  <c r="U935" i="7"/>
  <c r="T935" i="7"/>
  <c r="S935" i="7"/>
  <c r="R935" i="7"/>
  <c r="Q935" i="7"/>
  <c r="W935" i="7" s="1"/>
  <c r="U934" i="7"/>
  <c r="AA934" i="7" s="1"/>
  <c r="T934" i="7"/>
  <c r="S934" i="7"/>
  <c r="R934" i="7"/>
  <c r="Q934" i="7"/>
  <c r="U933" i="7"/>
  <c r="T933" i="7"/>
  <c r="S933" i="7"/>
  <c r="R933" i="7"/>
  <c r="Q933" i="7"/>
  <c r="U932" i="7"/>
  <c r="AA932" i="7" s="1"/>
  <c r="T932" i="7"/>
  <c r="S932" i="7"/>
  <c r="R932" i="7"/>
  <c r="Q932" i="7"/>
  <c r="U931" i="7"/>
  <c r="T931" i="7"/>
  <c r="S931" i="7"/>
  <c r="R931" i="7"/>
  <c r="Q931" i="7"/>
  <c r="W931" i="7" s="1"/>
  <c r="U930" i="7"/>
  <c r="AA930" i="7" s="1"/>
  <c r="T930" i="7"/>
  <c r="S930" i="7"/>
  <c r="R930" i="7"/>
  <c r="Q930" i="7"/>
  <c r="U929" i="7"/>
  <c r="T929" i="7"/>
  <c r="S929" i="7"/>
  <c r="R929" i="7"/>
  <c r="Q929" i="7"/>
  <c r="W929" i="7" s="1"/>
  <c r="U928" i="7"/>
  <c r="AA928" i="7" s="1"/>
  <c r="T928" i="7"/>
  <c r="S928" i="7"/>
  <c r="R928" i="7"/>
  <c r="Q928" i="7"/>
  <c r="U927" i="7"/>
  <c r="T927" i="7"/>
  <c r="S927" i="7"/>
  <c r="R927" i="7"/>
  <c r="Q927" i="7"/>
  <c r="U926" i="7"/>
  <c r="AA926" i="7" s="1"/>
  <c r="T926" i="7"/>
  <c r="S926" i="7"/>
  <c r="R926" i="7"/>
  <c r="Q926" i="7"/>
  <c r="U925" i="7"/>
  <c r="T925" i="7"/>
  <c r="S925" i="7"/>
  <c r="R925" i="7"/>
  <c r="Q925" i="7"/>
  <c r="U924" i="7"/>
  <c r="AA924" i="7" s="1"/>
  <c r="T924" i="7"/>
  <c r="S924" i="7"/>
  <c r="R924" i="7"/>
  <c r="Q924" i="7"/>
  <c r="U923" i="7"/>
  <c r="T923" i="7"/>
  <c r="S923" i="7"/>
  <c r="R923" i="7"/>
  <c r="Q923" i="7"/>
  <c r="W923" i="7" s="1"/>
  <c r="U922" i="7"/>
  <c r="AA922" i="7" s="1"/>
  <c r="T922" i="7"/>
  <c r="S922" i="7"/>
  <c r="R922" i="7"/>
  <c r="Q922" i="7"/>
  <c r="U921" i="7"/>
  <c r="T921" i="7"/>
  <c r="S921" i="7"/>
  <c r="R921" i="7"/>
  <c r="Q921" i="7"/>
  <c r="W921" i="7" s="1"/>
  <c r="U920" i="7"/>
  <c r="AA920" i="7" s="1"/>
  <c r="T920" i="7"/>
  <c r="S920" i="7"/>
  <c r="R920" i="7"/>
  <c r="Q920" i="7"/>
  <c r="U919" i="7"/>
  <c r="T919" i="7"/>
  <c r="S919" i="7"/>
  <c r="R919" i="7"/>
  <c r="Q919" i="7"/>
  <c r="W919" i="7" s="1"/>
  <c r="U918" i="7"/>
  <c r="AA918" i="7" s="1"/>
  <c r="T918" i="7"/>
  <c r="S918" i="7"/>
  <c r="R918" i="7"/>
  <c r="Q918" i="7"/>
  <c r="U917" i="7"/>
  <c r="T917" i="7"/>
  <c r="S917" i="7"/>
  <c r="R917" i="7"/>
  <c r="Q917" i="7"/>
  <c r="U916" i="7"/>
  <c r="AA916" i="7" s="1"/>
  <c r="T916" i="7"/>
  <c r="S916" i="7"/>
  <c r="R916" i="7"/>
  <c r="Q916" i="7"/>
  <c r="U915" i="7"/>
  <c r="T915" i="7"/>
  <c r="S915" i="7"/>
  <c r="R915" i="7"/>
  <c r="Q915" i="7"/>
  <c r="W915" i="7" s="1"/>
  <c r="U914" i="7"/>
  <c r="AA914" i="7" s="1"/>
  <c r="T914" i="7"/>
  <c r="S914" i="7"/>
  <c r="R914" i="7"/>
  <c r="Q914" i="7"/>
  <c r="U913" i="7"/>
  <c r="T913" i="7"/>
  <c r="S913" i="7"/>
  <c r="R913" i="7"/>
  <c r="Q913" i="7"/>
  <c r="W913" i="7" s="1"/>
  <c r="U912" i="7"/>
  <c r="T912" i="7"/>
  <c r="S912" i="7"/>
  <c r="R912" i="7"/>
  <c r="Q912" i="7"/>
  <c r="U911" i="7"/>
  <c r="T911" i="7"/>
  <c r="S911" i="7"/>
  <c r="R911" i="7"/>
  <c r="Q911" i="7"/>
  <c r="B912" i="7"/>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F879" i="7"/>
  <c r="F878" i="7"/>
  <c r="F875" i="7"/>
  <c r="F874" i="7"/>
  <c r="E860" i="7"/>
  <c r="F860" i="7" s="1"/>
  <c r="AA940" i="7" l="1"/>
  <c r="W927" i="7"/>
  <c r="AA936" i="7"/>
  <c r="W917" i="7"/>
  <c r="W937" i="7"/>
  <c r="X913" i="7"/>
  <c r="W918" i="7"/>
  <c r="X921" i="7"/>
  <c r="W926" i="7"/>
  <c r="X929" i="7"/>
  <c r="W934" i="7"/>
  <c r="X937" i="7"/>
  <c r="W942" i="7"/>
  <c r="Y913" i="7"/>
  <c r="Z916" i="7"/>
  <c r="X918" i="7"/>
  <c r="Y921" i="7"/>
  <c r="Z924" i="7"/>
  <c r="X926" i="7"/>
  <c r="Y929" i="7"/>
  <c r="Z932" i="7"/>
  <c r="X934" i="7"/>
  <c r="Y937" i="7"/>
  <c r="Z940" i="7"/>
  <c r="X942" i="7"/>
  <c r="Z913" i="7"/>
  <c r="Y918" i="7"/>
  <c r="Z921" i="7"/>
  <c r="Y926" i="7"/>
  <c r="Z929" i="7"/>
  <c r="Y934" i="7"/>
  <c r="Z937" i="7"/>
  <c r="Y942" i="7"/>
  <c r="AA913" i="7"/>
  <c r="Z918" i="7"/>
  <c r="AA921" i="7"/>
  <c r="Z926" i="7"/>
  <c r="AA929" i="7"/>
  <c r="Z934" i="7"/>
  <c r="AA937" i="7"/>
  <c r="Z942" i="7"/>
  <c r="T945" i="7"/>
  <c r="S21" i="2"/>
  <c r="R27" i="2"/>
  <c r="R28" i="2" s="1"/>
  <c r="W914" i="7"/>
  <c r="W922" i="7"/>
  <c r="W930" i="7"/>
  <c r="W938" i="7"/>
  <c r="X914" i="7"/>
  <c r="X922" i="7"/>
  <c r="X930" i="7"/>
  <c r="X938" i="7"/>
  <c r="Y914" i="7"/>
  <c r="Y922" i="7"/>
  <c r="Y930" i="7"/>
  <c r="Y938" i="7"/>
  <c r="S30" i="2"/>
  <c r="Z914" i="7"/>
  <c r="Z922" i="7"/>
  <c r="Z930" i="7"/>
  <c r="Z938" i="7"/>
  <c r="Y915" i="7"/>
  <c r="Y923" i="7"/>
  <c r="Y931" i="7"/>
  <c r="Y939" i="7"/>
  <c r="W916" i="7"/>
  <c r="W924" i="7"/>
  <c r="W932" i="7"/>
  <c r="W940" i="7"/>
  <c r="X916" i="7"/>
  <c r="X924" i="7"/>
  <c r="X932" i="7"/>
  <c r="X940" i="7"/>
  <c r="Y916" i="7"/>
  <c r="Y924" i="7"/>
  <c r="Y932" i="7"/>
  <c r="Y940" i="7"/>
  <c r="W925" i="7"/>
  <c r="W933" i="7"/>
  <c r="W920" i="7"/>
  <c r="W928" i="7"/>
  <c r="W936" i="7"/>
  <c r="X920" i="7"/>
  <c r="X928" i="7"/>
  <c r="X936" i="7"/>
  <c r="Y912" i="7"/>
  <c r="Y920" i="7"/>
  <c r="Y928" i="7"/>
  <c r="Y936" i="7"/>
  <c r="Z920" i="7"/>
  <c r="Z928" i="7"/>
  <c r="Z936" i="7"/>
  <c r="X919" i="7"/>
  <c r="X927" i="7"/>
  <c r="X935" i="7"/>
  <c r="Y919" i="7"/>
  <c r="Y927" i="7"/>
  <c r="Y935" i="7"/>
  <c r="Z919" i="7"/>
  <c r="Z927" i="7"/>
  <c r="Z935" i="7"/>
  <c r="A913" i="7"/>
  <c r="AA919" i="7"/>
  <c r="AA927" i="7"/>
  <c r="AA935" i="7"/>
  <c r="A921" i="7"/>
  <c r="U943" i="7"/>
  <c r="X915" i="7"/>
  <c r="X923" i="7"/>
  <c r="X931" i="7"/>
  <c r="X939" i="7"/>
  <c r="A919" i="7"/>
  <c r="S945" i="7"/>
  <c r="Z915" i="7"/>
  <c r="X917" i="7"/>
  <c r="Z923" i="7"/>
  <c r="X925" i="7"/>
  <c r="Z931" i="7"/>
  <c r="X933" i="7"/>
  <c r="Z939" i="7"/>
  <c r="X941" i="7"/>
  <c r="A927" i="7"/>
  <c r="W941" i="7"/>
  <c r="Q943" i="7"/>
  <c r="Q946" i="7" s="1"/>
  <c r="U950" i="7" s="1"/>
  <c r="AA915" i="7"/>
  <c r="Y917" i="7"/>
  <c r="AA923" i="7"/>
  <c r="Y925" i="7"/>
  <c r="AA931" i="7"/>
  <c r="Y933" i="7"/>
  <c r="AA939" i="7"/>
  <c r="Y941" i="7"/>
  <c r="A929" i="7"/>
  <c r="R943" i="7"/>
  <c r="R946" i="7" s="1"/>
  <c r="Z917" i="7"/>
  <c r="Z925" i="7"/>
  <c r="Z933" i="7"/>
  <c r="Z941" i="7"/>
  <c r="O945" i="7"/>
  <c r="A935" i="7"/>
  <c r="S943" i="7"/>
  <c r="AA917" i="7"/>
  <c r="AA925" i="7"/>
  <c r="AA933" i="7"/>
  <c r="AA941" i="7"/>
  <c r="A937" i="7"/>
  <c r="U945" i="7"/>
  <c r="A911" i="7"/>
  <c r="S12" i="2"/>
  <c r="Z912" i="7"/>
  <c r="AA911" i="7"/>
  <c r="Y911" i="7"/>
  <c r="A912" i="7"/>
  <c r="A920" i="7"/>
  <c r="A928" i="7"/>
  <c r="A936" i="7"/>
  <c r="AA912" i="7"/>
  <c r="W912" i="7"/>
  <c r="A914" i="7"/>
  <c r="A922" i="7"/>
  <c r="A930" i="7"/>
  <c r="A938" i="7"/>
  <c r="T943" i="7"/>
  <c r="A915" i="7"/>
  <c r="A923" i="7"/>
  <c r="A931" i="7"/>
  <c r="A939" i="7"/>
  <c r="A916" i="7"/>
  <c r="A924" i="7"/>
  <c r="A932" i="7"/>
  <c r="A940" i="7"/>
  <c r="A917" i="7"/>
  <c r="A925" i="7"/>
  <c r="A933" i="7"/>
  <c r="A941" i="7"/>
  <c r="A918" i="7"/>
  <c r="A926" i="7"/>
  <c r="A934" i="7"/>
  <c r="X912" i="7"/>
  <c r="O943" i="7"/>
  <c r="W911" i="7"/>
  <c r="X911" i="7"/>
  <c r="Z911" i="7"/>
  <c r="M18" i="12" l="1"/>
  <c r="BR23" i="3"/>
  <c r="BS23" i="3" s="1"/>
  <c r="M16" i="12"/>
  <c r="BR11" i="3"/>
  <c r="M17" i="12"/>
  <c r="BR18" i="3"/>
  <c r="BR21" i="3" s="1"/>
  <c r="Z945" i="7"/>
  <c r="U946" i="7"/>
  <c r="U952" i="7" s="1"/>
  <c r="T946" i="7"/>
  <c r="U953" i="7" s="1"/>
  <c r="T12" i="2"/>
  <c r="T30" i="2"/>
  <c r="U13" i="2"/>
  <c r="V13" i="2" s="1"/>
  <c r="W13" i="2" s="1"/>
  <c r="X13" i="2" s="1"/>
  <c r="Y13" i="2" s="1"/>
  <c r="T21" i="2"/>
  <c r="F795" i="7"/>
  <c r="S27" i="2"/>
  <c r="AA943" i="7"/>
  <c r="AA945" i="7"/>
  <c r="X945" i="7"/>
  <c r="Y945" i="7"/>
  <c r="W945" i="7"/>
  <c r="S946" i="7"/>
  <c r="U951" i="7" s="1"/>
  <c r="Y943" i="7"/>
  <c r="A945" i="7"/>
  <c r="X943" i="7"/>
  <c r="W943" i="7"/>
  <c r="Z943" i="7"/>
  <c r="N18" i="12" l="1"/>
  <c r="BV23" i="3"/>
  <c r="BS24" i="3"/>
  <c r="BT23" i="3"/>
  <c r="N16" i="12"/>
  <c r="BV11" i="3"/>
  <c r="BV14" i="3" s="1"/>
  <c r="BS11" i="3"/>
  <c r="BR14" i="3"/>
  <c r="BS18" i="3"/>
  <c r="W672" i="7"/>
  <c r="N17" i="12"/>
  <c r="BV18" i="3"/>
  <c r="BV21" i="3" s="1"/>
  <c r="BR28" i="3"/>
  <c r="L477" i="7"/>
  <c r="U30" i="2"/>
  <c r="O18" i="12" s="1"/>
  <c r="P18" i="12" s="1"/>
  <c r="S28" i="2"/>
  <c r="U21" i="2"/>
  <c r="O17" i="12" s="1"/>
  <c r="P17" i="12" s="1"/>
  <c r="G795" i="7"/>
  <c r="G829" i="7" s="1"/>
  <c r="T27" i="2"/>
  <c r="T28" i="2" s="1"/>
  <c r="U12" i="2"/>
  <c r="O16" i="12" s="1"/>
  <c r="P16" i="12" s="1"/>
  <c r="U284" i="1"/>
  <c r="U199" i="1"/>
  <c r="U198" i="1"/>
  <c r="U144" i="1"/>
  <c r="BV26" i="3" l="1"/>
  <c r="BT24" i="3"/>
  <c r="BU23" i="3"/>
  <c r="BU24" i="3" s="1"/>
  <c r="BT11" i="3"/>
  <c r="BS12" i="3"/>
  <c r="BT18" i="3"/>
  <c r="BT19" i="3" s="1"/>
  <c r="U671" i="7" s="1"/>
  <c r="BS19" i="3"/>
  <c r="T671" i="7" s="1"/>
  <c r="M477" i="7"/>
  <c r="M481" i="7"/>
  <c r="V21" i="2"/>
  <c r="H795" i="7"/>
  <c r="H829" i="7" s="1"/>
  <c r="U27" i="2"/>
  <c r="U28" i="2" s="1"/>
  <c r="V12" i="2"/>
  <c r="V30" i="2"/>
  <c r="T185" i="1"/>
  <c r="T184" i="1"/>
  <c r="U188" i="1"/>
  <c r="U185" i="1"/>
  <c r="U184" i="1"/>
  <c r="U208" i="1"/>
  <c r="U202" i="1"/>
  <c r="U201" i="1"/>
  <c r="BV24" i="3" l="1"/>
  <c r="BU11" i="3"/>
  <c r="BT12" i="3"/>
  <c r="BU18" i="3"/>
  <c r="BV19" i="3" s="1"/>
  <c r="W671" i="7" s="1"/>
  <c r="U179" i="1"/>
  <c r="V166" i="1"/>
  <c r="W167" i="1" s="1"/>
  <c r="U166" i="1"/>
  <c r="W30" i="2"/>
  <c r="U178" i="1"/>
  <c r="W12" i="2"/>
  <c r="W21" i="2"/>
  <c r="I795" i="7"/>
  <c r="V27" i="2"/>
  <c r="V28" i="2" s="1"/>
  <c r="U180" i="1" l="1"/>
  <c r="U182" i="1" s="1"/>
  <c r="BU12" i="3"/>
  <c r="BV12" i="3"/>
  <c r="BU19" i="3"/>
  <c r="V671" i="7" s="1"/>
  <c r="W673" i="7"/>
  <c r="W675" i="7" s="1"/>
  <c r="W687" i="7" s="1"/>
  <c r="V167" i="1"/>
  <c r="X12" i="2"/>
  <c r="X21" i="2"/>
  <c r="J795" i="7"/>
  <c r="W27" i="2"/>
  <c r="W28" i="2" s="1"/>
  <c r="X30" i="2"/>
  <c r="E825" i="7"/>
  <c r="F825" i="7" s="1"/>
  <c r="G825" i="7" s="1"/>
  <c r="H825" i="7" s="1"/>
  <c r="I825" i="7" s="1"/>
  <c r="J825" i="7" s="1"/>
  <c r="K825" i="7" s="1"/>
  <c r="L825" i="7" s="1"/>
  <c r="E808" i="7"/>
  <c r="F808" i="7" s="1"/>
  <c r="G808" i="7" s="1"/>
  <c r="H808" i="7" s="1"/>
  <c r="I808" i="7" s="1"/>
  <c r="J808" i="7" s="1"/>
  <c r="K808" i="7" s="1"/>
  <c r="L808" i="7" s="1"/>
  <c r="W679" i="7" l="1"/>
  <c r="Y30" i="2"/>
  <c r="Y21" i="2"/>
  <c r="K795" i="7"/>
  <c r="X27" i="2"/>
  <c r="X28" i="2" s="1"/>
  <c r="Y12" i="2"/>
  <c r="F829" i="7"/>
  <c r="E795" i="7"/>
  <c r="E829" i="7" s="1"/>
  <c r="D795" i="7"/>
  <c r="D829" i="7" s="1"/>
  <c r="E791" i="7"/>
  <c r="F791" i="7" s="1"/>
  <c r="G791" i="7" s="1"/>
  <c r="H791" i="7" s="1"/>
  <c r="I791" i="7" s="1"/>
  <c r="J791" i="7" s="1"/>
  <c r="K791" i="7" s="1"/>
  <c r="L791" i="7" s="1"/>
  <c r="D781" i="7"/>
  <c r="D771" i="7"/>
  <c r="D772" i="7" s="1"/>
  <c r="G773" i="7" s="1"/>
  <c r="E777" i="7"/>
  <c r="F777" i="7" s="1"/>
  <c r="G777" i="7" s="1"/>
  <c r="H777" i="7" s="1"/>
  <c r="D751" i="7"/>
  <c r="L795" i="7" l="1"/>
  <c r="M795" i="7" s="1"/>
  <c r="Y27" i="2"/>
  <c r="Y28" i="2" s="1"/>
  <c r="I829" i="7"/>
  <c r="D782" i="7"/>
  <c r="D767" i="7"/>
  <c r="E760" i="7"/>
  <c r="F760" i="7" s="1"/>
  <c r="G760" i="7" s="1"/>
  <c r="H760" i="7" s="1"/>
  <c r="I760" i="7" s="1"/>
  <c r="J760" i="7" s="1"/>
  <c r="K760" i="7" s="1"/>
  <c r="E759" i="7"/>
  <c r="F759" i="7" s="1"/>
  <c r="G759" i="7" s="1"/>
  <c r="H759" i="7" s="1"/>
  <c r="I759" i="7" s="1"/>
  <c r="J759" i="7" s="1"/>
  <c r="K759" i="7" s="1"/>
  <c r="E750" i="7"/>
  <c r="F750" i="7" s="1"/>
  <c r="E749" i="7"/>
  <c r="F749" i="7" s="1"/>
  <c r="G749" i="7" s="1"/>
  <c r="H749" i="7" s="1"/>
  <c r="I749" i="7" s="1"/>
  <c r="J749" i="7" s="1"/>
  <c r="K749" i="7" s="1"/>
  <c r="E748" i="7"/>
  <c r="F748" i="7" s="1"/>
  <c r="G748" i="7" s="1"/>
  <c r="H748" i="7" s="1"/>
  <c r="I748" i="7" s="1"/>
  <c r="J748" i="7" s="1"/>
  <c r="K748" i="7" s="1"/>
  <c r="E745" i="7"/>
  <c r="D745" i="7"/>
  <c r="E744" i="7"/>
  <c r="F744" i="7" s="1"/>
  <c r="G744" i="7" s="1"/>
  <c r="H744" i="7" s="1"/>
  <c r="I744" i="7" s="1"/>
  <c r="J744" i="7" s="1"/>
  <c r="K744" i="7" s="1"/>
  <c r="BF119" i="3"/>
  <c r="P8" i="5"/>
  <c r="Q8" i="5" s="1"/>
  <c r="R8" i="5" s="1"/>
  <c r="S8" i="5" s="1"/>
  <c r="T8" i="5" s="1"/>
  <c r="U8" i="5" s="1"/>
  <c r="DO4" i="3"/>
  <c r="V29" i="13" s="1"/>
  <c r="V47" i="13" s="1"/>
  <c r="L8" i="5"/>
  <c r="K8" i="5"/>
  <c r="V60" i="13" l="1"/>
  <c r="V90" i="13" s="1"/>
  <c r="V94" i="13" s="1"/>
  <c r="V55" i="13"/>
  <c r="DK119" i="3"/>
  <c r="BF137" i="3"/>
  <c r="DL11" i="3"/>
  <c r="F755" i="7"/>
  <c r="J829" i="7"/>
  <c r="G750" i="7"/>
  <c r="I756" i="7" s="1"/>
  <c r="G756" i="7"/>
  <c r="F751" i="7"/>
  <c r="F756" i="7"/>
  <c r="K762" i="7"/>
  <c r="E762" i="7"/>
  <c r="G755" i="7"/>
  <c r="H755" i="7"/>
  <c r="F762" i="7"/>
  <c r="I755" i="7"/>
  <c r="G762" i="7"/>
  <c r="J755" i="7"/>
  <c r="H762" i="7"/>
  <c r="K755" i="7"/>
  <c r="D762" i="7"/>
  <c r="I762" i="7"/>
  <c r="E751" i="7"/>
  <c r="H756" i="7"/>
  <c r="J762" i="7"/>
  <c r="D754" i="7"/>
  <c r="D757" i="7" s="1"/>
  <c r="D763" i="7" s="1"/>
  <c r="E755" i="7"/>
  <c r="E754" i="7"/>
  <c r="DK137" i="3" l="1"/>
  <c r="DN11" i="3"/>
  <c r="BL52" i="3"/>
  <c r="K829" i="7"/>
  <c r="H750" i="7"/>
  <c r="G751" i="7"/>
  <c r="E757" i="7"/>
  <c r="E763" i="7" s="1"/>
  <c r="E764" i="7" s="1"/>
  <c r="D764" i="7"/>
  <c r="DQ52" i="3" l="1"/>
  <c r="DM52" i="3"/>
  <c r="T30" i="13" s="1"/>
  <c r="BM52" i="3"/>
  <c r="R50" i="2" s="1"/>
  <c r="R75" i="2" s="1"/>
  <c r="DM11" i="3"/>
  <c r="M829" i="7"/>
  <c r="L829" i="7"/>
  <c r="I750" i="7"/>
  <c r="H751" i="7"/>
  <c r="J756" i="7"/>
  <c r="F754" i="7"/>
  <c r="F757" i="7" s="1"/>
  <c r="F763" i="7" s="1"/>
  <c r="F764" i="7" s="1"/>
  <c r="DR52" i="3" l="1"/>
  <c r="DN52" i="3"/>
  <c r="U30" i="13" s="1"/>
  <c r="J750" i="7"/>
  <c r="I751" i="7"/>
  <c r="K756" i="7"/>
  <c r="G754" i="7"/>
  <c r="G757" i="7" s="1"/>
  <c r="G763" i="7" s="1"/>
  <c r="G764" i="7" s="1"/>
  <c r="K750" i="7" l="1"/>
  <c r="K751" i="7" s="1"/>
  <c r="J751" i="7"/>
  <c r="H754" i="7"/>
  <c r="H757" i="7" s="1"/>
  <c r="H763" i="7" s="1"/>
  <c r="H764" i="7" s="1"/>
  <c r="I754" i="7" l="1"/>
  <c r="I757" i="7" s="1"/>
  <c r="I763" i="7" s="1"/>
  <c r="I764" i="7" s="1"/>
  <c r="J754" i="7" l="1"/>
  <c r="J757" i="7" s="1"/>
  <c r="J763" i="7" s="1"/>
  <c r="J764" i="7" s="1"/>
  <c r="K754" i="7" l="1"/>
  <c r="K757" i="7" s="1"/>
  <c r="K763" i="7" s="1"/>
  <c r="K764" i="7" s="1"/>
  <c r="AD307" i="1" l="1"/>
  <c r="AD100" i="1" s="1"/>
  <c r="AC307" i="1"/>
  <c r="AB307" i="1"/>
  <c r="AB100" i="1" s="1"/>
  <c r="AA307" i="1"/>
  <c r="AA100" i="1" s="1"/>
  <c r="Z307" i="1"/>
  <c r="Z100" i="1" s="1"/>
  <c r="AD255" i="1"/>
  <c r="AC255" i="1"/>
  <c r="AB255" i="1"/>
  <c r="AA255" i="1"/>
  <c r="Z255" i="1"/>
  <c r="AD251" i="1"/>
  <c r="AC251" i="1"/>
  <c r="AB251" i="1"/>
  <c r="AA251" i="1"/>
  <c r="Z251" i="1"/>
  <c r="AD160" i="1"/>
  <c r="AC160" i="1"/>
  <c r="AB160" i="1"/>
  <c r="AA160" i="1"/>
  <c r="Z160" i="1"/>
  <c r="AC100" i="1"/>
  <c r="AD98" i="1"/>
  <c r="AC98" i="1"/>
  <c r="AB98" i="1"/>
  <c r="AA98" i="1"/>
  <c r="Z98" i="1"/>
  <c r="AD96" i="1"/>
  <c r="AC96" i="1"/>
  <c r="AB96" i="1"/>
  <c r="AA96" i="1"/>
  <c r="Z96" i="1"/>
  <c r="AD73" i="1"/>
  <c r="AC73" i="1"/>
  <c r="AB73" i="1"/>
  <c r="AA73" i="1"/>
  <c r="Z73" i="1"/>
  <c r="AD51" i="1"/>
  <c r="S71" i="6" s="1"/>
  <c r="S72" i="6" s="1"/>
  <c r="AC51" i="1"/>
  <c r="R71" i="6" s="1"/>
  <c r="R72" i="6" s="1"/>
  <c r="AB51" i="1"/>
  <c r="Q71" i="6" s="1"/>
  <c r="Q72" i="6" s="1"/>
  <c r="AA51" i="1"/>
  <c r="P71" i="6" s="1"/>
  <c r="P72" i="6" s="1"/>
  <c r="Z51" i="1"/>
  <c r="O71" i="6" s="1"/>
  <c r="O72" i="6" s="1"/>
  <c r="U28" i="5"/>
  <c r="T28" i="5"/>
  <c r="S28" i="5"/>
  <c r="R28" i="5"/>
  <c r="Q28" i="5"/>
  <c r="U18" i="5"/>
  <c r="T18" i="5"/>
  <c r="S18" i="5"/>
  <c r="R18" i="5"/>
  <c r="Q18" i="5"/>
  <c r="U6" i="5"/>
  <c r="T6" i="5"/>
  <c r="S6" i="5"/>
  <c r="R6" i="5"/>
  <c r="Q6" i="5"/>
  <c r="D2148" i="4"/>
  <c r="Q9" i="5" l="1"/>
  <c r="R9" i="5"/>
  <c r="R23" i="5"/>
  <c r="V93" i="2" s="1"/>
  <c r="R10" i="5" l="1"/>
  <c r="R29" i="5"/>
  <c r="R31" i="5"/>
  <c r="S9" i="5"/>
  <c r="S23" i="5" s="1"/>
  <c r="R34" i="5" l="1"/>
  <c r="S10" i="5"/>
  <c r="U9" i="5"/>
  <c r="T9" i="5"/>
  <c r="S31" i="5"/>
  <c r="S29" i="5"/>
  <c r="W93" i="2"/>
  <c r="S34" i="5" l="1"/>
  <c r="T10" i="5"/>
  <c r="U23" i="5"/>
  <c r="U10" i="5"/>
  <c r="T23" i="5"/>
  <c r="P115" i="2"/>
  <c r="P100" i="2"/>
  <c r="P47" i="2"/>
  <c r="P44" i="2"/>
  <c r="P43" i="2"/>
  <c r="P31" i="2"/>
  <c r="T31" i="5" l="1"/>
  <c r="X93" i="2"/>
  <c r="T29" i="5"/>
  <c r="U29" i="5"/>
  <c r="U31" i="5"/>
  <c r="Y93" i="2"/>
  <c r="T34" i="5" l="1"/>
  <c r="U34" i="5"/>
  <c r="C589" i="7" l="1"/>
  <c r="C585" i="7"/>
  <c r="C587" i="7"/>
  <c r="C584" i="7"/>
  <c r="D537" i="7"/>
  <c r="G481" i="7" l="1"/>
  <c r="G478" i="7"/>
  <c r="E510" i="7"/>
  <c r="E511" i="7" s="1"/>
  <c r="E512" i="7" s="1"/>
  <c r="F510" i="7"/>
  <c r="G510" i="7"/>
  <c r="D510" i="7"/>
  <c r="D511" i="7" s="1"/>
  <c r="G511" i="7" l="1"/>
  <c r="F511" i="7"/>
  <c r="F512" i="7" s="1"/>
  <c r="G512" i="7" s="1"/>
  <c r="H512" i="7" s="1"/>
  <c r="I512" i="7" s="1"/>
  <c r="J512" i="7" s="1"/>
  <c r="K512" i="7" s="1"/>
  <c r="L512" i="7" s="1"/>
  <c r="M512" i="7" s="1"/>
  <c r="E506" i="7" l="1"/>
  <c r="F506" i="7" s="1"/>
  <c r="G506" i="7" s="1"/>
  <c r="H506" i="7" s="1"/>
  <c r="E2005" i="4"/>
  <c r="H583" i="7" l="1"/>
  <c r="I506" i="7"/>
  <c r="H549" i="7"/>
  <c r="E583" i="7"/>
  <c r="E490" i="7"/>
  <c r="E491" i="7" s="1"/>
  <c r="D488" i="7"/>
  <c r="D486" i="7"/>
  <c r="I583" i="7" l="1"/>
  <c r="I549" i="7"/>
  <c r="F549" i="7"/>
  <c r="D487" i="7" l="1"/>
  <c r="D491" i="7" s="1"/>
  <c r="F583" i="7"/>
  <c r="G583" i="7" l="1"/>
  <c r="G549" i="7"/>
  <c r="BE172" i="3"/>
  <c r="BD172" i="3"/>
  <c r="BD160" i="3"/>
  <c r="BD157" i="3"/>
  <c r="DE133" i="3"/>
  <c r="BD123" i="3"/>
  <c r="BD122" i="3"/>
  <c r="BD121" i="3"/>
  <c r="BD119" i="3"/>
  <c r="BD137" i="3" s="1"/>
  <c r="DE112" i="3"/>
  <c r="BD112" i="3"/>
  <c r="DE111" i="3"/>
  <c r="L272" i="14" s="1"/>
  <c r="BD107" i="3"/>
  <c r="DI107" i="3" s="1"/>
  <c r="DE103" i="3"/>
  <c r="BD99" i="3"/>
  <c r="BD148" i="3" s="1"/>
  <c r="BD71" i="3"/>
  <c r="BD68" i="3"/>
  <c r="BD67" i="3"/>
  <c r="DE63" i="3"/>
  <c r="BF123" i="3"/>
  <c r="DE62" i="3"/>
  <c r="DE61" i="3"/>
  <c r="BF121" i="3"/>
  <c r="DE60" i="3"/>
  <c r="DE57" i="3"/>
  <c r="BE54" i="3"/>
  <c r="BD54" i="3"/>
  <c r="BE53" i="3"/>
  <c r="BD53" i="3"/>
  <c r="BE52" i="3"/>
  <c r="BD52" i="3"/>
  <c r="DE42" i="3"/>
  <c r="L69" i="13" s="1"/>
  <c r="DE41" i="3"/>
  <c r="L68" i="13" s="1"/>
  <c r="DE40" i="3"/>
  <c r="L67" i="13" s="1"/>
  <c r="DE39" i="3"/>
  <c r="BD36" i="3"/>
  <c r="BD35" i="3"/>
  <c r="L53" i="13" s="1"/>
  <c r="BE34" i="3"/>
  <c r="BD34" i="3"/>
  <c r="BE47" i="3"/>
  <c r="BD47" i="3"/>
  <c r="BD28" i="3"/>
  <c r="BH30" i="3" s="1"/>
  <c r="BD26" i="3"/>
  <c r="BE24" i="3"/>
  <c r="BD24" i="3"/>
  <c r="DE23" i="3"/>
  <c r="BE19" i="3"/>
  <c r="F671" i="7" s="1"/>
  <c r="F673" i="7" s="1"/>
  <c r="F675" i="7" s="1"/>
  <c r="F687" i="7" s="1"/>
  <c r="BD19" i="3"/>
  <c r="DE18" i="3"/>
  <c r="BE12" i="3"/>
  <c r="BD12" i="3"/>
  <c r="L48" i="13" s="1"/>
  <c r="DE11" i="3"/>
  <c r="BD8" i="3"/>
  <c r="E670" i="7" s="1"/>
  <c r="DE7" i="3"/>
  <c r="DE4" i="3"/>
  <c r="L29" i="13" s="1"/>
  <c r="L47" i="13" s="1"/>
  <c r="BE181" i="3"/>
  <c r="BA181" i="3"/>
  <c r="L271" i="14" l="1"/>
  <c r="M140" i="13"/>
  <c r="E678" i="7"/>
  <c r="E686" i="7"/>
  <c r="L49" i="13"/>
  <c r="E671" i="7"/>
  <c r="E673" i="7" s="1"/>
  <c r="E675" i="7" s="1"/>
  <c r="E687" i="7" s="1"/>
  <c r="F679" i="7"/>
  <c r="F680" i="7" s="1"/>
  <c r="BE173" i="3"/>
  <c r="DI137" i="3"/>
  <c r="DJ52" i="3"/>
  <c r="Q30" i="13" s="1"/>
  <c r="DJ54" i="3"/>
  <c r="Q32" i="13" s="1"/>
  <c r="DJ53" i="3"/>
  <c r="Q31" i="13" s="1"/>
  <c r="DI71" i="3"/>
  <c r="BH73" i="3"/>
  <c r="M74" i="13"/>
  <c r="L33" i="13"/>
  <c r="L85" i="13"/>
  <c r="BE94" i="3"/>
  <c r="M63" i="13" s="1"/>
  <c r="M50" i="13"/>
  <c r="BD124" i="3"/>
  <c r="M75" i="13" s="1"/>
  <c r="DI119" i="3"/>
  <c r="BD94" i="3"/>
  <c r="L63" i="13" s="1"/>
  <c r="L50" i="13"/>
  <c r="BE92" i="3"/>
  <c r="M61" i="13" s="1"/>
  <c r="M91" i="13" s="1"/>
  <c r="M48" i="13"/>
  <c r="L60" i="13"/>
  <c r="L90" i="13" s="1"/>
  <c r="L94" i="13" s="1"/>
  <c r="L55" i="13"/>
  <c r="BE93" i="3"/>
  <c r="M62" i="13" s="1"/>
  <c r="M95" i="13" s="1"/>
  <c r="M49" i="13"/>
  <c r="BF67" i="3"/>
  <c r="BF122" i="3"/>
  <c r="BD93" i="3"/>
  <c r="L62" i="13" s="1"/>
  <c r="L95" i="13" s="1"/>
  <c r="BD134" i="3"/>
  <c r="M76" i="13" s="1"/>
  <c r="M141" i="13" s="1"/>
  <c r="BD55" i="3"/>
  <c r="BD104" i="3" s="1"/>
  <c r="BD184" i="3"/>
  <c r="BD92" i="3"/>
  <c r="L61" i="13" s="1"/>
  <c r="L91" i="13" s="1"/>
  <c r="L51" i="13" l="1"/>
  <c r="E679" i="7"/>
  <c r="E680" i="7" s="1"/>
  <c r="F688" i="7"/>
  <c r="F694" i="7"/>
  <c r="F696" i="7" s="1"/>
  <c r="F698" i="7" s="1"/>
  <c r="E694" i="7"/>
  <c r="E696" i="7" s="1"/>
  <c r="E698" i="7" s="1"/>
  <c r="E688" i="7"/>
  <c r="M51" i="13"/>
  <c r="BD113" i="3"/>
  <c r="BD95" i="3"/>
  <c r="L64" i="13" s="1"/>
  <c r="BD187" i="3"/>
  <c r="BD56" i="3"/>
  <c r="S84" i="13" l="1"/>
  <c r="BD70" i="3"/>
  <c r="BD138" i="3" s="1"/>
  <c r="BD65" i="3"/>
  <c r="DI70" i="3" l="1"/>
  <c r="P83" i="13" s="1"/>
  <c r="L238" i="14"/>
  <c r="BE160" i="3"/>
  <c r="BE161" i="3" s="1"/>
  <c r="BE157" i="3"/>
  <c r="BE123" i="3"/>
  <c r="BE122" i="3"/>
  <c r="BE121" i="3"/>
  <c r="BE112" i="3"/>
  <c r="BE107" i="3"/>
  <c r="BE99" i="3"/>
  <c r="BE148" i="3" s="1"/>
  <c r="BE71" i="3"/>
  <c r="BE68" i="3"/>
  <c r="BE67" i="3"/>
  <c r="BE36" i="3"/>
  <c r="P244" i="14" l="1"/>
  <c r="DJ107" i="3"/>
  <c r="N74" i="13"/>
  <c r="DJ71" i="3"/>
  <c r="BI73" i="3"/>
  <c r="BE72" i="3"/>
  <c r="BE134" i="3"/>
  <c r="N76" i="13" s="1"/>
  <c r="N141" i="13" s="1"/>
  <c r="J478" i="7" l="1"/>
  <c r="F477" i="7"/>
  <c r="F478" i="7"/>
  <c r="J481" i="7" l="1"/>
  <c r="F481" i="7"/>
  <c r="BD189" i="3"/>
  <c r="BC172" i="3"/>
  <c r="BB172" i="3"/>
  <c r="B16" i="11"/>
  <c r="BC173" i="3" l="1"/>
  <c r="BD173" i="3"/>
  <c r="BC184" i="3"/>
  <c r="BB184" i="3"/>
  <c r="BB187" i="3" s="1"/>
  <c r="BD190" i="3"/>
  <c r="BD191" i="3" l="1"/>
  <c r="BC187" i="3"/>
  <c r="BC190" i="3"/>
  <c r="BB190" i="3"/>
  <c r="E477" i="7"/>
  <c r="E478" i="7"/>
  <c r="H478" i="7" l="1"/>
  <c r="I478" i="7"/>
  <c r="E481" i="7"/>
  <c r="BC191" i="3"/>
  <c r="BB191" i="3"/>
  <c r="H481" i="7" l="1"/>
  <c r="I481" i="7"/>
  <c r="C487" i="7"/>
  <c r="C486" i="7"/>
  <c r="C488" i="7"/>
  <c r="BC16" i="3"/>
  <c r="AY16" i="3"/>
  <c r="C478" i="7" l="1"/>
  <c r="C479" i="7"/>
  <c r="C477" i="7"/>
  <c r="BC160" i="3"/>
  <c r="BC161" i="3" s="1"/>
  <c r="BC157" i="3"/>
  <c r="BC123" i="3"/>
  <c r="BC122" i="3"/>
  <c r="BC121" i="3"/>
  <c r="BC119" i="3"/>
  <c r="BC137" i="3" s="1"/>
  <c r="BC112" i="3"/>
  <c r="BC107" i="3"/>
  <c r="DH107" i="3" s="1"/>
  <c r="BC67" i="3"/>
  <c r="DD133" i="3"/>
  <c r="DD112" i="3"/>
  <c r="DD111" i="3"/>
  <c r="K272" i="14" s="1"/>
  <c r="DD103" i="3"/>
  <c r="DD63" i="3"/>
  <c r="DD62" i="3"/>
  <c r="DD61" i="3"/>
  <c r="DD60" i="3"/>
  <c r="DD57" i="3"/>
  <c r="DD42" i="3"/>
  <c r="K69" i="13" s="1"/>
  <c r="DD41" i="3"/>
  <c r="K68" i="13" s="1"/>
  <c r="DD40" i="3"/>
  <c r="K67" i="13" s="1"/>
  <c r="DD39" i="3"/>
  <c r="DD23" i="3"/>
  <c r="DD18" i="3"/>
  <c r="DD7" i="3"/>
  <c r="DD4" i="3"/>
  <c r="K29" i="13" s="1"/>
  <c r="K47" i="13" s="1"/>
  <c r="BC99" i="3"/>
  <c r="BC134" i="3" s="1"/>
  <c r="L76" i="13" s="1"/>
  <c r="L141" i="13" s="1"/>
  <c r="BC64" i="3"/>
  <c r="BC54" i="3"/>
  <c r="BC53" i="3"/>
  <c r="BC52" i="3"/>
  <c r="BC36" i="3"/>
  <c r="BC35" i="3"/>
  <c r="K53" i="13" s="1"/>
  <c r="BC34" i="3"/>
  <c r="BC47" i="3"/>
  <c r="BC28" i="3"/>
  <c r="BG30" i="3" s="1"/>
  <c r="BC26" i="3"/>
  <c r="BC24" i="3"/>
  <c r="BC12" i="3"/>
  <c r="K48" i="13" s="1"/>
  <c r="BC8" i="3"/>
  <c r="D670" i="7" s="1"/>
  <c r="BC19" i="3"/>
  <c r="D671" i="7" s="1"/>
  <c r="D673" i="7" s="1"/>
  <c r="D675" i="7" s="1"/>
  <c r="D687" i="7" s="1"/>
  <c r="K271" i="14" l="1"/>
  <c r="L140" i="13"/>
  <c r="D679" i="7"/>
  <c r="D678" i="7"/>
  <c r="D686" i="7"/>
  <c r="DH137" i="3"/>
  <c r="L74" i="13"/>
  <c r="K33" i="13"/>
  <c r="K85" i="13"/>
  <c r="BC93" i="3"/>
  <c r="K62" i="13" s="1"/>
  <c r="K95" i="13" s="1"/>
  <c r="K49" i="13"/>
  <c r="BC94" i="3"/>
  <c r="K63" i="13" s="1"/>
  <c r="K50" i="13"/>
  <c r="K55" i="13"/>
  <c r="K60" i="13"/>
  <c r="K90" i="13" s="1"/>
  <c r="K94" i="13" s="1"/>
  <c r="DH64" i="3"/>
  <c r="O84" i="13" s="1"/>
  <c r="BD29" i="3"/>
  <c r="DH28" i="3"/>
  <c r="DH119" i="3"/>
  <c r="BC55" i="3"/>
  <c r="BC104" i="3" s="1"/>
  <c r="BC68" i="3"/>
  <c r="BC71" i="3"/>
  <c r="BC148" i="3"/>
  <c r="BC92" i="3"/>
  <c r="K61" i="13" s="1"/>
  <c r="K91" i="13" s="1"/>
  <c r="BC124" i="3"/>
  <c r="L75" i="13" s="1"/>
  <c r="T179" i="1"/>
  <c r="O47" i="2"/>
  <c r="O43" i="2"/>
  <c r="O36" i="2"/>
  <c r="O27" i="2"/>
  <c r="O105" i="2"/>
  <c r="N100" i="2"/>
  <c r="O100" i="2"/>
  <c r="O108" i="2"/>
  <c r="O115" i="2"/>
  <c r="T268" i="1"/>
  <c r="T236" i="1"/>
  <c r="S236" i="1"/>
  <c r="T166" i="1"/>
  <c r="U167" i="1" s="1"/>
  <c r="T159" i="1"/>
  <c r="T284" i="1"/>
  <c r="T219" i="1"/>
  <c r="T208" i="1"/>
  <c r="T202" i="1"/>
  <c r="T201" i="1"/>
  <c r="T198" i="1"/>
  <c r="D688" i="7" l="1"/>
  <c r="D694" i="7"/>
  <c r="D680" i="7"/>
  <c r="T92" i="1"/>
  <c r="T24" i="1"/>
  <c r="O103" i="2"/>
  <c r="O104" i="2" s="1"/>
  <c r="K51" i="13"/>
  <c r="T169" i="1"/>
  <c r="BG73" i="3"/>
  <c r="DH71" i="3"/>
  <c r="BC113" i="3"/>
  <c r="BC56" i="3"/>
  <c r="BC95" i="3"/>
  <c r="K64" i="13" s="1"/>
  <c r="D696" i="7" l="1"/>
  <c r="D698" i="7" s="1"/>
  <c r="BC70" i="3"/>
  <c r="BC65" i="3"/>
  <c r="T144" i="1"/>
  <c r="T17" i="1"/>
  <c r="T14" i="1"/>
  <c r="T13" i="1"/>
  <c r="K238" i="14" l="1"/>
  <c r="BC138" i="3"/>
  <c r="BB160" i="3"/>
  <c r="BB161" i="3" s="1"/>
  <c r="BB157" i="3"/>
  <c r="BB123" i="3"/>
  <c r="BB122" i="3"/>
  <c r="BB121" i="3"/>
  <c r="BB119" i="3"/>
  <c r="BB137" i="3" s="1"/>
  <c r="BB112" i="3"/>
  <c r="K74" i="13" s="1"/>
  <c r="DC133" i="3"/>
  <c r="DC112" i="3"/>
  <c r="DC111" i="3"/>
  <c r="J272" i="14" s="1"/>
  <c r="DC103" i="3"/>
  <c r="DC63" i="3"/>
  <c r="DC62" i="3"/>
  <c r="DC61" i="3"/>
  <c r="DC60" i="3"/>
  <c r="DC57" i="3"/>
  <c r="DC42" i="3"/>
  <c r="J69" i="13" s="1"/>
  <c r="DC41" i="3"/>
  <c r="J68" i="13" s="1"/>
  <c r="DC40" i="3"/>
  <c r="J67" i="13" s="1"/>
  <c r="DC39" i="3"/>
  <c r="DC23" i="3"/>
  <c r="DC18" i="3"/>
  <c r="DC11" i="3"/>
  <c r="DC7" i="3"/>
  <c r="DC4" i="3"/>
  <c r="J29" i="13" s="1"/>
  <c r="J47" i="13" s="1"/>
  <c r="BB99" i="3"/>
  <c r="BB148" i="3" s="1"/>
  <c r="BB107" i="3"/>
  <c r="BB67" i="3"/>
  <c r="BB64" i="3"/>
  <c r="BB36" i="3"/>
  <c r="BB35" i="3"/>
  <c r="J53" i="13" s="1"/>
  <c r="BB34" i="3"/>
  <c r="BB28" i="3"/>
  <c r="BB26" i="3"/>
  <c r="BB24" i="3"/>
  <c r="J50" i="13" s="1"/>
  <c r="BB19" i="3"/>
  <c r="J49" i="13" s="1"/>
  <c r="BB12" i="3"/>
  <c r="J48" i="13" s="1"/>
  <c r="BB8" i="3"/>
  <c r="BB54" i="3"/>
  <c r="DC54" i="3" s="1"/>
  <c r="J32" i="13" s="1"/>
  <c r="BB53" i="3"/>
  <c r="DC53" i="3" s="1"/>
  <c r="J31" i="13" s="1"/>
  <c r="BB52" i="3"/>
  <c r="DC52" i="3" l="1"/>
  <c r="J30" i="13" s="1"/>
  <c r="J271" i="14"/>
  <c r="K140" i="13"/>
  <c r="DG137" i="3"/>
  <c r="BC29" i="3"/>
  <c r="J33" i="13"/>
  <c r="J85" i="13"/>
  <c r="J51" i="13"/>
  <c r="J55" i="13"/>
  <c r="J60" i="13"/>
  <c r="J90" i="13" s="1"/>
  <c r="J94" i="13" s="1"/>
  <c r="BB93" i="3"/>
  <c r="J62" i="13" s="1"/>
  <c r="J95" i="13" s="1"/>
  <c r="BB94" i="3"/>
  <c r="J63" i="13" s="1"/>
  <c r="BB92" i="3"/>
  <c r="J61" i="13" s="1"/>
  <c r="J91" i="13" s="1"/>
  <c r="BB71" i="3"/>
  <c r="BB68" i="3"/>
  <c r="BB134" i="3"/>
  <c r="K76" i="13" s="1"/>
  <c r="K141" i="13" s="1"/>
  <c r="BB124" i="3"/>
  <c r="K75" i="13" s="1"/>
  <c r="BB55" i="3"/>
  <c r="BB104" i="3" s="1"/>
  <c r="BB95" i="3" l="1"/>
  <c r="J64" i="13" s="1"/>
  <c r="BB56" i="3"/>
  <c r="BB113" i="3"/>
  <c r="BB65" i="3" l="1"/>
  <c r="BB70" i="3"/>
  <c r="DF63" i="3"/>
  <c r="DF62" i="3"/>
  <c r="DF61" i="3"/>
  <c r="DF60" i="3"/>
  <c r="DF42" i="3"/>
  <c r="M69" i="13" s="1"/>
  <c r="DF41" i="3"/>
  <c r="M68" i="13" s="1"/>
  <c r="DF40" i="3"/>
  <c r="M67" i="13" s="1"/>
  <c r="DG4" i="3"/>
  <c r="N29" i="13" s="1"/>
  <c r="N47" i="13" s="1"/>
  <c r="DF4" i="3"/>
  <c r="M29" i="13" s="1"/>
  <c r="M47" i="13" s="1"/>
  <c r="P18" i="5"/>
  <c r="O18" i="5"/>
  <c r="N18" i="5"/>
  <c r="M18" i="5"/>
  <c r="L18" i="5"/>
  <c r="K18" i="5"/>
  <c r="K67" i="2"/>
  <c r="L67" i="2"/>
  <c r="M67" i="2"/>
  <c r="AX55" i="3"/>
  <c r="AX104" i="3" s="1"/>
  <c r="AX56" i="3" l="1"/>
  <c r="DC56" i="3" s="1"/>
  <c r="J238" i="14"/>
  <c r="BB138" i="3"/>
  <c r="M60" i="13"/>
  <c r="M90" i="13" s="1"/>
  <c r="M94" i="13" s="1"/>
  <c r="M55" i="13"/>
  <c r="N60" i="13"/>
  <c r="N90" i="13" s="1"/>
  <c r="N94" i="13" s="1"/>
  <c r="N55" i="13"/>
  <c r="AZ189" i="3"/>
  <c r="AZ182" i="3"/>
  <c r="AZ181" i="3"/>
  <c r="AZ178" i="3"/>
  <c r="AZ179" i="3" s="1"/>
  <c r="BA172" i="3"/>
  <c r="AZ172" i="3"/>
  <c r="BA160" i="3"/>
  <c r="BA161" i="3" s="1"/>
  <c r="BA157" i="3"/>
  <c r="BA123" i="3"/>
  <c r="BA122" i="3"/>
  <c r="BA121" i="3"/>
  <c r="BA119" i="3"/>
  <c r="DB133" i="3"/>
  <c r="DB112" i="3"/>
  <c r="DB111" i="3"/>
  <c r="I272" i="14" s="1"/>
  <c r="DB103" i="3"/>
  <c r="BA107" i="3"/>
  <c r="BA112" i="3"/>
  <c r="J74" i="13" s="1"/>
  <c r="BA99" i="3"/>
  <c r="BA148" i="3" s="1"/>
  <c r="BA67" i="3"/>
  <c r="BA64" i="3"/>
  <c r="BA54" i="3"/>
  <c r="BA53" i="3"/>
  <c r="BA52" i="3"/>
  <c r="DB63" i="3"/>
  <c r="DB62" i="3"/>
  <c r="DB61" i="3"/>
  <c r="DB60" i="3"/>
  <c r="DB57" i="3"/>
  <c r="DB42" i="3"/>
  <c r="I69" i="13" s="1"/>
  <c r="DB41" i="3"/>
  <c r="I68" i="13" s="1"/>
  <c r="DB40" i="3"/>
  <c r="I67" i="13" s="1"/>
  <c r="DB39" i="3"/>
  <c r="DB23" i="3"/>
  <c r="DB18" i="3"/>
  <c r="DB11" i="3"/>
  <c r="DB7" i="3"/>
  <c r="DB4" i="3"/>
  <c r="I29" i="13" s="1"/>
  <c r="I47" i="13" s="1"/>
  <c r="AX46" i="3"/>
  <c r="AY46" i="3" s="1"/>
  <c r="AZ46" i="3" s="1"/>
  <c r="BA46" i="3" s="1"/>
  <c r="BA36" i="3"/>
  <c r="BA35" i="3"/>
  <c r="I53" i="13" s="1"/>
  <c r="BA34" i="3"/>
  <c r="BA28" i="3"/>
  <c r="BA26" i="3"/>
  <c r="BA24" i="3"/>
  <c r="I50" i="13" s="1"/>
  <c r="BA19" i="3"/>
  <c r="I49" i="13" s="1"/>
  <c r="BA12" i="3"/>
  <c r="I48" i="13" s="1"/>
  <c r="BA8" i="3"/>
  <c r="I271" i="14" l="1"/>
  <c r="J140" i="13"/>
  <c r="BA173" i="3"/>
  <c r="BB173" i="3"/>
  <c r="BA124" i="3"/>
  <c r="J75" i="13" s="1"/>
  <c r="BA137" i="3"/>
  <c r="I51" i="13"/>
  <c r="I33" i="13"/>
  <c r="I85" i="13"/>
  <c r="I60" i="13"/>
  <c r="I90" i="13" s="1"/>
  <c r="I94" i="13" s="1"/>
  <c r="I55" i="13"/>
  <c r="BB47" i="3"/>
  <c r="BB29" i="3"/>
  <c r="BA71" i="3"/>
  <c r="DF71" i="3" s="1"/>
  <c r="DF64" i="3"/>
  <c r="M84" i="13" s="1"/>
  <c r="BA55" i="3"/>
  <c r="BA104" i="3" s="1"/>
  <c r="AZ190" i="3"/>
  <c r="AZ191" i="3" s="1"/>
  <c r="BA94" i="3"/>
  <c r="I63" i="13" s="1"/>
  <c r="BA93" i="3"/>
  <c r="I62" i="13" s="1"/>
  <c r="I95" i="13" s="1"/>
  <c r="BA92" i="3"/>
  <c r="I61" i="13" s="1"/>
  <c r="I91" i="13" s="1"/>
  <c r="BA184" i="3"/>
  <c r="BA134" i="3"/>
  <c r="J76" i="13" s="1"/>
  <c r="J141" i="13" s="1"/>
  <c r="BA68" i="3"/>
  <c r="E418" i="7"/>
  <c r="D418" i="7"/>
  <c r="BA113" i="3" l="1"/>
  <c r="BA56" i="3"/>
  <c r="BA187" i="3"/>
  <c r="BA190" i="3"/>
  <c r="BA95" i="3"/>
  <c r="I64" i="13" s="1"/>
  <c r="S336" i="1"/>
  <c r="R336" i="1"/>
  <c r="E416" i="7"/>
  <c r="BA191" i="3" l="1"/>
  <c r="BA65" i="3"/>
  <c r="BA70" i="3"/>
  <c r="I363" i="7"/>
  <c r="P363" i="7" s="1"/>
  <c r="I362" i="7"/>
  <c r="O362" i="7" s="1"/>
  <c r="I361" i="7"/>
  <c r="N361" i="7" s="1"/>
  <c r="I360" i="7"/>
  <c r="M360" i="7" s="1"/>
  <c r="I359" i="7"/>
  <c r="P359" i="7" s="1"/>
  <c r="I358" i="7"/>
  <c r="O358" i="7" s="1"/>
  <c r="I357" i="7"/>
  <c r="P357" i="7" s="1"/>
  <c r="I356" i="7"/>
  <c r="M356" i="7" s="1"/>
  <c r="I355" i="7"/>
  <c r="P355" i="7" s="1"/>
  <c r="I354" i="7"/>
  <c r="M354" i="7" s="1"/>
  <c r="I353" i="7"/>
  <c r="K353" i="7" s="1"/>
  <c r="I238" i="14" l="1"/>
  <c r="BA138" i="3"/>
  <c r="L358" i="7"/>
  <c r="K354" i="7"/>
  <c r="O354" i="7"/>
  <c r="M358" i="7"/>
  <c r="N354" i="7"/>
  <c r="N353" i="7"/>
  <c r="M353" i="7"/>
  <c r="L354" i="7"/>
  <c r="P354" i="7"/>
  <c r="M357" i="7"/>
  <c r="P358" i="7"/>
  <c r="N363" i="7"/>
  <c r="M363" i="7"/>
  <c r="K363" i="7"/>
  <c r="O363" i="7"/>
  <c r="L363" i="7"/>
  <c r="P362" i="7"/>
  <c r="M362" i="7"/>
  <c r="N362" i="7"/>
  <c r="L362" i="7"/>
  <c r="K362" i="7"/>
  <c r="K361" i="7"/>
  <c r="L361" i="7"/>
  <c r="P361" i="7"/>
  <c r="O361" i="7"/>
  <c r="M361" i="7"/>
  <c r="N360" i="7"/>
  <c r="K360" i="7"/>
  <c r="O360" i="7"/>
  <c r="P360" i="7"/>
  <c r="L360" i="7"/>
  <c r="N359" i="7"/>
  <c r="K359" i="7"/>
  <c r="O359" i="7"/>
  <c r="M359" i="7"/>
  <c r="L359" i="7"/>
  <c r="N358" i="7"/>
  <c r="K358" i="7"/>
  <c r="N357" i="7"/>
  <c r="K357" i="7"/>
  <c r="O357" i="7"/>
  <c r="L357" i="7"/>
  <c r="O356" i="7"/>
  <c r="N356" i="7"/>
  <c r="K356" i="7"/>
  <c r="L356" i="7"/>
  <c r="P356" i="7"/>
  <c r="M355" i="7"/>
  <c r="N355" i="7"/>
  <c r="K355" i="7"/>
  <c r="O355" i="7"/>
  <c r="L355" i="7"/>
  <c r="P353" i="7"/>
  <c r="L353" i="7"/>
  <c r="O353" i="7"/>
  <c r="I352" i="7"/>
  <c r="P352" i="7" s="1"/>
  <c r="I351" i="7"/>
  <c r="N351" i="7" s="1"/>
  <c r="I350" i="7"/>
  <c r="P350" i="7" s="1"/>
  <c r="I349" i="7"/>
  <c r="N349" i="7" s="1"/>
  <c r="I348" i="7"/>
  <c r="P348" i="7" s="1"/>
  <c r="I347" i="7"/>
  <c r="N347" i="7" s="1"/>
  <c r="I346" i="7"/>
  <c r="P346" i="7" s="1"/>
  <c r="I345" i="7"/>
  <c r="N345" i="7" s="1"/>
  <c r="I344" i="7"/>
  <c r="P344" i="7" s="1"/>
  <c r="I343" i="7"/>
  <c r="N343" i="7" s="1"/>
  <c r="I342" i="7"/>
  <c r="P342" i="7" s="1"/>
  <c r="I341" i="7"/>
  <c r="N341" i="7" s="1"/>
  <c r="I340" i="7"/>
  <c r="P340" i="7" s="1"/>
  <c r="I339" i="7"/>
  <c r="N339" i="7" s="1"/>
  <c r="I338" i="7"/>
  <c r="P338" i="7" s="1"/>
  <c r="I337" i="7"/>
  <c r="N337" i="7" s="1"/>
  <c r="I336" i="7"/>
  <c r="P336" i="7" s="1"/>
  <c r="P333" i="7"/>
  <c r="O333" i="7"/>
  <c r="N333" i="7"/>
  <c r="M333" i="7"/>
  <c r="L333" i="7"/>
  <c r="K333" i="7"/>
  <c r="P331" i="7"/>
  <c r="O331" i="7"/>
  <c r="N331" i="7"/>
  <c r="M331" i="7"/>
  <c r="L331" i="7"/>
  <c r="K331" i="7"/>
  <c r="I335" i="7"/>
  <c r="P335" i="7" s="1"/>
  <c r="I334" i="7"/>
  <c r="N334" i="7" s="1"/>
  <c r="I332" i="7"/>
  <c r="M332" i="7" s="1"/>
  <c r="O310" i="7"/>
  <c r="O311" i="7" s="1"/>
  <c r="M338" i="7" l="1"/>
  <c r="K334" i="7"/>
  <c r="M336" i="7"/>
  <c r="M342" i="7"/>
  <c r="O334" i="7"/>
  <c r="K337" i="7"/>
  <c r="M335" i="7"/>
  <c r="O337" i="7"/>
  <c r="O351" i="7"/>
  <c r="K332" i="7"/>
  <c r="P332" i="7"/>
  <c r="L334" i="7"/>
  <c r="P334" i="7"/>
  <c r="N335" i="7"/>
  <c r="N336" i="7"/>
  <c r="L337" i="7"/>
  <c r="P337" i="7"/>
  <c r="N338" i="7"/>
  <c r="M348" i="7"/>
  <c r="M352" i="7"/>
  <c r="N332" i="7"/>
  <c r="L332" i="7"/>
  <c r="M334" i="7"/>
  <c r="K335" i="7"/>
  <c r="O335" i="7"/>
  <c r="K336" i="7"/>
  <c r="O336" i="7"/>
  <c r="M337" i="7"/>
  <c r="K338" i="7"/>
  <c r="O338" i="7"/>
  <c r="N348" i="7"/>
  <c r="O332" i="7"/>
  <c r="L335" i="7"/>
  <c r="L336" i="7"/>
  <c r="L338" i="7"/>
  <c r="K351" i="7"/>
  <c r="L351" i="7"/>
  <c r="P351" i="7"/>
  <c r="N352" i="7"/>
  <c r="M351" i="7"/>
  <c r="K352" i="7"/>
  <c r="O352" i="7"/>
  <c r="L352" i="7"/>
  <c r="O349" i="7"/>
  <c r="L349" i="7"/>
  <c r="P349" i="7"/>
  <c r="N350" i="7"/>
  <c r="K349" i="7"/>
  <c r="M350" i="7"/>
  <c r="M349" i="7"/>
  <c r="K350" i="7"/>
  <c r="O350" i="7"/>
  <c r="L350" i="7"/>
  <c r="K348" i="7"/>
  <c r="O348" i="7"/>
  <c r="L348" i="7"/>
  <c r="N346" i="7"/>
  <c r="L347" i="7"/>
  <c r="P347" i="7"/>
  <c r="K347" i="7"/>
  <c r="K346" i="7"/>
  <c r="O346" i="7"/>
  <c r="M347" i="7"/>
  <c r="M346" i="7"/>
  <c r="O347" i="7"/>
  <c r="L346" i="7"/>
  <c r="M344" i="7"/>
  <c r="K345" i="7"/>
  <c r="O345" i="7"/>
  <c r="N344" i="7"/>
  <c r="L345" i="7"/>
  <c r="P345" i="7"/>
  <c r="K344" i="7"/>
  <c r="O344" i="7"/>
  <c r="M345" i="7"/>
  <c r="L344" i="7"/>
  <c r="O343" i="7"/>
  <c r="L343" i="7"/>
  <c r="P343" i="7"/>
  <c r="K343" i="7"/>
  <c r="M343" i="7"/>
  <c r="N342" i="7"/>
  <c r="K342" i="7"/>
  <c r="O342" i="7"/>
  <c r="L342" i="7"/>
  <c r="O341" i="7"/>
  <c r="N340" i="7"/>
  <c r="L341" i="7"/>
  <c r="P341" i="7"/>
  <c r="M340" i="7"/>
  <c r="K341" i="7"/>
  <c r="K340" i="7"/>
  <c r="O340" i="7"/>
  <c r="M341" i="7"/>
  <c r="L340" i="7"/>
  <c r="L339" i="7"/>
  <c r="P339" i="7"/>
  <c r="K339" i="7"/>
  <c r="M339" i="7"/>
  <c r="O339" i="7"/>
  <c r="AZ187" i="3"/>
  <c r="AZ160" i="3" l="1"/>
  <c r="AZ161" i="3" s="1"/>
  <c r="AZ157" i="3"/>
  <c r="AZ123" i="3"/>
  <c r="AZ122" i="3"/>
  <c r="AZ121" i="3"/>
  <c r="AZ99" i="3"/>
  <c r="AZ148" i="3" s="1"/>
  <c r="AZ119" i="3"/>
  <c r="AZ107" i="3"/>
  <c r="DE107" i="3" s="1"/>
  <c r="AZ112" i="3"/>
  <c r="I74" i="13" s="1"/>
  <c r="DA103" i="3"/>
  <c r="DA63" i="3"/>
  <c r="DA62" i="3"/>
  <c r="DA61" i="3"/>
  <c r="DA60" i="3"/>
  <c r="DA42" i="3"/>
  <c r="H69" i="13" s="1"/>
  <c r="DA41" i="3"/>
  <c r="H68" i="13" s="1"/>
  <c r="DA40" i="3"/>
  <c r="H67" i="13" s="1"/>
  <c r="DA39" i="3"/>
  <c r="DA23" i="3"/>
  <c r="DA18" i="3"/>
  <c r="DA11" i="3"/>
  <c r="DA7" i="3"/>
  <c r="DA4" i="3"/>
  <c r="H29" i="13" s="1"/>
  <c r="H47" i="13" s="1"/>
  <c r="AZ67" i="3"/>
  <c r="AZ64" i="3"/>
  <c r="DE64" i="3" s="1"/>
  <c r="L84" i="13" s="1"/>
  <c r="AZ54" i="3"/>
  <c r="AZ53" i="3"/>
  <c r="AZ52" i="3"/>
  <c r="AZ36" i="3"/>
  <c r="AZ35" i="3"/>
  <c r="H53" i="13" s="1"/>
  <c r="AZ34" i="3"/>
  <c r="AZ28" i="3"/>
  <c r="AZ26" i="3"/>
  <c r="AZ8" i="3"/>
  <c r="AZ24" i="3"/>
  <c r="H50" i="13" s="1"/>
  <c r="AZ19" i="3"/>
  <c r="H49" i="13" s="1"/>
  <c r="AZ12" i="3"/>
  <c r="H48" i="13" s="1"/>
  <c r="DE119" i="3" l="1"/>
  <c r="AZ137" i="3"/>
  <c r="H51" i="13"/>
  <c r="H33" i="13"/>
  <c r="H85" i="13"/>
  <c r="H55" i="13"/>
  <c r="H60" i="13"/>
  <c r="H90" i="13" s="1"/>
  <c r="H94" i="13" s="1"/>
  <c r="DE52" i="3"/>
  <c r="L30" i="13" s="1"/>
  <c r="DE53" i="3"/>
  <c r="L31" i="13" s="1"/>
  <c r="DE28" i="3"/>
  <c r="BD30" i="3"/>
  <c r="DE54" i="3"/>
  <c r="L32" i="13" s="1"/>
  <c r="AZ124" i="3"/>
  <c r="I75" i="13" s="1"/>
  <c r="BA29" i="3"/>
  <c r="AZ55" i="3"/>
  <c r="AZ104" i="3" s="1"/>
  <c r="AZ134" i="3"/>
  <c r="I76" i="13" s="1"/>
  <c r="I141" i="13" s="1"/>
  <c r="I394" i="7"/>
  <c r="I395" i="7" s="1"/>
  <c r="AZ71" i="3"/>
  <c r="DE71" i="3" s="1"/>
  <c r="AZ92" i="3"/>
  <c r="H61" i="13" s="1"/>
  <c r="H91" i="13" s="1"/>
  <c r="AZ93" i="3"/>
  <c r="H62" i="13" s="1"/>
  <c r="H95" i="13" s="1"/>
  <c r="AZ68" i="3"/>
  <c r="AZ94" i="3"/>
  <c r="H63" i="13" s="1"/>
  <c r="AZ113" i="3" l="1"/>
  <c r="DE137" i="3"/>
  <c r="AZ56" i="3"/>
  <c r="DE56" i="3" s="1"/>
  <c r="AZ95" i="3"/>
  <c r="H64" i="13" s="1"/>
  <c r="C76" i="6"/>
  <c r="N50" i="15" s="1"/>
  <c r="AZ65" i="3" l="1"/>
  <c r="AZ70" i="3"/>
  <c r="AZ138" i="3" s="1"/>
  <c r="AX107" i="3"/>
  <c r="DC107" i="3" s="1"/>
  <c r="AW107" i="3"/>
  <c r="DB107" i="3" s="1"/>
  <c r="AV107" i="3"/>
  <c r="DA107" i="3" s="1"/>
  <c r="AY107" i="3"/>
  <c r="DD107" i="3" s="1"/>
  <c r="DE70" i="3" l="1"/>
  <c r="L83" i="13" s="1"/>
  <c r="H238" i="14"/>
  <c r="CZ133" i="3"/>
  <c r="CZ112" i="3"/>
  <c r="H396" i="7" s="1"/>
  <c r="CZ111" i="3"/>
  <c r="G272" i="14" s="1"/>
  <c r="CZ63" i="3"/>
  <c r="CZ62" i="3"/>
  <c r="CZ61" i="3"/>
  <c r="CZ60" i="3"/>
  <c r="CZ57" i="3"/>
  <c r="CZ42" i="3"/>
  <c r="G69" i="13" s="1"/>
  <c r="CZ41" i="3"/>
  <c r="G68" i="13" s="1"/>
  <c r="CZ40" i="3"/>
  <c r="G67" i="13" s="1"/>
  <c r="CZ39" i="3"/>
  <c r="CZ23" i="3"/>
  <c r="CZ18" i="3"/>
  <c r="CZ11" i="3"/>
  <c r="CZ7" i="3"/>
  <c r="CZ4" i="3"/>
  <c r="G29" i="13" s="1"/>
  <c r="G47" i="13" s="1"/>
  <c r="AY160" i="3"/>
  <c r="AY161" i="3" s="1"/>
  <c r="AY157" i="3"/>
  <c r="AY123" i="3"/>
  <c r="AY122" i="3"/>
  <c r="AY121" i="3"/>
  <c r="AY119" i="3"/>
  <c r="AY112" i="3"/>
  <c r="H74" i="13" s="1"/>
  <c r="AY99" i="3"/>
  <c r="AY148" i="3" s="1"/>
  <c r="AY67" i="3"/>
  <c r="AY64" i="3"/>
  <c r="DD64" i="3" s="1"/>
  <c r="K84" i="13" s="1"/>
  <c r="AY54" i="3"/>
  <c r="O52" i="2" s="1"/>
  <c r="AY53" i="3"/>
  <c r="O51" i="2" s="1"/>
  <c r="AY52" i="3"/>
  <c r="AY36" i="3"/>
  <c r="AY35" i="3"/>
  <c r="G53" i="13" s="1"/>
  <c r="AY34" i="3"/>
  <c r="AY28" i="3"/>
  <c r="AY8" i="3"/>
  <c r="AY26" i="3"/>
  <c r="AY24" i="3"/>
  <c r="AY12" i="3"/>
  <c r="AY19" i="3"/>
  <c r="O50" i="2" l="1"/>
  <c r="G271" i="14"/>
  <c r="H140" i="13"/>
  <c r="DD119" i="3"/>
  <c r="AY137" i="3"/>
  <c r="L244" i="14"/>
  <c r="AY93" i="3"/>
  <c r="G62" i="13" s="1"/>
  <c r="G95" i="13" s="1"/>
  <c r="G49" i="13"/>
  <c r="AY94" i="3"/>
  <c r="G63" i="13" s="1"/>
  <c r="G50" i="13"/>
  <c r="AY92" i="3"/>
  <c r="G61" i="13" s="1"/>
  <c r="G91" i="13" s="1"/>
  <c r="G48" i="13"/>
  <c r="G55" i="13"/>
  <c r="G60" i="13"/>
  <c r="G90" i="13" s="1"/>
  <c r="G94" i="13" s="1"/>
  <c r="DD53" i="3"/>
  <c r="K31" i="13" s="1"/>
  <c r="DD54" i="3"/>
  <c r="K32" i="13" s="1"/>
  <c r="BC30" i="3"/>
  <c r="DD28" i="3"/>
  <c r="DD52" i="3"/>
  <c r="K30" i="13" s="1"/>
  <c r="AY124" i="3"/>
  <c r="H75" i="13" s="1"/>
  <c r="AZ29" i="3"/>
  <c r="AY68" i="3"/>
  <c r="AY55" i="3"/>
  <c r="AY104" i="3" s="1"/>
  <c r="AY134" i="3"/>
  <c r="H76" i="13" s="1"/>
  <c r="H141" i="13" s="1"/>
  <c r="AY184" i="3"/>
  <c r="AY190" i="3" s="1"/>
  <c r="AY71" i="3"/>
  <c r="DD71" i="3" s="1"/>
  <c r="DD137" i="3" l="1"/>
  <c r="G51" i="13"/>
  <c r="AY95" i="3"/>
  <c r="G64" i="13" s="1"/>
  <c r="AY113" i="3"/>
  <c r="O53" i="2"/>
  <c r="O95" i="2" s="1"/>
  <c r="AY56" i="3"/>
  <c r="AY187" i="3"/>
  <c r="AY191" i="3"/>
  <c r="D324" i="7"/>
  <c r="D325" i="7" s="1"/>
  <c r="M323" i="7"/>
  <c r="E321" i="7"/>
  <c r="G321" i="7" s="1"/>
  <c r="H321" i="7" s="1"/>
  <c r="I321" i="7" s="1"/>
  <c r="J321" i="7" s="1"/>
  <c r="K321" i="7" s="1"/>
  <c r="AY70" i="3" l="1"/>
  <c r="AY138" i="3" s="1"/>
  <c r="DD56" i="3"/>
  <c r="AY65" i="3"/>
  <c r="E324" i="7"/>
  <c r="S179" i="1"/>
  <c r="S144" i="1"/>
  <c r="S284" i="1"/>
  <c r="S277" i="1"/>
  <c r="S268" i="1"/>
  <c r="S185" i="1"/>
  <c r="S184" i="1"/>
  <c r="S208" i="1"/>
  <c r="S201" i="1"/>
  <c r="S199" i="1"/>
  <c r="S198" i="1"/>
  <c r="S169" i="1"/>
  <c r="S17" i="1"/>
  <c r="N115" i="2"/>
  <c r="N63" i="2"/>
  <c r="N42" i="2"/>
  <c r="O44" i="2" s="1"/>
  <c r="N30" i="2"/>
  <c r="N32" i="2" s="1"/>
  <c r="N21" i="2"/>
  <c r="N23" i="2" s="1"/>
  <c r="N12" i="2"/>
  <c r="N18" i="2" s="1"/>
  <c r="N3" i="2"/>
  <c r="DD70" i="3" l="1"/>
  <c r="K83" i="13" s="1"/>
  <c r="G238" i="14"/>
  <c r="O5" i="2"/>
  <c r="O4" i="2"/>
  <c r="N67" i="2"/>
  <c r="DG60" i="3"/>
  <c r="N47" i="2"/>
  <c r="N4" i="2"/>
  <c r="N5" i="2"/>
  <c r="N27" i="2"/>
  <c r="O28" i="2" s="1"/>
  <c r="N36" i="2"/>
  <c r="O37" i="2" s="1"/>
  <c r="E325" i="7"/>
  <c r="N43" i="2"/>
  <c r="N44" i="2"/>
  <c r="N31" i="2"/>
  <c r="N13" i="2"/>
  <c r="N14" i="2"/>
  <c r="N22" i="2"/>
  <c r="AX160" i="3"/>
  <c r="AX161" i="3" s="1"/>
  <c r="AX157" i="3"/>
  <c r="AX123" i="3"/>
  <c r="AX122" i="3"/>
  <c r="AX121" i="3"/>
  <c r="AX119" i="3"/>
  <c r="AX137" i="3" s="1"/>
  <c r="AX112" i="3"/>
  <c r="G74" i="13" s="1"/>
  <c r="AX99" i="3"/>
  <c r="AX36" i="3"/>
  <c r="AX35" i="3"/>
  <c r="F53" i="13" s="1"/>
  <c r="AX34" i="3"/>
  <c r="AX28" i="3"/>
  <c r="AX26" i="3"/>
  <c r="AX24" i="3"/>
  <c r="AX19" i="3"/>
  <c r="AX12" i="3"/>
  <c r="AX8" i="3"/>
  <c r="AX67" i="3"/>
  <c r="AX64" i="3"/>
  <c r="AX70" i="3"/>
  <c r="AX138" i="3" l="1"/>
  <c r="DC137" i="3"/>
  <c r="DC70" i="3"/>
  <c r="J83" i="13" s="1"/>
  <c r="F238" i="14"/>
  <c r="J244" i="14" s="1"/>
  <c r="K244" i="14"/>
  <c r="AX93" i="3"/>
  <c r="F62" i="13" s="1"/>
  <c r="F95" i="13" s="1"/>
  <c r="F49" i="13"/>
  <c r="AX94" i="3"/>
  <c r="F63" i="13" s="1"/>
  <c r="F50" i="13"/>
  <c r="AX92" i="3"/>
  <c r="F61" i="13" s="1"/>
  <c r="F91" i="13" s="1"/>
  <c r="F48" i="13"/>
  <c r="AY29" i="3"/>
  <c r="BB30" i="3"/>
  <c r="DC28" i="3"/>
  <c r="AX68" i="3"/>
  <c r="DC64" i="3"/>
  <c r="J84" i="13" s="1"/>
  <c r="AX124" i="3"/>
  <c r="G75" i="13" s="1"/>
  <c r="DC119" i="3"/>
  <c r="AX148" i="3"/>
  <c r="AX134" i="3"/>
  <c r="G76" i="13" s="1"/>
  <c r="G141" i="13" s="1"/>
  <c r="AX184" i="3"/>
  <c r="AX65" i="3"/>
  <c r="AX71" i="3"/>
  <c r="DC71" i="3" s="1"/>
  <c r="G324" i="7"/>
  <c r="CY133" i="3"/>
  <c r="CY112" i="3"/>
  <c r="G396" i="7" s="1"/>
  <c r="CY111" i="3"/>
  <c r="F272" i="14" s="1"/>
  <c r="CY63" i="3"/>
  <c r="CY62" i="3"/>
  <c r="CY61" i="3"/>
  <c r="CY60" i="3"/>
  <c r="CY57" i="3"/>
  <c r="CY42" i="3"/>
  <c r="F69" i="13" s="1"/>
  <c r="CY41" i="3"/>
  <c r="F68" i="13" s="1"/>
  <c r="CY40" i="3"/>
  <c r="F67" i="13" s="1"/>
  <c r="CY39" i="3"/>
  <c r="CY23" i="3"/>
  <c r="CY18" i="3"/>
  <c r="CY11" i="3"/>
  <c r="CY7" i="3"/>
  <c r="CY4" i="3"/>
  <c r="F29" i="13" s="1"/>
  <c r="F47" i="13" s="1"/>
  <c r="F271" i="14" l="1"/>
  <c r="G140" i="13"/>
  <c r="AX95" i="3"/>
  <c r="F64" i="13" s="1"/>
  <c r="F51" i="13"/>
  <c r="F55" i="13"/>
  <c r="F60" i="13"/>
  <c r="F90" i="13" s="1"/>
  <c r="F94" i="13" s="1"/>
  <c r="AX187" i="3"/>
  <c r="AX190" i="3"/>
  <c r="AX191" i="3" s="1"/>
  <c r="G325" i="7"/>
  <c r="H324" i="7"/>
  <c r="H325" i="7" l="1"/>
  <c r="I324" i="7"/>
  <c r="D271" i="7"/>
  <c r="D139" i="7"/>
  <c r="I325" i="7" l="1"/>
  <c r="J324" i="7"/>
  <c r="K194" i="7"/>
  <c r="K198" i="7" s="1"/>
  <c r="K208" i="7" s="1"/>
  <c r="H202" i="7"/>
  <c r="H204" i="7" s="1"/>
  <c r="G202" i="7"/>
  <c r="G204" i="7" s="1"/>
  <c r="E202" i="7"/>
  <c r="E204" i="7" s="1"/>
  <c r="D202" i="7"/>
  <c r="D204" i="7" s="1"/>
  <c r="J194" i="7"/>
  <c r="J198" i="7" s="1"/>
  <c r="J208" i="7" s="1"/>
  <c r="I194" i="7"/>
  <c r="H194" i="7"/>
  <c r="H198" i="7" s="1"/>
  <c r="H208" i="7" s="1"/>
  <c r="G194" i="7"/>
  <c r="G198" i="7" s="1"/>
  <c r="G208" i="7" s="1"/>
  <c r="E194" i="7"/>
  <c r="D194" i="7"/>
  <c r="D198" i="7" s="1"/>
  <c r="D208" i="7" s="1"/>
  <c r="J325" i="7" l="1"/>
  <c r="K324" i="7"/>
  <c r="E198" i="7"/>
  <c r="E208" i="7" s="1"/>
  <c r="I198" i="7"/>
  <c r="I208" i="7" s="1"/>
  <c r="K325" i="7" l="1"/>
  <c r="L324" i="7"/>
  <c r="L325" i="7" s="1"/>
  <c r="E314" i="7" l="1"/>
  <c r="G314" i="7" s="1"/>
  <c r="H314" i="7" s="1"/>
  <c r="I314" i="7" s="1"/>
  <c r="E305" i="7" l="1"/>
  <c r="G305" i="7" s="1"/>
  <c r="H305" i="7" s="1"/>
  <c r="I305" i="7" s="1"/>
  <c r="E295" i="7"/>
  <c r="G295" i="7" s="1"/>
  <c r="H295" i="7" s="1"/>
  <c r="I295" i="7" s="1"/>
  <c r="D283" i="7" l="1"/>
  <c r="D284" i="7" s="1"/>
  <c r="E284" i="7" s="1"/>
  <c r="E282" i="7"/>
  <c r="E285" i="7" l="1"/>
  <c r="N191" i="7"/>
  <c r="O191" i="7"/>
  <c r="K191" i="7"/>
  <c r="L191" i="7"/>
  <c r="M191" i="7"/>
  <c r="D273" i="7" l="1"/>
  <c r="D276" i="7" s="1"/>
  <c r="D278" i="7" l="1"/>
  <c r="E288" i="7"/>
  <c r="E287" i="7"/>
  <c r="AW184" i="3" l="1"/>
  <c r="AW187" i="3" s="1"/>
  <c r="CX133" i="3"/>
  <c r="CX112" i="3"/>
  <c r="CX111" i="3"/>
  <c r="E272" i="14" s="1"/>
  <c r="CX63" i="3"/>
  <c r="CX62" i="3"/>
  <c r="CX61" i="3"/>
  <c r="CX60" i="3"/>
  <c r="CX57" i="3"/>
  <c r="CX42" i="3"/>
  <c r="E69" i="13" s="1"/>
  <c r="CX41" i="3"/>
  <c r="E68" i="13" s="1"/>
  <c r="CX40" i="3"/>
  <c r="E67" i="13" s="1"/>
  <c r="CX39" i="3"/>
  <c r="CX23" i="3"/>
  <c r="CX18" i="3"/>
  <c r="CX11" i="3"/>
  <c r="CX7" i="3"/>
  <c r="CX4" i="3"/>
  <c r="E29" i="13" s="1"/>
  <c r="E47" i="13" s="1"/>
  <c r="AW160" i="3"/>
  <c r="AW161" i="3" s="1"/>
  <c r="AW157" i="3"/>
  <c r="AW123" i="3"/>
  <c r="AW122" i="3"/>
  <c r="AW121" i="3"/>
  <c r="AW119" i="3"/>
  <c r="AW137" i="3" s="1"/>
  <c r="AW112" i="3"/>
  <c r="F74" i="13" s="1"/>
  <c r="AW99" i="3"/>
  <c r="AW67" i="3"/>
  <c r="AW64" i="3"/>
  <c r="DB64" i="3" s="1"/>
  <c r="I84" i="13" s="1"/>
  <c r="AW54" i="3"/>
  <c r="AW53" i="3"/>
  <c r="DB53" i="3" s="1"/>
  <c r="I31" i="13" s="1"/>
  <c r="AW52" i="3"/>
  <c r="AW36" i="3"/>
  <c r="AW35" i="3"/>
  <c r="E53" i="13" s="1"/>
  <c r="AW34" i="3"/>
  <c r="AW28" i="3"/>
  <c r="AW26" i="3"/>
  <c r="AW24" i="3"/>
  <c r="E50" i="13" s="1"/>
  <c r="AW19" i="3"/>
  <c r="E49" i="13" s="1"/>
  <c r="AW12" i="3"/>
  <c r="E48" i="13" s="1"/>
  <c r="AW8" i="3"/>
  <c r="E271" i="14" l="1"/>
  <c r="F140" i="13"/>
  <c r="DB137" i="3"/>
  <c r="E51" i="13"/>
  <c r="E60" i="13"/>
  <c r="E90" i="13" s="1"/>
  <c r="E94" i="13" s="1"/>
  <c r="E55" i="13"/>
  <c r="DB54" i="3"/>
  <c r="I32" i="13" s="1"/>
  <c r="DB52" i="3"/>
  <c r="I30" i="13" s="1"/>
  <c r="AW55" i="3"/>
  <c r="AW104" i="3" s="1"/>
  <c r="DB119" i="3"/>
  <c r="AW124" i="3"/>
  <c r="F75" i="13" s="1"/>
  <c r="AW190" i="3"/>
  <c r="AX29" i="3"/>
  <c r="BA30" i="3"/>
  <c r="DB28" i="3"/>
  <c r="AW148" i="3"/>
  <c r="AW134" i="3"/>
  <c r="F76" i="13" s="1"/>
  <c r="F141" i="13" s="1"/>
  <c r="AW93" i="3"/>
  <c r="E62" i="13" s="1"/>
  <c r="E95" i="13" s="1"/>
  <c r="AW94" i="3"/>
  <c r="E63" i="13" s="1"/>
  <c r="AW92" i="3"/>
  <c r="E61" i="13" s="1"/>
  <c r="E91" i="13" s="1"/>
  <c r="AW68" i="3"/>
  <c r="AW71" i="3"/>
  <c r="DB71" i="3" s="1"/>
  <c r="AW56" i="3" l="1"/>
  <c r="DB56" i="3" s="1"/>
  <c r="AW191" i="3"/>
  <c r="AW95" i="3"/>
  <c r="E64" i="13" s="1"/>
  <c r="AW70" i="3" l="1"/>
  <c r="AW138" i="3" s="1"/>
  <c r="AW65" i="3"/>
  <c r="L22" i="6"/>
  <c r="S93" i="1"/>
  <c r="X113" i="9" s="1"/>
  <c r="T126" i="1"/>
  <c r="U126" i="1" s="1"/>
  <c r="V126" i="1" s="1"/>
  <c r="W126" i="1" s="1"/>
  <c r="X126" i="1" s="1"/>
  <c r="Y126" i="1" s="1"/>
  <c r="T123" i="1"/>
  <c r="U123" i="1" s="1"/>
  <c r="V123" i="1" s="1"/>
  <c r="W123" i="1" s="1"/>
  <c r="X123" i="1" s="1"/>
  <c r="Y123" i="1" s="1"/>
  <c r="Z123" i="1" s="1"/>
  <c r="AA123" i="1" s="1"/>
  <c r="AB123" i="1" s="1"/>
  <c r="AC123" i="1" s="1"/>
  <c r="AD123" i="1" s="1"/>
  <c r="S124" i="1"/>
  <c r="S127" i="1" s="1"/>
  <c r="AT160" i="3"/>
  <c r="AS160" i="3"/>
  <c r="AU189" i="3"/>
  <c r="AU186" i="3"/>
  <c r="AU181" i="3"/>
  <c r="AV181" i="3"/>
  <c r="AU182" i="3"/>
  <c r="AU178" i="3"/>
  <c r="AU179" i="3" s="1"/>
  <c r="I45" i="1"/>
  <c r="I42" i="1"/>
  <c r="E238" i="14" l="1"/>
  <c r="I244" i="14" s="1"/>
  <c r="DB70" i="3"/>
  <c r="I83" i="13" s="1"/>
  <c r="V93" i="1"/>
  <c r="AA113" i="9" s="1"/>
  <c r="W93" i="1"/>
  <c r="AB113" i="9" s="1"/>
  <c r="M22" i="6"/>
  <c r="P22" i="6"/>
  <c r="D15" i="12" s="1"/>
  <c r="S125" i="1"/>
  <c r="T125" i="1" s="1"/>
  <c r="T124" i="1" s="1"/>
  <c r="Q22" i="6"/>
  <c r="E15" i="12" s="1"/>
  <c r="Y93" i="1"/>
  <c r="AD113" i="9" s="1"/>
  <c r="Z126" i="1"/>
  <c r="S22" i="6" s="1"/>
  <c r="G15" i="12" s="1"/>
  <c r="T93" i="1"/>
  <c r="Y113" i="9" s="1"/>
  <c r="X93" i="1"/>
  <c r="AC113" i="9" s="1"/>
  <c r="N22" i="6"/>
  <c r="R22" i="6"/>
  <c r="F15" i="12" s="1"/>
  <c r="U93" i="1"/>
  <c r="Z113" i="9" s="1"/>
  <c r="O22" i="6"/>
  <c r="C15" i="12" s="1"/>
  <c r="AU160" i="3"/>
  <c r="AU161" i="3" s="1"/>
  <c r="M264" i="7"/>
  <c r="L264" i="7"/>
  <c r="K264" i="7"/>
  <c r="J264" i="7"/>
  <c r="I264" i="7"/>
  <c r="H264" i="7"/>
  <c r="G264" i="7"/>
  <c r="E264" i="7"/>
  <c r="D264" i="7"/>
  <c r="M265" i="7"/>
  <c r="L265" i="7"/>
  <c r="K265" i="7"/>
  <c r="J265" i="7"/>
  <c r="I265" i="7"/>
  <c r="H265" i="7"/>
  <c r="G265" i="7"/>
  <c r="E265" i="7"/>
  <c r="D265" i="7"/>
  <c r="U125" i="1" l="1"/>
  <c r="V125" i="1" s="1"/>
  <c r="Z93" i="1"/>
  <c r="AE113" i="9" s="1"/>
  <c r="AA126" i="1"/>
  <c r="T22" i="6" s="1"/>
  <c r="AU184" i="3"/>
  <c r="AV133" i="3"/>
  <c r="DA133" i="3" l="1"/>
  <c r="AV177" i="3"/>
  <c r="AV179" i="3" s="1"/>
  <c r="AV184" i="3" s="1"/>
  <c r="U124" i="1"/>
  <c r="AB126" i="1"/>
  <c r="U22" i="6" s="1"/>
  <c r="AA93" i="1"/>
  <c r="AF113" i="9" s="1"/>
  <c r="W125" i="1"/>
  <c r="V124" i="1"/>
  <c r="AU187" i="3"/>
  <c r="AX172" i="3"/>
  <c r="AY172" i="3"/>
  <c r="AU190" i="3"/>
  <c r="AW172" i="3"/>
  <c r="AV172" i="3"/>
  <c r="AV160" i="3"/>
  <c r="AV161" i="3" s="1"/>
  <c r="AV111" i="3"/>
  <c r="AV57" i="3"/>
  <c r="H271" i="14" l="1"/>
  <c r="I140" i="13"/>
  <c r="AW173" i="3"/>
  <c r="AY173" i="3"/>
  <c r="AZ173" i="3"/>
  <c r="AX173" i="3"/>
  <c r="N108" i="2"/>
  <c r="N103" i="2" s="1"/>
  <c r="N104" i="2" s="1"/>
  <c r="DA57" i="3"/>
  <c r="D235" i="14"/>
  <c r="H243" i="14" s="1"/>
  <c r="AB93" i="1"/>
  <c r="AG113" i="9" s="1"/>
  <c r="AC126" i="1"/>
  <c r="V22" i="6" s="1"/>
  <c r="X125" i="1"/>
  <c r="W124" i="1"/>
  <c r="DA112" i="3"/>
  <c r="I396" i="7" s="1"/>
  <c r="DA111" i="3"/>
  <c r="H272" i="14" s="1"/>
  <c r="AU191" i="3"/>
  <c r="AV190" i="3"/>
  <c r="AV191" i="3" s="1"/>
  <c r="AV187" i="3"/>
  <c r="AV119" i="3"/>
  <c r="AV137" i="3" s="1"/>
  <c r="AV157" i="3"/>
  <c r="AU157" i="3"/>
  <c r="DA137" i="3" l="1"/>
  <c r="AC93" i="1"/>
  <c r="AH113" i="9" s="1"/>
  <c r="AD126" i="1"/>
  <c r="DA119" i="3"/>
  <c r="AV124" i="3"/>
  <c r="E75" i="13" s="1"/>
  <c r="Y125" i="1"/>
  <c r="X124" i="1"/>
  <c r="CW42" i="3"/>
  <c r="D69" i="13" s="1"/>
  <c r="CW41" i="3"/>
  <c r="D68" i="13" s="1"/>
  <c r="CW40" i="3"/>
  <c r="D67" i="13" s="1"/>
  <c r="CW39" i="3"/>
  <c r="CW63" i="3"/>
  <c r="CW62" i="3"/>
  <c r="CW61" i="3"/>
  <c r="CW60" i="3"/>
  <c r="CW23" i="3"/>
  <c r="CW18" i="3"/>
  <c r="CW11" i="3"/>
  <c r="CW7" i="3"/>
  <c r="CW4" i="3"/>
  <c r="D29" i="13" s="1"/>
  <c r="D47" i="13" s="1"/>
  <c r="AV123" i="3"/>
  <c r="AV122" i="3"/>
  <c r="AV121" i="3"/>
  <c r="AV112" i="3"/>
  <c r="E74" i="13" s="1"/>
  <c r="AV99" i="3"/>
  <c r="AV67" i="3"/>
  <c r="AV64" i="3"/>
  <c r="DA64" i="3" s="1"/>
  <c r="H84" i="13" s="1"/>
  <c r="AV54" i="3"/>
  <c r="AV53" i="3"/>
  <c r="DA53" i="3" s="1"/>
  <c r="H31" i="13" s="1"/>
  <c r="AV52" i="3"/>
  <c r="AV36" i="3"/>
  <c r="AV35" i="3"/>
  <c r="D53" i="13" s="1"/>
  <c r="AV34" i="3"/>
  <c r="AU16" i="3"/>
  <c r="AV16" i="3"/>
  <c r="AV28" i="3"/>
  <c r="AV26" i="3"/>
  <c r="AV24" i="3"/>
  <c r="D50" i="13" s="1"/>
  <c r="AV21" i="3"/>
  <c r="AV19" i="3"/>
  <c r="D49" i="13" s="1"/>
  <c r="AV12" i="3"/>
  <c r="D48" i="13" s="1"/>
  <c r="AV8" i="3"/>
  <c r="D51" i="13" l="1"/>
  <c r="D60" i="13"/>
  <c r="D90" i="13" s="1"/>
  <c r="D94" i="13" s="1"/>
  <c r="D55" i="13"/>
  <c r="AD93" i="1"/>
  <c r="AI113" i="9" s="1"/>
  <c r="W22" i="6"/>
  <c r="Y124" i="1"/>
  <c r="Z125" i="1"/>
  <c r="DA52" i="3"/>
  <c r="H30" i="13" s="1"/>
  <c r="AV55" i="3"/>
  <c r="AV104" i="3" s="1"/>
  <c r="DA54" i="3"/>
  <c r="H32" i="13" s="1"/>
  <c r="AZ30" i="3"/>
  <c r="DA28" i="3"/>
  <c r="AV148" i="3"/>
  <c r="AV134" i="3"/>
  <c r="E76" i="13" s="1"/>
  <c r="E141" i="13" s="1"/>
  <c r="AV25" i="3"/>
  <c r="AV71" i="3"/>
  <c r="DA71" i="3" s="1"/>
  <c r="AW29" i="3"/>
  <c r="AV68" i="3"/>
  <c r="AV92" i="3"/>
  <c r="D61" i="13" s="1"/>
  <c r="D91" i="13" s="1"/>
  <c r="AV13" i="3"/>
  <c r="AV93" i="3"/>
  <c r="D62" i="13" s="1"/>
  <c r="D95" i="13" s="1"/>
  <c r="AV20" i="3"/>
  <c r="AV94" i="3"/>
  <c r="D63" i="13" s="1"/>
  <c r="CV4" i="3"/>
  <c r="C29" i="13" s="1"/>
  <c r="C47" i="13" s="1"/>
  <c r="CV63" i="3"/>
  <c r="CV62" i="3"/>
  <c r="CV61" i="3"/>
  <c r="CV60" i="3"/>
  <c r="CV57" i="3"/>
  <c r="CV42" i="3"/>
  <c r="C69" i="13" s="1"/>
  <c r="CV41" i="3"/>
  <c r="C68" i="13" s="1"/>
  <c r="CV40" i="3"/>
  <c r="C67" i="13" s="1"/>
  <c r="CV39" i="3"/>
  <c r="CV23" i="3"/>
  <c r="CV18" i="3"/>
  <c r="CV11" i="3"/>
  <c r="CV7" i="3"/>
  <c r="AV56" i="3" l="1"/>
  <c r="DA56" i="3" s="1"/>
  <c r="C55" i="13"/>
  <c r="C60" i="13"/>
  <c r="C90" i="13" s="1"/>
  <c r="C94" i="13" s="1"/>
  <c r="Z124" i="1"/>
  <c r="AA125" i="1"/>
  <c r="AV95" i="3"/>
  <c r="D64" i="13" s="1"/>
  <c r="CT111" i="3"/>
  <c r="CU111" i="3"/>
  <c r="CG115" i="3"/>
  <c r="CG116" i="3" s="1"/>
  <c r="AV65" i="3" l="1"/>
  <c r="AV70" i="3"/>
  <c r="AV138" i="3" s="1"/>
  <c r="AB125" i="1"/>
  <c r="AA124" i="1"/>
  <c r="AU99" i="3"/>
  <c r="D238" i="14" l="1"/>
  <c r="H244" i="14" s="1"/>
  <c r="DA70" i="3"/>
  <c r="H83" i="13" s="1"/>
  <c r="AB124" i="1"/>
  <c r="AC125" i="1"/>
  <c r="AU148" i="3"/>
  <c r="AU134" i="3"/>
  <c r="D76" i="13" s="1"/>
  <c r="D141" i="13" s="1"/>
  <c r="AU123" i="3"/>
  <c r="AU122" i="3"/>
  <c r="AU121" i="3"/>
  <c r="AU119" i="3"/>
  <c r="AU137" i="3" s="1"/>
  <c r="AU103" i="3"/>
  <c r="AU67" i="3"/>
  <c r="AU64" i="3"/>
  <c r="CZ64" i="3" s="1"/>
  <c r="G84" i="13" s="1"/>
  <c r="AU36" i="3"/>
  <c r="AU35" i="3"/>
  <c r="C53" i="13" s="1"/>
  <c r="AU34" i="3"/>
  <c r="AU8" i="3"/>
  <c r="AU28" i="3"/>
  <c r="CZ28" i="3" s="1"/>
  <c r="AU26" i="3"/>
  <c r="AU24" i="3"/>
  <c r="C50" i="13" s="1"/>
  <c r="AU12" i="3"/>
  <c r="C48" i="13" s="1"/>
  <c r="AU21" i="3"/>
  <c r="AU19" i="3"/>
  <c r="C49" i="13" s="1"/>
  <c r="AU54" i="3"/>
  <c r="AU53" i="3"/>
  <c r="AU52" i="3"/>
  <c r="CZ137" i="3" l="1"/>
  <c r="C51" i="13"/>
  <c r="AD125" i="1"/>
  <c r="AD124" i="1" s="1"/>
  <c r="AC124" i="1"/>
  <c r="AU107" i="3"/>
  <c r="CZ107" i="3" s="1"/>
  <c r="AU55" i="3"/>
  <c r="AU104" i="3" s="1"/>
  <c r="CZ119" i="3"/>
  <c r="AU124" i="3"/>
  <c r="D75" i="13" s="1"/>
  <c r="N50" i="2"/>
  <c r="CZ52" i="3"/>
  <c r="G30" i="13" s="1"/>
  <c r="N52" i="2"/>
  <c r="CZ54" i="3"/>
  <c r="G32" i="13" s="1"/>
  <c r="N51" i="2"/>
  <c r="CZ53" i="3"/>
  <c r="G31" i="13" s="1"/>
  <c r="CZ103" i="3"/>
  <c r="AV29" i="3"/>
  <c r="AY30" i="3"/>
  <c r="AU112" i="3"/>
  <c r="D74" i="13" s="1"/>
  <c r="AU93" i="3"/>
  <c r="C62" i="13" s="1"/>
  <c r="C95" i="13" s="1"/>
  <c r="AU92" i="3"/>
  <c r="C61" i="13" s="1"/>
  <c r="C91" i="13" s="1"/>
  <c r="AU94" i="3"/>
  <c r="C63" i="13" s="1"/>
  <c r="AU71" i="3"/>
  <c r="CZ71" i="3" s="1"/>
  <c r="AU68" i="3"/>
  <c r="C1064" i="4"/>
  <c r="N53" i="2" l="1"/>
  <c r="N110" i="2" s="1"/>
  <c r="G33" i="13"/>
  <c r="G85" i="13"/>
  <c r="AU56" i="3"/>
  <c r="CZ56" i="3" s="1"/>
  <c r="H394" i="7"/>
  <c r="H395" i="7" s="1"/>
  <c r="AU95" i="3"/>
  <c r="C64" i="13" s="1"/>
  <c r="C257" i="7"/>
  <c r="C256" i="7"/>
  <c r="C255" i="7"/>
  <c r="O17" i="2"/>
  <c r="E248" i="7"/>
  <c r="G248" i="7" s="1"/>
  <c r="H248" i="7" s="1"/>
  <c r="I248" i="7" s="1"/>
  <c r="J248" i="7" s="1"/>
  <c r="K248" i="7" s="1"/>
  <c r="L248" i="7" s="1"/>
  <c r="M248" i="7" s="1"/>
  <c r="N248" i="7" s="1"/>
  <c r="O248" i="7" s="1"/>
  <c r="P248" i="7" s="1"/>
  <c r="Q248" i="7" s="1"/>
  <c r="R248" i="7" s="1"/>
  <c r="S248" i="7" s="1"/>
  <c r="T248" i="7" s="1"/>
  <c r="U248" i="7" s="1"/>
  <c r="V248" i="7" s="1"/>
  <c r="N54" i="2" l="1"/>
  <c r="N59" i="2" s="1"/>
  <c r="N111" i="2" s="1"/>
  <c r="N95" i="2"/>
  <c r="P17" i="2"/>
  <c r="O18" i="2"/>
  <c r="O19" i="2" s="1"/>
  <c r="AU65" i="3"/>
  <c r="AU70" i="3"/>
  <c r="AU138" i="3" s="1"/>
  <c r="E229" i="7"/>
  <c r="D229" i="7"/>
  <c r="E227" i="7"/>
  <c r="E224" i="7" s="1"/>
  <c r="E222" i="7" s="1"/>
  <c r="E231" i="7"/>
  <c r="E233" i="7" s="1"/>
  <c r="E235" i="7"/>
  <c r="E234" i="7"/>
  <c r="E238" i="7" s="1"/>
  <c r="D236" i="7"/>
  <c r="D238" i="7"/>
  <c r="D224" i="7"/>
  <c r="D222" i="7" s="1"/>
  <c r="D233" i="7"/>
  <c r="CZ70" i="3" l="1"/>
  <c r="G83" i="13" s="1"/>
  <c r="C238" i="14"/>
  <c r="G244" i="14" s="1"/>
  <c r="Q17" i="2"/>
  <c r="P18" i="2"/>
  <c r="P19" i="2" s="1"/>
  <c r="E236" i="7"/>
  <c r="E239" i="7"/>
  <c r="D239" i="7"/>
  <c r="R17" i="2" l="1"/>
  <c r="Q18" i="2"/>
  <c r="Q19" i="2" s="1"/>
  <c r="D240" i="7"/>
  <c r="D242" i="7" s="1"/>
  <c r="D243" i="7" s="1"/>
  <c r="E240" i="7"/>
  <c r="E242" i="7" s="1"/>
  <c r="E243" i="7" s="1"/>
  <c r="S17" i="2" l="1"/>
  <c r="R18" i="2"/>
  <c r="R19" i="2" s="1"/>
  <c r="D245" i="7"/>
  <c r="E245" i="7"/>
  <c r="T17" i="2" l="1"/>
  <c r="S18" i="2"/>
  <c r="S19" i="2" s="1"/>
  <c r="AT170" i="3"/>
  <c r="R284" i="1"/>
  <c r="R179" i="1"/>
  <c r="R277" i="1"/>
  <c r="R268" i="1"/>
  <c r="R236" i="1"/>
  <c r="R219" i="1"/>
  <c r="R209" i="1"/>
  <c r="R208" i="1"/>
  <c r="R200" i="1"/>
  <c r="R202" i="1" s="1"/>
  <c r="R198" i="1"/>
  <c r="R159" i="1"/>
  <c r="R144" i="1"/>
  <c r="R17" i="1"/>
  <c r="R14" i="1"/>
  <c r="R13" i="1"/>
  <c r="M115" i="2"/>
  <c r="M105" i="2"/>
  <c r="R169" i="1" l="1"/>
  <c r="R92" i="1"/>
  <c r="R24" i="1"/>
  <c r="T18" i="2"/>
  <c r="T19" i="2" s="1"/>
  <c r="U17" i="2"/>
  <c r="DG63" i="3"/>
  <c r="AT184" i="3"/>
  <c r="R201" i="1"/>
  <c r="M47" i="2"/>
  <c r="M44" i="2"/>
  <c r="M43" i="2"/>
  <c r="M36" i="2"/>
  <c r="N37" i="2" s="1"/>
  <c r="M27" i="2"/>
  <c r="N28" i="2" s="1"/>
  <c r="M18" i="2"/>
  <c r="N19" i="2" s="1"/>
  <c r="M14" i="2"/>
  <c r="M13" i="2"/>
  <c r="M5" i="2"/>
  <c r="M4" i="2"/>
  <c r="M97" i="2"/>
  <c r="U18" i="2" l="1"/>
  <c r="U19" i="2" s="1"/>
  <c r="V17" i="2"/>
  <c r="AT187" i="3"/>
  <c r="AT190" i="3"/>
  <c r="M114" i="2"/>
  <c r="M101" i="2"/>
  <c r="AT167" i="3"/>
  <c r="AT157" i="3"/>
  <c r="AT123" i="3"/>
  <c r="AT122" i="3"/>
  <c r="AT121" i="3"/>
  <c r="AT119" i="3"/>
  <c r="AT137" i="3" s="1"/>
  <c r="AT103" i="3"/>
  <c r="AT99" i="3"/>
  <c r="AT67" i="3"/>
  <c r="AT64" i="3"/>
  <c r="AT54" i="3"/>
  <c r="AT53" i="3"/>
  <c r="AT52" i="3"/>
  <c r="CU133" i="3"/>
  <c r="C140" i="13" s="1"/>
  <c r="CU63" i="3"/>
  <c r="CU62" i="3"/>
  <c r="CU61" i="3"/>
  <c r="CU60" i="3"/>
  <c r="CU57" i="3"/>
  <c r="CU42" i="3"/>
  <c r="CU41" i="3"/>
  <c r="CU40" i="3"/>
  <c r="CU39" i="3"/>
  <c r="CU23" i="3"/>
  <c r="CU18" i="3"/>
  <c r="CU11" i="3"/>
  <c r="CU7" i="3"/>
  <c r="CU4" i="3"/>
  <c r="AT36" i="3"/>
  <c r="AT35" i="3"/>
  <c r="AT34" i="3"/>
  <c r="AT8" i="3"/>
  <c r="AT28" i="3"/>
  <c r="AT26" i="3"/>
  <c r="AT24" i="3"/>
  <c r="AT21" i="3"/>
  <c r="AT19" i="3"/>
  <c r="AT12" i="3"/>
  <c r="CY137" i="3" l="1"/>
  <c r="W17" i="2"/>
  <c r="V18" i="2"/>
  <c r="V19" i="2" s="1"/>
  <c r="CY119" i="3"/>
  <c r="AT124" i="3"/>
  <c r="C75" i="13" s="1"/>
  <c r="AT107" i="3"/>
  <c r="CY107" i="3" s="1"/>
  <c r="AT55" i="3"/>
  <c r="AT104" i="3" s="1"/>
  <c r="AT148" i="3"/>
  <c r="AT134" i="3"/>
  <c r="C76" i="13" s="1"/>
  <c r="C141" i="13" s="1"/>
  <c r="CY53" i="3"/>
  <c r="F31" i="13" s="1"/>
  <c r="AX30" i="3"/>
  <c r="CY28" i="3"/>
  <c r="CY52" i="3"/>
  <c r="F30" i="13" s="1"/>
  <c r="CY54" i="3"/>
  <c r="F32" i="13" s="1"/>
  <c r="AT68" i="3"/>
  <c r="CY64" i="3"/>
  <c r="F84" i="13" s="1"/>
  <c r="AT112" i="3"/>
  <c r="C74" i="13" s="1"/>
  <c r="CY103" i="3"/>
  <c r="AT92" i="3"/>
  <c r="AT93" i="3"/>
  <c r="AT94" i="3"/>
  <c r="AT191" i="3"/>
  <c r="AU29" i="3"/>
  <c r="AT71" i="3"/>
  <c r="CY71" i="3" s="1"/>
  <c r="AS170" i="3"/>
  <c r="AR170" i="3"/>
  <c r="AS167" i="3"/>
  <c r="AR167" i="3"/>
  <c r="AT56" i="3" l="1"/>
  <c r="CY56" i="3" s="1"/>
  <c r="F33" i="13"/>
  <c r="F85" i="13"/>
  <c r="T66" i="2"/>
  <c r="U66" i="2" s="1"/>
  <c r="X17" i="2"/>
  <c r="W18" i="2"/>
  <c r="W19" i="2" s="1"/>
  <c r="G394" i="7"/>
  <c r="G395" i="7" s="1"/>
  <c r="AT95" i="3"/>
  <c r="CT133" i="3"/>
  <c r="AT70" i="3" l="1"/>
  <c r="AT138" i="3" s="1"/>
  <c r="AT65" i="3"/>
  <c r="Y17" i="2"/>
  <c r="Y18" i="2" s="1"/>
  <c r="X18" i="2"/>
  <c r="X19" i="2" s="1"/>
  <c r="V66" i="2"/>
  <c r="U105" i="2"/>
  <c r="CY70" i="3"/>
  <c r="F83" i="13" s="1"/>
  <c r="AS184" i="3"/>
  <c r="Y19" i="2" l="1"/>
  <c r="W66" i="2"/>
  <c r="V105" i="2"/>
  <c r="AS187" i="3"/>
  <c r="AS190" i="3"/>
  <c r="AO57" i="3"/>
  <c r="CT63" i="3"/>
  <c r="CT62" i="3"/>
  <c r="CT61" i="3"/>
  <c r="CT60" i="3"/>
  <c r="CT42" i="3"/>
  <c r="CT41" i="3"/>
  <c r="CT40" i="3"/>
  <c r="CT39" i="3"/>
  <c r="CT23" i="3"/>
  <c r="CT18" i="3"/>
  <c r="CT11" i="3"/>
  <c r="CT7" i="3"/>
  <c r="CT4" i="3"/>
  <c r="CS23" i="3"/>
  <c r="CS18" i="3"/>
  <c r="CS11" i="3"/>
  <c r="CS7" i="3"/>
  <c r="AS157" i="3"/>
  <c r="AS123" i="3"/>
  <c r="AS122" i="3"/>
  <c r="AS121" i="3"/>
  <c r="AS119" i="3"/>
  <c r="AS137" i="3" s="1"/>
  <c r="AS103" i="3"/>
  <c r="AS99" i="3"/>
  <c r="AS67" i="3"/>
  <c r="AS64" i="3"/>
  <c r="CX64" i="3" s="1"/>
  <c r="E84" i="13" s="1"/>
  <c r="AS54" i="3"/>
  <c r="AS53" i="3"/>
  <c r="AS52" i="3"/>
  <c r="AS36" i="3"/>
  <c r="AS35" i="3"/>
  <c r="AS34" i="3"/>
  <c r="AS28" i="3"/>
  <c r="AS26" i="3"/>
  <c r="AS24" i="3"/>
  <c r="AS21" i="3"/>
  <c r="AS19" i="3"/>
  <c r="AS12" i="3"/>
  <c r="AS8" i="3"/>
  <c r="CX137" i="3" l="1"/>
  <c r="W105" i="2"/>
  <c r="X66" i="2"/>
  <c r="AS55" i="3"/>
  <c r="AS104" i="3" s="1"/>
  <c r="CX119" i="3"/>
  <c r="AS124" i="3"/>
  <c r="AS148" i="3"/>
  <c r="AS134" i="3"/>
  <c r="CX103" i="3"/>
  <c r="AS107" i="3"/>
  <c r="CX107" i="3" s="1"/>
  <c r="AS94" i="3"/>
  <c r="AS92" i="3"/>
  <c r="AS93" i="3"/>
  <c r="CT57" i="3"/>
  <c r="AW30" i="3"/>
  <c r="CX28" i="3"/>
  <c r="CX52" i="3"/>
  <c r="E30" i="13" s="1"/>
  <c r="CX53" i="3"/>
  <c r="E31" i="13" s="1"/>
  <c r="CX54" i="3"/>
  <c r="E32" i="13" s="1"/>
  <c r="AS112" i="3"/>
  <c r="AS68" i="3"/>
  <c r="AT29" i="3"/>
  <c r="AS191" i="3"/>
  <c r="AS71" i="3"/>
  <c r="CX71" i="3" s="1"/>
  <c r="AQ186" i="3"/>
  <c r="AR181" i="3"/>
  <c r="AQ178" i="3"/>
  <c r="AS56" i="3" l="1"/>
  <c r="AS65" i="3" s="1"/>
  <c r="E33" i="13"/>
  <c r="E85" i="13"/>
  <c r="Y66" i="2"/>
  <c r="Y105" i="2" s="1"/>
  <c r="X105" i="2"/>
  <c r="AS95" i="3"/>
  <c r="AQ147" i="3"/>
  <c r="R44" i="1" s="1"/>
  <c r="AR123" i="3"/>
  <c r="AR122" i="3"/>
  <c r="AR121" i="3"/>
  <c r="CS42" i="3"/>
  <c r="CS41" i="3"/>
  <c r="CS40" i="3"/>
  <c r="CS39" i="3"/>
  <c r="CR41" i="3"/>
  <c r="CR40" i="3"/>
  <c r="CR39" i="3"/>
  <c r="AR133" i="3"/>
  <c r="AR177" i="3" s="1"/>
  <c r="AR179" i="3" s="1"/>
  <c r="AR126" i="3"/>
  <c r="AR172" i="3" s="1"/>
  <c r="AR111" i="3"/>
  <c r="AR57" i="3"/>
  <c r="AP135" i="3"/>
  <c r="AO135" i="3"/>
  <c r="AN135" i="3"/>
  <c r="AM135" i="3"/>
  <c r="AR54" i="3"/>
  <c r="AR53" i="3"/>
  <c r="AR52" i="3"/>
  <c r="AR36" i="3"/>
  <c r="AR35" i="3"/>
  <c r="AR24" i="3"/>
  <c r="AR19" i="3"/>
  <c r="AR12" i="3"/>
  <c r="AR8" i="3"/>
  <c r="AS70" i="3" l="1"/>
  <c r="AS138" i="3" s="1"/>
  <c r="CX56" i="3"/>
  <c r="CW112" i="3"/>
  <c r="E396" i="7" s="1"/>
  <c r="AR92" i="3"/>
  <c r="AR93" i="3"/>
  <c r="AR94" i="3"/>
  <c r="AU172" i="3"/>
  <c r="AR160" i="3"/>
  <c r="CX70" i="3"/>
  <c r="E83" i="13" s="1"/>
  <c r="CW54" i="3"/>
  <c r="D32" i="13" s="1"/>
  <c r="AR184" i="3"/>
  <c r="CW133" i="3"/>
  <c r="CW57" i="3"/>
  <c r="CW52" i="3"/>
  <c r="D30" i="13" s="1"/>
  <c r="CW111" i="3"/>
  <c r="D272" i="14" s="1"/>
  <c r="CW53" i="3"/>
  <c r="D31" i="13" s="1"/>
  <c r="AQ111" i="3"/>
  <c r="CS111" i="3"/>
  <c r="AT151" i="3"/>
  <c r="CS126" i="3"/>
  <c r="AR157" i="3"/>
  <c r="AQ133" i="3"/>
  <c r="AQ177" i="3" s="1"/>
  <c r="AQ179" i="3" s="1"/>
  <c r="AR103" i="3"/>
  <c r="AR55" i="3" s="1"/>
  <c r="AR104" i="3" s="1"/>
  <c r="AR135" i="3"/>
  <c r="AR119" i="3"/>
  <c r="AR137" i="3" s="1"/>
  <c r="AQ149" i="3"/>
  <c r="CS133" i="3"/>
  <c r="D271" i="14" l="1"/>
  <c r="E140" i="13"/>
  <c r="AV173" i="3"/>
  <c r="AR56" i="3"/>
  <c r="CW56" i="3" s="1"/>
  <c r="CW137" i="3"/>
  <c r="M108" i="2"/>
  <c r="M103" i="2" s="1"/>
  <c r="M104" i="2" s="1"/>
  <c r="CW119" i="3"/>
  <c r="AR124" i="3"/>
  <c r="CW103" i="3"/>
  <c r="AR107" i="3"/>
  <c r="CW107" i="3" s="1"/>
  <c r="AQ160" i="3"/>
  <c r="AR95" i="3"/>
  <c r="AR187" i="3"/>
  <c r="AR190" i="3"/>
  <c r="AR191" i="3" s="1"/>
  <c r="CV111" i="3"/>
  <c r="C272" i="14" s="1"/>
  <c r="CV112" i="3"/>
  <c r="D396" i="7" s="1"/>
  <c r="AR112" i="3"/>
  <c r="CV133" i="3"/>
  <c r="AT172" i="3"/>
  <c r="AU173" i="3" s="1"/>
  <c r="AQ119" i="3"/>
  <c r="AQ137" i="3" s="1"/>
  <c r="AS172" i="3"/>
  <c r="AQ135" i="3"/>
  <c r="AR136" i="3" s="1"/>
  <c r="CR133" i="3"/>
  <c r="AQ157" i="3"/>
  <c r="AT158" i="3" s="1"/>
  <c r="T275" i="1"/>
  <c r="X275" i="1" s="1"/>
  <c r="Y275" i="1" s="1"/>
  <c r="Z275" i="1" s="1"/>
  <c r="Q336" i="1"/>
  <c r="P336" i="1"/>
  <c r="O336" i="1"/>
  <c r="AQ170" i="3"/>
  <c r="AQ172" i="3" s="1"/>
  <c r="C271" i="14" l="1"/>
  <c r="D140" i="13"/>
  <c r="CV137" i="3"/>
  <c r="D33" i="13"/>
  <c r="D85" i="13"/>
  <c r="T63" i="2"/>
  <c r="U63" i="2" s="1"/>
  <c r="V63" i="2" s="1"/>
  <c r="W63" i="2" s="1"/>
  <c r="X63" i="2" s="1"/>
  <c r="Y63" i="2" s="1"/>
  <c r="AA275" i="1"/>
  <c r="Z277" i="1"/>
  <c r="Z318" i="1" s="1"/>
  <c r="Z32" i="1"/>
  <c r="S24" i="6" s="1"/>
  <c r="G17" i="12" s="1"/>
  <c r="CV119" i="3"/>
  <c r="AQ124" i="3"/>
  <c r="E394" i="7"/>
  <c r="E395" i="7" s="1"/>
  <c r="AR21" i="3"/>
  <c r="AR26" i="3"/>
  <c r="AQ103" i="3"/>
  <c r="AB275" i="1" l="1"/>
  <c r="AA277" i="1"/>
  <c r="AA318" i="1" s="1"/>
  <c r="AA32" i="1"/>
  <c r="T24" i="6" s="1"/>
  <c r="AQ107" i="3"/>
  <c r="CV107" i="3" s="1"/>
  <c r="AQ112" i="3"/>
  <c r="CV103" i="3"/>
  <c r="AP103" i="3"/>
  <c r="AO103" i="3"/>
  <c r="AN103" i="3"/>
  <c r="AM103" i="3"/>
  <c r="AL103" i="3"/>
  <c r="AK103" i="3"/>
  <c r="AJ103" i="3"/>
  <c r="AI103" i="3"/>
  <c r="AH103" i="3"/>
  <c r="AG103" i="3"/>
  <c r="AF103" i="3"/>
  <c r="AE103" i="3"/>
  <c r="AD103" i="3"/>
  <c r="AD55" i="3" s="1"/>
  <c r="AC103" i="3"/>
  <c r="AD56" i="3" l="1"/>
  <c r="AD104" i="3"/>
  <c r="C33" i="13"/>
  <c r="C85" i="13"/>
  <c r="AB277" i="1"/>
  <c r="AB318" i="1" s="1"/>
  <c r="AC275" i="1"/>
  <c r="AB32" i="1"/>
  <c r="U24" i="6" s="1"/>
  <c r="AI105" i="3"/>
  <c r="AF105" i="3"/>
  <c r="AJ105" i="3"/>
  <c r="CS103" i="3"/>
  <c r="AE105" i="3"/>
  <c r="AE55" i="3"/>
  <c r="AE104" i="3" s="1"/>
  <c r="AM106" i="3"/>
  <c r="AC106" i="3"/>
  <c r="AC55" i="3"/>
  <c r="AG106" i="3"/>
  <c r="AG55" i="3"/>
  <c r="CU103" i="3"/>
  <c r="D394" i="7"/>
  <c r="D395" i="7" s="1"/>
  <c r="AO106" i="3"/>
  <c r="CT103" i="3"/>
  <c r="AN105" i="3"/>
  <c r="CR103" i="3"/>
  <c r="CO103" i="3"/>
  <c r="CK103" i="3"/>
  <c r="AH106" i="3"/>
  <c r="CI103" i="3"/>
  <c r="AP106" i="3"/>
  <c r="CQ103" i="3"/>
  <c r="AH105" i="3"/>
  <c r="AL106" i="3"/>
  <c r="CM103" i="3"/>
  <c r="AL105" i="3"/>
  <c r="AQ106" i="3"/>
  <c r="AQ105" i="3"/>
  <c r="AP105" i="3"/>
  <c r="AG105" i="3"/>
  <c r="AO105" i="3"/>
  <c r="CJ103" i="3"/>
  <c r="CN103" i="3"/>
  <c r="AC105" i="3"/>
  <c r="CH103" i="3"/>
  <c r="CL103" i="3"/>
  <c r="CP103" i="3"/>
  <c r="AE106" i="3"/>
  <c r="AI106" i="3"/>
  <c r="AF106" i="3"/>
  <c r="AN106" i="3"/>
  <c r="AM105" i="3"/>
  <c r="AJ106" i="3"/>
  <c r="AQ26" i="3"/>
  <c r="AP26" i="3"/>
  <c r="AO26" i="3"/>
  <c r="AN26" i="3"/>
  <c r="AQ21" i="3"/>
  <c r="AP21" i="3"/>
  <c r="AO21" i="3"/>
  <c r="AN21" i="3"/>
  <c r="AC56" i="3" l="1"/>
  <c r="AC104" i="3"/>
  <c r="AG56" i="3"/>
  <c r="AG104" i="3"/>
  <c r="CN105" i="3"/>
  <c r="CJ105" i="3"/>
  <c r="AC277" i="1"/>
  <c r="AC318" i="1" s="1"/>
  <c r="AD275" i="1"/>
  <c r="AC32" i="1"/>
  <c r="V24" i="6" s="1"/>
  <c r="CK105" i="3"/>
  <c r="CO105" i="3"/>
  <c r="AE56" i="3"/>
  <c r="CR105" i="3"/>
  <c r="CM105" i="3"/>
  <c r="CQ105" i="3"/>
  <c r="CH105" i="3"/>
  <c r="AQ184" i="3"/>
  <c r="AQ167" i="3"/>
  <c r="CR126" i="3"/>
  <c r="CQ126" i="3"/>
  <c r="CR101" i="3"/>
  <c r="CQ101" i="3"/>
  <c r="CO101" i="3"/>
  <c r="CN101" i="3"/>
  <c r="CM101" i="3"/>
  <c r="CK101" i="3"/>
  <c r="CR63" i="3"/>
  <c r="CR62" i="3"/>
  <c r="CR61" i="3"/>
  <c r="CR60" i="3"/>
  <c r="CR57" i="3"/>
  <c r="CR42" i="3"/>
  <c r="CR23" i="3"/>
  <c r="CR18" i="3"/>
  <c r="CR11" i="3"/>
  <c r="CR7" i="3"/>
  <c r="CR4" i="3"/>
  <c r="AQ131" i="3"/>
  <c r="AQ123" i="3"/>
  <c r="AQ122" i="3"/>
  <c r="AQ121" i="3"/>
  <c r="AQ99" i="3"/>
  <c r="AQ134" i="3" s="1"/>
  <c r="AQ67" i="3"/>
  <c r="AQ64" i="3"/>
  <c r="CV64" i="3" s="1"/>
  <c r="C84" i="13" s="1"/>
  <c r="AQ54" i="3"/>
  <c r="AQ53" i="3"/>
  <c r="CV53" i="3" s="1"/>
  <c r="C31" i="13" s="1"/>
  <c r="AQ52" i="3"/>
  <c r="AQ8" i="3"/>
  <c r="AQ28" i="3"/>
  <c r="AQ19" i="3"/>
  <c r="AQ24" i="3"/>
  <c r="AQ12" i="3"/>
  <c r="AD277" i="1" l="1"/>
  <c r="AD318" i="1" s="1"/>
  <c r="AD32" i="1"/>
  <c r="W24" i="6" s="1"/>
  <c r="CV54" i="3"/>
  <c r="C32" i="13" s="1"/>
  <c r="CV52" i="3"/>
  <c r="C30" i="13" s="1"/>
  <c r="AQ55" i="3"/>
  <c r="AQ104" i="3" s="1"/>
  <c r="AQ92" i="3"/>
  <c r="AQ94" i="3"/>
  <c r="AQ93" i="3"/>
  <c r="CV28" i="3"/>
  <c r="AU30" i="3"/>
  <c r="AQ71" i="3"/>
  <c r="M50" i="2"/>
  <c r="M51" i="2"/>
  <c r="K250" i="7" s="1"/>
  <c r="M52" i="2"/>
  <c r="K251" i="7" s="1"/>
  <c r="AQ127" i="3"/>
  <c r="AQ148" i="3"/>
  <c r="AQ33" i="3"/>
  <c r="AQ187" i="3"/>
  <c r="AQ190" i="3"/>
  <c r="AQ145" i="3"/>
  <c r="AQ68" i="3"/>
  <c r="AR67" i="3"/>
  <c r="AR64" i="3"/>
  <c r="CW64" i="3" s="1"/>
  <c r="D84" i="13" s="1"/>
  <c r="CS63" i="3"/>
  <c r="CS62" i="3"/>
  <c r="CS61" i="3"/>
  <c r="CS60" i="3"/>
  <c r="CS4" i="3"/>
  <c r="Q284" i="1"/>
  <c r="Q44" i="1"/>
  <c r="Q42" i="1" s="1"/>
  <c r="Q268" i="1"/>
  <c r="Q236" i="1"/>
  <c r="Q219" i="1"/>
  <c r="R220" i="1" s="1"/>
  <c r="Q209" i="1"/>
  <c r="Q208" i="1"/>
  <c r="Q201" i="1"/>
  <c r="Q199" i="1"/>
  <c r="Q198" i="1"/>
  <c r="Q179" i="1"/>
  <c r="Q169" i="1"/>
  <c r="Q17" i="1"/>
  <c r="Q5" i="1"/>
  <c r="P5" i="1"/>
  <c r="O5" i="1"/>
  <c r="Q10" i="1"/>
  <c r="L47" i="2"/>
  <c r="L44" i="2"/>
  <c r="L43" i="2"/>
  <c r="L36" i="2"/>
  <c r="M37" i="2" s="1"/>
  <c r="L27" i="2"/>
  <c r="M28" i="2" s="1"/>
  <c r="L23" i="2"/>
  <c r="L22" i="2"/>
  <c r="L18" i="2"/>
  <c r="M19" i="2" s="1"/>
  <c r="L5" i="2"/>
  <c r="L4" i="2"/>
  <c r="K4" i="2"/>
  <c r="M53" i="2" l="1"/>
  <c r="M95" i="2" s="1"/>
  <c r="AQ56" i="3"/>
  <c r="CV56" i="3" s="1"/>
  <c r="AQ95" i="3"/>
  <c r="AR34" i="3"/>
  <c r="AQ151" i="3"/>
  <c r="AQ129" i="3"/>
  <c r="AQ130" i="3" s="1"/>
  <c r="CV71" i="3"/>
  <c r="M75" i="2"/>
  <c r="K249" i="7"/>
  <c r="K252" i="7" s="1"/>
  <c r="AR65" i="3"/>
  <c r="M106" i="2"/>
  <c r="AR68" i="3"/>
  <c r="AQ191" i="3"/>
  <c r="AQ34" i="3"/>
  <c r="AQ36" i="3"/>
  <c r="AR28" i="3"/>
  <c r="AP170" i="3"/>
  <c r="AP172" i="3" s="1"/>
  <c r="AO172" i="3"/>
  <c r="AP179" i="3"/>
  <c r="AP184" i="3" s="1"/>
  <c r="AP167" i="3"/>
  <c r="AP165" i="3"/>
  <c r="AP160" i="3"/>
  <c r="AP131" i="3"/>
  <c r="AP123" i="3"/>
  <c r="AP122" i="3"/>
  <c r="AP121" i="3"/>
  <c r="AP119" i="3"/>
  <c r="AP67" i="3"/>
  <c r="AP64" i="3"/>
  <c r="AP54" i="3"/>
  <c r="AP53" i="3"/>
  <c r="CU53" i="3" s="1"/>
  <c r="AP52" i="3"/>
  <c r="AP36" i="3"/>
  <c r="AP35" i="3"/>
  <c r="AP34" i="3"/>
  <c r="AP28" i="3"/>
  <c r="AP24" i="3"/>
  <c r="AP19" i="3"/>
  <c r="AP12" i="3"/>
  <c r="AP8" i="3"/>
  <c r="AP99" i="3"/>
  <c r="AP127" i="3" s="1"/>
  <c r="CQ63" i="3"/>
  <c r="CQ62" i="3"/>
  <c r="CQ61" i="3"/>
  <c r="CQ60" i="3"/>
  <c r="CQ57" i="3"/>
  <c r="CQ42" i="3"/>
  <c r="CQ41" i="3"/>
  <c r="CQ40" i="3"/>
  <c r="CQ39" i="3"/>
  <c r="CQ23" i="3"/>
  <c r="CQ18" i="3"/>
  <c r="CQ11" i="3"/>
  <c r="CQ7" i="3"/>
  <c r="CQ4" i="3"/>
  <c r="AO160" i="3"/>
  <c r="AN160" i="3"/>
  <c r="AM160" i="3"/>
  <c r="AO179" i="3"/>
  <c r="AO165" i="3"/>
  <c r="AO167" i="3"/>
  <c r="M54" i="2" l="1"/>
  <c r="M59" i="2" s="1"/>
  <c r="CU119" i="3"/>
  <c r="AP137" i="3"/>
  <c r="AP92" i="3"/>
  <c r="AQ65" i="3"/>
  <c r="AQ70" i="3"/>
  <c r="CU54" i="3"/>
  <c r="CU52" i="3"/>
  <c r="AP55" i="3"/>
  <c r="AP104" i="3" s="1"/>
  <c r="CW28" i="3"/>
  <c r="AV30" i="3"/>
  <c r="AP93" i="3"/>
  <c r="AP94" i="3"/>
  <c r="AP68" i="3"/>
  <c r="CU64" i="3"/>
  <c r="CU28" i="3"/>
  <c r="AT30" i="3"/>
  <c r="AO184" i="3"/>
  <c r="AS29" i="3"/>
  <c r="AR29" i="3"/>
  <c r="AQ29" i="3"/>
  <c r="AP120" i="3"/>
  <c r="AP124" i="3"/>
  <c r="AP187" i="3"/>
  <c r="AP71" i="3"/>
  <c r="CU71" i="3" s="1"/>
  <c r="AP190" i="3"/>
  <c r="AP145" i="3"/>
  <c r="AK126" i="3"/>
  <c r="AO131" i="3"/>
  <c r="AO123" i="3"/>
  <c r="AO122" i="3"/>
  <c r="AO121" i="3"/>
  <c r="AO119" i="3"/>
  <c r="AO99" i="3"/>
  <c r="AO127" i="3" s="1"/>
  <c r="AO67" i="3"/>
  <c r="AO64" i="3"/>
  <c r="CT64" i="3" s="1"/>
  <c r="CP63" i="3"/>
  <c r="CP62" i="3"/>
  <c r="CP61" i="3"/>
  <c r="CP60" i="3"/>
  <c r="CP57" i="3"/>
  <c r="CP42" i="3"/>
  <c r="CP41" i="3"/>
  <c r="CP40" i="3"/>
  <c r="CP39" i="3"/>
  <c r="CP23" i="3"/>
  <c r="CP18" i="3"/>
  <c r="CP11" i="3"/>
  <c r="CP7" i="3"/>
  <c r="CP4" i="3"/>
  <c r="AO54" i="3"/>
  <c r="AO53" i="3"/>
  <c r="AO52" i="3"/>
  <c r="AO36" i="3"/>
  <c r="AO35" i="3"/>
  <c r="AO34" i="3"/>
  <c r="AO8" i="3"/>
  <c r="AO28" i="3"/>
  <c r="AO12" i="3"/>
  <c r="AO19" i="3"/>
  <c r="AO24" i="3"/>
  <c r="AP56" i="3" l="1"/>
  <c r="AP65" i="3" s="1"/>
  <c r="CT119" i="3"/>
  <c r="AO137" i="3"/>
  <c r="CV70" i="3"/>
  <c r="C83" i="13" s="1"/>
  <c r="AQ138" i="3"/>
  <c r="AO94" i="3"/>
  <c r="AO93" i="3"/>
  <c r="AO92" i="3"/>
  <c r="AO55" i="3"/>
  <c r="AO56" i="3" s="1"/>
  <c r="AO190" i="3"/>
  <c r="AO191" i="3" s="1"/>
  <c r="AP95" i="3"/>
  <c r="AO187" i="3"/>
  <c r="CT54" i="3"/>
  <c r="CT52" i="3"/>
  <c r="CT28" i="3"/>
  <c r="AS30" i="3"/>
  <c r="CT53" i="3"/>
  <c r="AR71" i="3"/>
  <c r="CW71" i="3" s="1"/>
  <c r="AR70" i="3"/>
  <c r="CS57" i="3"/>
  <c r="AR99" i="3"/>
  <c r="AR134" i="3" s="1"/>
  <c r="AP29" i="3"/>
  <c r="AO68" i="3"/>
  <c r="AN172" i="3"/>
  <c r="AO125" i="3"/>
  <c r="AP191" i="3"/>
  <c r="AP129" i="3"/>
  <c r="AO71" i="3"/>
  <c r="CT71" i="3" s="1"/>
  <c r="AO124" i="3"/>
  <c r="AO145" i="3"/>
  <c r="AO104" i="3" l="1"/>
  <c r="AP70" i="3"/>
  <c r="CU70" i="3" s="1"/>
  <c r="CU56" i="3"/>
  <c r="CW70" i="3"/>
  <c r="D83" i="13" s="1"/>
  <c r="AR138" i="3"/>
  <c r="AO95" i="3"/>
  <c r="AP130" i="3"/>
  <c r="CT56" i="3"/>
  <c r="AR148" i="3"/>
  <c r="AR144" i="3"/>
  <c r="AR129" i="3"/>
  <c r="AO129" i="3"/>
  <c r="AO130" i="3" s="1"/>
  <c r="AO70" i="3"/>
  <c r="AO65" i="3"/>
  <c r="AR149" i="3" l="1"/>
  <c r="AR145" i="3"/>
  <c r="AR151" i="3" s="1"/>
  <c r="CT70" i="3"/>
  <c r="AN179" i="3"/>
  <c r="AN184" i="3" s="1"/>
  <c r="AN167" i="3"/>
  <c r="AM167" i="3"/>
  <c r="AI66" i="3"/>
  <c r="AM66" i="3"/>
  <c r="AN131" i="3"/>
  <c r="AN123" i="3"/>
  <c r="AN122" i="3"/>
  <c r="AN121" i="3"/>
  <c r="AN119" i="3"/>
  <c r="AN99" i="3"/>
  <c r="AN145" i="3" s="1"/>
  <c r="AN67" i="3"/>
  <c r="AN64" i="3"/>
  <c r="CO126" i="3"/>
  <c r="CO63" i="3"/>
  <c r="CO62" i="3"/>
  <c r="CO61" i="3"/>
  <c r="CO60" i="3"/>
  <c r="CO57" i="3"/>
  <c r="CO42" i="3"/>
  <c r="CO41" i="3"/>
  <c r="CO40" i="3"/>
  <c r="CO39" i="3"/>
  <c r="CO23" i="3"/>
  <c r="CO18" i="3"/>
  <c r="CO11" i="3"/>
  <c r="CO7" i="3"/>
  <c r="CO4" i="3"/>
  <c r="AN8" i="3"/>
  <c r="AN12" i="3"/>
  <c r="AN19" i="3"/>
  <c r="AN24" i="3"/>
  <c r="AN28" i="3"/>
  <c r="AN36" i="3"/>
  <c r="AN35" i="3"/>
  <c r="AN34" i="3"/>
  <c r="AN54" i="3"/>
  <c r="AN53" i="3"/>
  <c r="CS53" i="3" s="1"/>
  <c r="AN52" i="3"/>
  <c r="CS119" i="3" l="1"/>
  <c r="AN137" i="3"/>
  <c r="AN92" i="3"/>
  <c r="CS52" i="3"/>
  <c r="AN55" i="3"/>
  <c r="AN56" i="3" s="1"/>
  <c r="CS56" i="3" s="1"/>
  <c r="CS54" i="3"/>
  <c r="AN93" i="3"/>
  <c r="AN94" i="3"/>
  <c r="AR30" i="3"/>
  <c r="CS28" i="3"/>
  <c r="AO29" i="3"/>
  <c r="AN68" i="3"/>
  <c r="CS64" i="3"/>
  <c r="AN71" i="3"/>
  <c r="AN129" i="3" s="1"/>
  <c r="AN130" i="3" s="1"/>
  <c r="AN187" i="3"/>
  <c r="AN190" i="3"/>
  <c r="AN124" i="3"/>
  <c r="AN127" i="3"/>
  <c r="AN104" i="3" l="1"/>
  <c r="AN95" i="3"/>
  <c r="CS71" i="3"/>
  <c r="AN70" i="3"/>
  <c r="CS70" i="3" s="1"/>
  <c r="AN65" i="3"/>
  <c r="AN191" i="3"/>
  <c r="C916" i="4"/>
  <c r="F827" i="4" l="1"/>
  <c r="E827" i="4"/>
  <c r="E829" i="4"/>
  <c r="AM179" i="3" l="1"/>
  <c r="AM170" i="3"/>
  <c r="AM184" i="3" l="1"/>
  <c r="CN40" i="3"/>
  <c r="CN39" i="3"/>
  <c r="AM187" i="3" l="1"/>
  <c r="AM190" i="3"/>
  <c r="AM191" i="3" l="1"/>
  <c r="D830" i="4" l="1"/>
  <c r="C829" i="4"/>
  <c r="D829" i="4" s="1"/>
  <c r="D828" i="4"/>
  <c r="AM131" i="3"/>
  <c r="AM123" i="3"/>
  <c r="AM122" i="3"/>
  <c r="AM121" i="3"/>
  <c r="AM119" i="3"/>
  <c r="CN126" i="3"/>
  <c r="CN63" i="3"/>
  <c r="CN62" i="3"/>
  <c r="CN61" i="3"/>
  <c r="CN60" i="3"/>
  <c r="CN57" i="3"/>
  <c r="CN42" i="3"/>
  <c r="CN41" i="3"/>
  <c r="CN23" i="3"/>
  <c r="CN18" i="3"/>
  <c r="CN11" i="3"/>
  <c r="CN7" i="3"/>
  <c r="CN4" i="3"/>
  <c r="AM99" i="3"/>
  <c r="AM127" i="3" s="1"/>
  <c r="AM67" i="3"/>
  <c r="AM64" i="3"/>
  <c r="CR64" i="3" s="1"/>
  <c r="AM54" i="3"/>
  <c r="AM53" i="3"/>
  <c r="AM52" i="3"/>
  <c r="AM8" i="3"/>
  <c r="AM36" i="3"/>
  <c r="AL35" i="3"/>
  <c r="AM35" i="3"/>
  <c r="AM28" i="3"/>
  <c r="AQ30" i="3" s="1"/>
  <c r="AM12" i="3"/>
  <c r="AM19" i="3"/>
  <c r="AM24" i="3"/>
  <c r="AM93" i="3" l="1"/>
  <c r="AM94" i="3"/>
  <c r="AM92" i="3"/>
  <c r="AM55" i="3"/>
  <c r="K53" i="2" s="1"/>
  <c r="K95" i="2" s="1"/>
  <c r="CR54" i="3"/>
  <c r="AN29" i="3"/>
  <c r="CR28" i="3"/>
  <c r="CR119" i="3"/>
  <c r="CR52" i="3"/>
  <c r="CR53" i="3"/>
  <c r="AM71" i="3"/>
  <c r="AM129" i="3" s="1"/>
  <c r="AM130" i="3" s="1"/>
  <c r="K52" i="2"/>
  <c r="I251" i="7" s="1"/>
  <c r="L52" i="2"/>
  <c r="J251" i="7" s="1"/>
  <c r="CN52" i="3"/>
  <c r="L50" i="2"/>
  <c r="CN53" i="3"/>
  <c r="L51" i="2"/>
  <c r="J250" i="7" s="1"/>
  <c r="G830" i="4"/>
  <c r="AM68" i="3"/>
  <c r="CR68" i="3" s="1"/>
  <c r="AM124" i="3"/>
  <c r="G828" i="4"/>
  <c r="AM145" i="3"/>
  <c r="G829" i="4"/>
  <c r="B23" i="10"/>
  <c r="B22" i="10"/>
  <c r="B20" i="10"/>
  <c r="B8" i="10"/>
  <c r="B7" i="10"/>
  <c r="B6" i="10"/>
  <c r="B5" i="10"/>
  <c r="C4" i="10"/>
  <c r="B4" i="10"/>
  <c r="K3" i="10"/>
  <c r="J3" i="10"/>
  <c r="I3" i="10"/>
  <c r="H3" i="10"/>
  <c r="G3" i="10"/>
  <c r="F3" i="10"/>
  <c r="E3" i="10"/>
  <c r="D3" i="10"/>
  <c r="C3" i="10"/>
  <c r="B3" i="10"/>
  <c r="AM104" i="3" l="1"/>
  <c r="AM95" i="3"/>
  <c r="AM56" i="3"/>
  <c r="CR56" i="3" s="1"/>
  <c r="L53" i="2"/>
  <c r="L95" i="2" s="1"/>
  <c r="L75" i="2"/>
  <c r="J249" i="7"/>
  <c r="J252" i="7" s="1"/>
  <c r="CR71" i="3"/>
  <c r="AM65" i="3"/>
  <c r="E212" i="7"/>
  <c r="F212" i="7" s="1"/>
  <c r="G212" i="7" s="1"/>
  <c r="K97" i="2"/>
  <c r="K114" i="2" s="1"/>
  <c r="DG62" i="3"/>
  <c r="M69" i="2"/>
  <c r="L69" i="2"/>
  <c r="I69" i="2"/>
  <c r="H69" i="2"/>
  <c r="K69" i="2"/>
  <c r="P14" i="1"/>
  <c r="C107" i="6"/>
  <c r="C102" i="6"/>
  <c r="C104" i="6" s="1"/>
  <c r="N105" i="2"/>
  <c r="AI54" i="3"/>
  <c r="AJ54" i="3"/>
  <c r="AJ53" i="3"/>
  <c r="CO53" i="3" s="1"/>
  <c r="AJ52" i="3"/>
  <c r="AK54" i="3"/>
  <c r="AK53" i="3"/>
  <c r="AK52" i="3"/>
  <c r="AL54" i="3"/>
  <c r="AL53" i="3"/>
  <c r="AL52" i="3"/>
  <c r="K18" i="2"/>
  <c r="K27" i="2"/>
  <c r="P35" i="2"/>
  <c r="K36" i="2"/>
  <c r="L37" i="2" s="1"/>
  <c r="C6" i="10"/>
  <c r="P28" i="5"/>
  <c r="O9" i="5"/>
  <c r="P9" i="5"/>
  <c r="I28" i="5"/>
  <c r="H9" i="5"/>
  <c r="I9" i="5"/>
  <c r="D9" i="10" s="1"/>
  <c r="J28" i="5"/>
  <c r="J9" i="5"/>
  <c r="E9" i="10" s="1"/>
  <c r="K28" i="5"/>
  <c r="L28" i="5"/>
  <c r="M28" i="5"/>
  <c r="N28" i="5"/>
  <c r="O28" i="5"/>
  <c r="O325" i="1"/>
  <c r="H3" i="6" s="1"/>
  <c r="P32" i="1"/>
  <c r="E684" i="4"/>
  <c r="AL64" i="3"/>
  <c r="CQ64" i="3" s="1"/>
  <c r="AL67" i="3"/>
  <c r="AL28" i="3"/>
  <c r="P179" i="1"/>
  <c r="P181" i="1" s="1"/>
  <c r="P284" i="1"/>
  <c r="P80" i="1" s="1"/>
  <c r="U27" i="9" s="1"/>
  <c r="P209" i="1"/>
  <c r="P208" i="1"/>
  <c r="P59" i="1"/>
  <c r="P60" i="1"/>
  <c r="P61" i="1"/>
  <c r="O59" i="1"/>
  <c r="O60" i="1"/>
  <c r="O61" i="1"/>
  <c r="P202" i="1"/>
  <c r="P201" i="1"/>
  <c r="P198" i="1"/>
  <c r="L138" i="1"/>
  <c r="M138" i="1" s="1"/>
  <c r="M137" i="1" s="1"/>
  <c r="N142" i="1"/>
  <c r="O142" i="1"/>
  <c r="P142" i="1"/>
  <c r="F9" i="5"/>
  <c r="G9" i="5"/>
  <c r="P42" i="1"/>
  <c r="P268" i="1"/>
  <c r="P316" i="1" s="1"/>
  <c r="D265" i="1"/>
  <c r="D274" i="1" s="1"/>
  <c r="P219" i="1"/>
  <c r="Q220" i="1" s="1"/>
  <c r="O219" i="1"/>
  <c r="P236" i="1"/>
  <c r="I23" i="6" s="1"/>
  <c r="M188" i="1"/>
  <c r="M59" i="1" s="1"/>
  <c r="O166" i="1"/>
  <c r="P169" i="1"/>
  <c r="M134" i="1"/>
  <c r="M240" i="1" s="1"/>
  <c r="P17" i="1"/>
  <c r="P238" i="1" s="1"/>
  <c r="P10" i="1"/>
  <c r="K103" i="2"/>
  <c r="K104" i="2" s="1"/>
  <c r="K47" i="2"/>
  <c r="K40" i="7" s="1"/>
  <c r="K44" i="2"/>
  <c r="K43" i="2"/>
  <c r="J36" i="2"/>
  <c r="K5" i="2"/>
  <c r="J6" i="2"/>
  <c r="K6" i="2" s="1"/>
  <c r="L6" i="2" s="1"/>
  <c r="M6" i="2" s="1"/>
  <c r="J18" i="2"/>
  <c r="J27" i="2"/>
  <c r="AL170" i="3"/>
  <c r="AK170" i="3"/>
  <c r="AJ170" i="3"/>
  <c r="AJ172" i="3" s="1"/>
  <c r="J115" i="2"/>
  <c r="AL179" i="3"/>
  <c r="AL164" i="3"/>
  <c r="AL167" i="3"/>
  <c r="AL123" i="3"/>
  <c r="AL122" i="3"/>
  <c r="AL121" i="3"/>
  <c r="AL12" i="3"/>
  <c r="AL160" i="3"/>
  <c r="AL131" i="3"/>
  <c r="CQ131" i="3" s="1"/>
  <c r="AL119" i="3"/>
  <c r="CM126" i="3"/>
  <c r="CM63" i="3"/>
  <c r="CM62" i="3"/>
  <c r="CM61" i="3"/>
  <c r="CM60" i="3"/>
  <c r="CM57" i="3"/>
  <c r="CM42" i="3"/>
  <c r="CM41" i="3"/>
  <c r="CM40" i="3"/>
  <c r="CM39" i="3"/>
  <c r="CM23" i="3"/>
  <c r="CM18" i="3"/>
  <c r="CM11" i="3"/>
  <c r="CM7" i="3"/>
  <c r="CM4" i="3"/>
  <c r="AL99" i="3"/>
  <c r="AL145" i="3" s="1"/>
  <c r="AL8" i="3"/>
  <c r="AL24" i="3"/>
  <c r="AL19" i="3"/>
  <c r="D189" i="7"/>
  <c r="D196" i="7" s="1"/>
  <c r="D201" i="7" s="1"/>
  <c r="D206" i="7" s="1"/>
  <c r="E179" i="7"/>
  <c r="G179" i="7" s="1"/>
  <c r="H179" i="7" s="1"/>
  <c r="I179" i="7" s="1"/>
  <c r="J179" i="7" s="1"/>
  <c r="K179" i="7" s="1"/>
  <c r="L179" i="7" s="1"/>
  <c r="M179" i="7" s="1"/>
  <c r="N179" i="7" s="1"/>
  <c r="O179" i="7" s="1"/>
  <c r="J191" i="7"/>
  <c r="I191" i="7"/>
  <c r="H191" i="7"/>
  <c r="G191" i="7"/>
  <c r="E191" i="7"/>
  <c r="D191" i="7"/>
  <c r="E180" i="7"/>
  <c r="E182" i="7" s="1"/>
  <c r="D180" i="7"/>
  <c r="D182" i="7" s="1"/>
  <c r="E185" i="7"/>
  <c r="D185" i="7"/>
  <c r="D197" i="7" s="1"/>
  <c r="D207" i="7" s="1"/>
  <c r="D209" i="7" s="1"/>
  <c r="C182" i="7"/>
  <c r="C192" i="7" s="1"/>
  <c r="C199" i="7" s="1"/>
  <c r="C204" i="7" s="1"/>
  <c r="C209" i="7" s="1"/>
  <c r="C181" i="7"/>
  <c r="C180" i="7"/>
  <c r="E184" i="7"/>
  <c r="E189" i="7" s="1"/>
  <c r="E196" i="7" s="1"/>
  <c r="E201" i="7" s="1"/>
  <c r="E206" i="7" s="1"/>
  <c r="C166" i="7"/>
  <c r="C176" i="7" s="1"/>
  <c r="C165" i="7"/>
  <c r="C175" i="7" s="1"/>
  <c r="C164" i="7"/>
  <c r="C163" i="7"/>
  <c r="C174" i="7" s="1"/>
  <c r="C161" i="7"/>
  <c r="C172" i="7" s="1"/>
  <c r="C160" i="7"/>
  <c r="C171" i="7" s="1"/>
  <c r="C159" i="7"/>
  <c r="C170" i="7" s="1"/>
  <c r="C158" i="7"/>
  <c r="C169" i="7" s="1"/>
  <c r="D168" i="7"/>
  <c r="E146" i="7"/>
  <c r="C96" i="6"/>
  <c r="CL63" i="3"/>
  <c r="CL62" i="3"/>
  <c r="CL61" i="3"/>
  <c r="CL60" i="3"/>
  <c r="I631" i="4"/>
  <c r="J628" i="4"/>
  <c r="J629" i="4"/>
  <c r="D121" i="6"/>
  <c r="E121" i="6" s="1"/>
  <c r="D109" i="7"/>
  <c r="C102" i="7"/>
  <c r="C113" i="7" s="1"/>
  <c r="C101" i="7"/>
  <c r="C112" i="7" s="1"/>
  <c r="C100" i="7"/>
  <c r="C111" i="7" s="1"/>
  <c r="E102" i="7"/>
  <c r="D102" i="7"/>
  <c r="J14" i="2"/>
  <c r="I14" i="2"/>
  <c r="H14" i="2"/>
  <c r="G14" i="2"/>
  <c r="J32" i="2"/>
  <c r="I32" i="2"/>
  <c r="H32" i="2"/>
  <c r="G32" i="2"/>
  <c r="J23" i="2"/>
  <c r="I23" i="2"/>
  <c r="H23" i="2"/>
  <c r="G23" i="2"/>
  <c r="AG165" i="3"/>
  <c r="AK167" i="3"/>
  <c r="AK165" i="3"/>
  <c r="I115" i="2"/>
  <c r="H115" i="2"/>
  <c r="G115" i="2"/>
  <c r="F115" i="2"/>
  <c r="AJ17" i="3"/>
  <c r="AJ10" i="3"/>
  <c r="AK101" i="3"/>
  <c r="AK36" i="3"/>
  <c r="AK35" i="3"/>
  <c r="AK34" i="3"/>
  <c r="CL23" i="3"/>
  <c r="CL18" i="3"/>
  <c r="CL11" i="3"/>
  <c r="CL7" i="3"/>
  <c r="AK8" i="3"/>
  <c r="AK67" i="3"/>
  <c r="AK64" i="3"/>
  <c r="CP64" i="3" s="1"/>
  <c r="AK123" i="3"/>
  <c r="AK122" i="3"/>
  <c r="AK121" i="3"/>
  <c r="AK99" i="3"/>
  <c r="AK145" i="3" s="1"/>
  <c r="AK28" i="3"/>
  <c r="AK19" i="3"/>
  <c r="AK12" i="3"/>
  <c r="CL4" i="3"/>
  <c r="CL42" i="3"/>
  <c r="CL41" i="3"/>
  <c r="CL40" i="3"/>
  <c r="CL39" i="3"/>
  <c r="CL57" i="3"/>
  <c r="AK24" i="3"/>
  <c r="Q9" i="9"/>
  <c r="AJ36" i="3"/>
  <c r="AI36" i="3"/>
  <c r="AH36" i="3"/>
  <c r="AG36" i="3"/>
  <c r="AF36" i="3"/>
  <c r="AE36" i="3"/>
  <c r="AD36" i="3"/>
  <c r="AC36" i="3"/>
  <c r="AB36" i="3"/>
  <c r="AA36" i="3"/>
  <c r="AJ160" i="3"/>
  <c r="AI160" i="3"/>
  <c r="AH160" i="3"/>
  <c r="AG160" i="3"/>
  <c r="AF160" i="3"/>
  <c r="AE160" i="3"/>
  <c r="AC160" i="3"/>
  <c r="AB160" i="3"/>
  <c r="AA160" i="3"/>
  <c r="AI165" i="3"/>
  <c r="AF165" i="3"/>
  <c r="AJ165" i="3"/>
  <c r="CJ60" i="3"/>
  <c r="CK60" i="3"/>
  <c r="CJ61" i="3"/>
  <c r="CK61" i="3"/>
  <c r="CK126" i="3"/>
  <c r="CK42" i="3"/>
  <c r="CK41" i="3"/>
  <c r="CK40" i="3"/>
  <c r="AJ19" i="3"/>
  <c r="AJ12" i="3"/>
  <c r="CK57" i="3"/>
  <c r="AJ179" i="3"/>
  <c r="AJ167" i="3"/>
  <c r="AJ118" i="3"/>
  <c r="AJ117" i="3"/>
  <c r="AJ116" i="3"/>
  <c r="AJ131" i="3"/>
  <c r="CO131" i="3" s="1"/>
  <c r="AJ119" i="3"/>
  <c r="AJ99" i="3"/>
  <c r="AJ145" i="3" s="1"/>
  <c r="CK63" i="3"/>
  <c r="CK62" i="3"/>
  <c r="CK39" i="3"/>
  <c r="CK23" i="3"/>
  <c r="CK18" i="3"/>
  <c r="CK11" i="3"/>
  <c r="CK7" i="3"/>
  <c r="CK4" i="3"/>
  <c r="CJ4" i="3"/>
  <c r="AJ67" i="3"/>
  <c r="AJ64" i="3"/>
  <c r="AF54" i="3"/>
  <c r="AJ35" i="3"/>
  <c r="AJ34" i="3"/>
  <c r="AJ28" i="3"/>
  <c r="AI28" i="3"/>
  <c r="AJ24" i="3"/>
  <c r="AJ8" i="3"/>
  <c r="AF179" i="3"/>
  <c r="AF184" i="3" s="1"/>
  <c r="AF187" i="3" s="1"/>
  <c r="AF99" i="3"/>
  <c r="AF52" i="3"/>
  <c r="AF53" i="3"/>
  <c r="J51" i="2" s="1"/>
  <c r="G7" i="6"/>
  <c r="F7" i="6" s="1"/>
  <c r="R9" i="9" s="1"/>
  <c r="AH52" i="3"/>
  <c r="J65" i="2"/>
  <c r="J69" i="2" s="1"/>
  <c r="J97" i="2"/>
  <c r="G28" i="5"/>
  <c r="Q10" i="9"/>
  <c r="E87" i="7"/>
  <c r="E109" i="7" s="1"/>
  <c r="L10" i="2"/>
  <c r="J4" i="2"/>
  <c r="I4" i="2"/>
  <c r="H4" i="2"/>
  <c r="G4" i="2"/>
  <c r="O159" i="1"/>
  <c r="N185" i="1"/>
  <c r="N76" i="1" s="1"/>
  <c r="N229" i="1" s="1"/>
  <c r="N77" i="1" s="1"/>
  <c r="O178" i="1"/>
  <c r="N159" i="1"/>
  <c r="M184" i="1"/>
  <c r="M73" i="1" s="1"/>
  <c r="L184" i="1"/>
  <c r="M112" i="1"/>
  <c r="M313" i="1" s="1"/>
  <c r="M345" i="1" s="1"/>
  <c r="AI116" i="3"/>
  <c r="AI117" i="3"/>
  <c r="AI118" i="3"/>
  <c r="AH64" i="3"/>
  <c r="AH68" i="3" s="1"/>
  <c r="AI64" i="3"/>
  <c r="O47" i="1"/>
  <c r="N47" i="1"/>
  <c r="M47" i="1"/>
  <c r="L47" i="1"/>
  <c r="K47" i="1"/>
  <c r="AI167" i="3"/>
  <c r="AI119" i="3"/>
  <c r="AI99" i="3"/>
  <c r="AI145" i="3" s="1"/>
  <c r="AE64" i="3"/>
  <c r="AI131" i="3"/>
  <c r="CN131" i="3" s="1"/>
  <c r="AE131" i="3"/>
  <c r="CJ42" i="3"/>
  <c r="CJ41" i="3"/>
  <c r="CJ40" i="3"/>
  <c r="AI8" i="3"/>
  <c r="AI12" i="3"/>
  <c r="AI19" i="3"/>
  <c r="AI24" i="3"/>
  <c r="AI35" i="3"/>
  <c r="AI34" i="3"/>
  <c r="CJ63" i="3"/>
  <c r="CI63" i="3"/>
  <c r="CI4" i="3"/>
  <c r="CI60" i="3"/>
  <c r="CI61" i="3"/>
  <c r="CI62" i="3"/>
  <c r="CJ62" i="3"/>
  <c r="AD64" i="3"/>
  <c r="AD71" i="3" s="1"/>
  <c r="AC70" i="3"/>
  <c r="AB57" i="3"/>
  <c r="AB54" i="3"/>
  <c r="AB53" i="3"/>
  <c r="AB52" i="3"/>
  <c r="AA57" i="3"/>
  <c r="AA103" i="3" s="1"/>
  <c r="AA54" i="3"/>
  <c r="AA53" i="3"/>
  <c r="AA82" i="3" s="1"/>
  <c r="AA52" i="3"/>
  <c r="Z52" i="3"/>
  <c r="Z53" i="3"/>
  <c r="Z82" i="3" s="1"/>
  <c r="Z54" i="3"/>
  <c r="CE54" i="3" s="1"/>
  <c r="Y57" i="3"/>
  <c r="Y54" i="3"/>
  <c r="Y83" i="3" s="1"/>
  <c r="Y53" i="3"/>
  <c r="CD53" i="3" s="1"/>
  <c r="Y52" i="3"/>
  <c r="X57" i="3"/>
  <c r="X54" i="3"/>
  <c r="X53" i="3"/>
  <c r="X52" i="3"/>
  <c r="W57" i="3"/>
  <c r="W54" i="3"/>
  <c r="W83" i="3" s="1"/>
  <c r="W53" i="3"/>
  <c r="W52" i="3"/>
  <c r="CJ57" i="3"/>
  <c r="CJ53" i="3"/>
  <c r="CJ52" i="3"/>
  <c r="AI179" i="3"/>
  <c r="AH28" i="3"/>
  <c r="CJ126" i="3"/>
  <c r="CJ101" i="3"/>
  <c r="AE99" i="3"/>
  <c r="AE145" i="3" s="1"/>
  <c r="CJ39" i="3"/>
  <c r="AE28" i="3"/>
  <c r="CJ23" i="3"/>
  <c r="CJ18" i="3"/>
  <c r="CJ11" i="3"/>
  <c r="CJ7" i="3"/>
  <c r="AI67" i="3"/>
  <c r="AE179" i="3"/>
  <c r="AE184" i="3" s="1"/>
  <c r="AE187" i="3" s="1"/>
  <c r="O179" i="1"/>
  <c r="O181" i="1" s="1"/>
  <c r="N338" i="1"/>
  <c r="M335" i="1"/>
  <c r="M338" i="1" s="1"/>
  <c r="M286" i="1" s="1"/>
  <c r="L338" i="1"/>
  <c r="L339" i="1" s="1"/>
  <c r="O208" i="1"/>
  <c r="O144" i="1"/>
  <c r="O201" i="1"/>
  <c r="O198" i="1"/>
  <c r="O27" i="1"/>
  <c r="O42" i="1"/>
  <c r="O284" i="1"/>
  <c r="O80" i="1" s="1"/>
  <c r="T27" i="9" s="1"/>
  <c r="O268" i="1"/>
  <c r="O316" i="1" s="1"/>
  <c r="O236" i="1"/>
  <c r="H23" i="6" s="1"/>
  <c r="O65" i="1"/>
  <c r="T33" i="9" s="1"/>
  <c r="O202" i="1"/>
  <c r="J103" i="2"/>
  <c r="J104" i="2" s="1"/>
  <c r="J105" i="2"/>
  <c r="O10" i="1"/>
  <c r="J47" i="2"/>
  <c r="J40" i="7" s="1"/>
  <c r="J44" i="2"/>
  <c r="J43" i="2"/>
  <c r="I36" i="2"/>
  <c r="J31" i="2"/>
  <c r="I27" i="2"/>
  <c r="I18" i="2"/>
  <c r="J5" i="2"/>
  <c r="D131" i="7"/>
  <c r="D128" i="7"/>
  <c r="D121" i="7"/>
  <c r="D126" i="7"/>
  <c r="AD126" i="3"/>
  <c r="AD131" i="3" s="1"/>
  <c r="AD101" i="3"/>
  <c r="AD118" i="3"/>
  <c r="AH118" i="3"/>
  <c r="AD117" i="3"/>
  <c r="AH117" i="3"/>
  <c r="AD116" i="3"/>
  <c r="AH116" i="3"/>
  <c r="AH179" i="3"/>
  <c r="AH184" i="3" s="1"/>
  <c r="AH119" i="3"/>
  <c r="AH167" i="3"/>
  <c r="AH131" i="3"/>
  <c r="AH99" i="3"/>
  <c r="AH145" i="3" s="1"/>
  <c r="CI57" i="3"/>
  <c r="CI54" i="3"/>
  <c r="CI53" i="3"/>
  <c r="CI42" i="3"/>
  <c r="CI41" i="3"/>
  <c r="CI40" i="3"/>
  <c r="CI39" i="3"/>
  <c r="CI23" i="3"/>
  <c r="CI18" i="3"/>
  <c r="CI11" i="3"/>
  <c r="CI7" i="3"/>
  <c r="AH67" i="3"/>
  <c r="AH35" i="3"/>
  <c r="AH34" i="3"/>
  <c r="AH24" i="3"/>
  <c r="AH19" i="3"/>
  <c r="AH12" i="3"/>
  <c r="AH8" i="3"/>
  <c r="CH101" i="3"/>
  <c r="CG101" i="3"/>
  <c r="CF101" i="3"/>
  <c r="CH126" i="3"/>
  <c r="CH62" i="3"/>
  <c r="CH61" i="3"/>
  <c r="CH60" i="3"/>
  <c r="CH57" i="3"/>
  <c r="CH42" i="3"/>
  <c r="CH41" i="3"/>
  <c r="CH40" i="3"/>
  <c r="CH39" i="3"/>
  <c r="CH23" i="3"/>
  <c r="CH18" i="3"/>
  <c r="CH11" i="3"/>
  <c r="CH7" i="3"/>
  <c r="CH4" i="3"/>
  <c r="AG8" i="3"/>
  <c r="AG179" i="3"/>
  <c r="AG184" i="3" s="1"/>
  <c r="AG187" i="3" s="1"/>
  <c r="AG167" i="3"/>
  <c r="AG67" i="3"/>
  <c r="AG64" i="3"/>
  <c r="AG131" i="3"/>
  <c r="AG99" i="3"/>
  <c r="AG145" i="3" s="1"/>
  <c r="AG119" i="3"/>
  <c r="AG118" i="3"/>
  <c r="AC117" i="3"/>
  <c r="AC116" i="3"/>
  <c r="AG117" i="3"/>
  <c r="AG116" i="3"/>
  <c r="AG35" i="3"/>
  <c r="AG34" i="3"/>
  <c r="AG28" i="3"/>
  <c r="AG24" i="3"/>
  <c r="AG19" i="3"/>
  <c r="AG12" i="3"/>
  <c r="CH52" i="3"/>
  <c r="AF167" i="3"/>
  <c r="AE167" i="3"/>
  <c r="AD167" i="3"/>
  <c r="AC167" i="3"/>
  <c r="AB167" i="3"/>
  <c r="AA167" i="3"/>
  <c r="CG39" i="3"/>
  <c r="CB61" i="3"/>
  <c r="AE67" i="3"/>
  <c r="AF67" i="3"/>
  <c r="AE118" i="3"/>
  <c r="AA117" i="3"/>
  <c r="AE117" i="3"/>
  <c r="AA116" i="3"/>
  <c r="AE116" i="3"/>
  <c r="AB117" i="3"/>
  <c r="AB116" i="3"/>
  <c r="AF118" i="3"/>
  <c r="AF117" i="3"/>
  <c r="AF116" i="3"/>
  <c r="B118" i="3"/>
  <c r="B123" i="3" s="1"/>
  <c r="B117" i="3"/>
  <c r="B122" i="3" s="1"/>
  <c r="B116" i="3"/>
  <c r="B121" i="3" s="1"/>
  <c r="AE34" i="3"/>
  <c r="AD34" i="3"/>
  <c r="AC34" i="3"/>
  <c r="AB34" i="3"/>
  <c r="AA34" i="3"/>
  <c r="Z34" i="3"/>
  <c r="Y34" i="3"/>
  <c r="X34" i="3"/>
  <c r="W34" i="3"/>
  <c r="AF34" i="3"/>
  <c r="AF8" i="3"/>
  <c r="AF131" i="3"/>
  <c r="AF119" i="3"/>
  <c r="CG126" i="3"/>
  <c r="CG62" i="3"/>
  <c r="CG61" i="3"/>
  <c r="CG60" i="3"/>
  <c r="CG42" i="3"/>
  <c r="CG41" i="3"/>
  <c r="CG40" i="3"/>
  <c r="CG23" i="3"/>
  <c r="CG18" i="3"/>
  <c r="CG11" i="3"/>
  <c r="CG7" i="3"/>
  <c r="CG4" i="3"/>
  <c r="AF64" i="3"/>
  <c r="AF35" i="3"/>
  <c r="AF28" i="3"/>
  <c r="AF24" i="3"/>
  <c r="AF19" i="3"/>
  <c r="AF12" i="3"/>
  <c r="CF62" i="3"/>
  <c r="CF61" i="3"/>
  <c r="CF60" i="3"/>
  <c r="AE35" i="3"/>
  <c r="CF23" i="3"/>
  <c r="CF18" i="3"/>
  <c r="CF11" i="3"/>
  <c r="CF7" i="3"/>
  <c r="CF4" i="3"/>
  <c r="AA64" i="3"/>
  <c r="J60" i="7" s="1"/>
  <c r="AB64" i="3"/>
  <c r="AC64" i="3"/>
  <c r="L60" i="7" s="1"/>
  <c r="CF39" i="3"/>
  <c r="CF42" i="3"/>
  <c r="CF41" i="3"/>
  <c r="CF40" i="3"/>
  <c r="AE119" i="3"/>
  <c r="AE8" i="3"/>
  <c r="AE24" i="3"/>
  <c r="AE19" i="3"/>
  <c r="AE12" i="3"/>
  <c r="CF126" i="3"/>
  <c r="CH53" i="3"/>
  <c r="CH54" i="3"/>
  <c r="S11" i="9"/>
  <c r="R11" i="9"/>
  <c r="Q11" i="9"/>
  <c r="C107" i="7"/>
  <c r="C117" i="7" s="1"/>
  <c r="C106" i="7"/>
  <c r="C116" i="7" s="1"/>
  <c r="C105" i="7"/>
  <c r="C104" i="7"/>
  <c r="C115" i="7" s="1"/>
  <c r="C99" i="7"/>
  <c r="C110" i="7" s="1"/>
  <c r="E107" i="7"/>
  <c r="D107" i="7"/>
  <c r="E105" i="7"/>
  <c r="D105" i="7"/>
  <c r="N179" i="1"/>
  <c r="N181" i="1" s="1"/>
  <c r="I105" i="2"/>
  <c r="I103" i="2"/>
  <c r="I104" i="2" s="1"/>
  <c r="H103" i="2"/>
  <c r="G103" i="2"/>
  <c r="F103" i="2"/>
  <c r="E92" i="4"/>
  <c r="I97" i="2"/>
  <c r="I101" i="2" s="1"/>
  <c r="I47" i="2"/>
  <c r="I40" i="7" s="1"/>
  <c r="I44" i="2"/>
  <c r="I43" i="2"/>
  <c r="I5" i="2"/>
  <c r="M19" i="1"/>
  <c r="M121" i="1" s="1"/>
  <c r="L19" i="1"/>
  <c r="L121" i="1" s="1"/>
  <c r="N207" i="1"/>
  <c r="N208" i="1" s="1"/>
  <c r="N284" i="1"/>
  <c r="N80" i="1" s="1"/>
  <c r="S27" i="9" s="1"/>
  <c r="N144" i="1"/>
  <c r="N201" i="1"/>
  <c r="N198" i="1"/>
  <c r="N331" i="1"/>
  <c r="N333" i="1" s="1"/>
  <c r="N330" i="1"/>
  <c r="N327" i="1"/>
  <c r="N326" i="1"/>
  <c r="N42" i="1"/>
  <c r="N236" i="1"/>
  <c r="G23" i="6" s="1"/>
  <c r="N268" i="1"/>
  <c r="N316" i="1" s="1"/>
  <c r="N17" i="1"/>
  <c r="N238" i="1" s="1"/>
  <c r="D9" i="5"/>
  <c r="D13" i="5" s="1"/>
  <c r="E9" i="5"/>
  <c r="N5" i="1"/>
  <c r="N10" i="1"/>
  <c r="CE62" i="3"/>
  <c r="CE61" i="3"/>
  <c r="CD61" i="3"/>
  <c r="CC61" i="3"/>
  <c r="CE60" i="3"/>
  <c r="CD60" i="3"/>
  <c r="CC60" i="3"/>
  <c r="CB60" i="3"/>
  <c r="AC131" i="3"/>
  <c r="AD35" i="3"/>
  <c r="W179" i="3"/>
  <c r="W184" i="3" s="1"/>
  <c r="W190" i="3" s="1"/>
  <c r="AA179" i="3"/>
  <c r="AA184" i="3" s="1"/>
  <c r="AA190" i="3" s="1"/>
  <c r="AA191" i="3" s="1"/>
  <c r="X179" i="3"/>
  <c r="X184" i="3" s="1"/>
  <c r="X190" i="3" s="1"/>
  <c r="AB179" i="3"/>
  <c r="AB184" i="3" s="1"/>
  <c r="AB187" i="3" s="1"/>
  <c r="AC179" i="3"/>
  <c r="AC184" i="3" s="1"/>
  <c r="AC190" i="3" s="1"/>
  <c r="AC191" i="3" s="1"/>
  <c r="Y179" i="3"/>
  <c r="Y184" i="3" s="1"/>
  <c r="Y190" i="3" s="1"/>
  <c r="Z179" i="3"/>
  <c r="Z184" i="3" s="1"/>
  <c r="Z190" i="3" s="1"/>
  <c r="Z64" i="3"/>
  <c r="AD83" i="3"/>
  <c r="AD82" i="3"/>
  <c r="AD81" i="3"/>
  <c r="AD78" i="3"/>
  <c r="Z78" i="3"/>
  <c r="AD8" i="3"/>
  <c r="AD28" i="3"/>
  <c r="AD12" i="3"/>
  <c r="AD24" i="3"/>
  <c r="AD19" i="3"/>
  <c r="CE144" i="3"/>
  <c r="CE77" i="3"/>
  <c r="CE76" i="3"/>
  <c r="CE75" i="3"/>
  <c r="CE42" i="3"/>
  <c r="CE41" i="3"/>
  <c r="CE40" i="3"/>
  <c r="CE39" i="3"/>
  <c r="CE23" i="3"/>
  <c r="CE18" i="3"/>
  <c r="CE11" i="3"/>
  <c r="CE7" i="3"/>
  <c r="CE4" i="3"/>
  <c r="AD99" i="3"/>
  <c r="AD145" i="3" s="1"/>
  <c r="I39" i="2"/>
  <c r="D73" i="7"/>
  <c r="M52" i="1"/>
  <c r="R23" i="9" s="1"/>
  <c r="R24" i="9" s="1"/>
  <c r="L52" i="1"/>
  <c r="L91" i="1" s="1"/>
  <c r="R22" i="9"/>
  <c r="Q22" i="9"/>
  <c r="L38" i="1"/>
  <c r="E36" i="6" s="1"/>
  <c r="Q13" i="9" s="1"/>
  <c r="L312" i="1"/>
  <c r="L112" i="1"/>
  <c r="L313" i="1" s="1"/>
  <c r="L345" i="1" s="1"/>
  <c r="L134" i="1"/>
  <c r="L240" i="1" s="1"/>
  <c r="L159" i="1"/>
  <c r="L24" i="1" s="1"/>
  <c r="Q28" i="9" s="1"/>
  <c r="L160" i="1"/>
  <c r="L268" i="1"/>
  <c r="L316" i="1" s="1"/>
  <c r="L17" i="1"/>
  <c r="L277" i="1"/>
  <c r="L318" i="1" s="1"/>
  <c r="L179" i="1"/>
  <c r="L181" i="1" s="1"/>
  <c r="M17" i="1"/>
  <c r="M159" i="1"/>
  <c r="M24" i="1" s="1"/>
  <c r="R28" i="9" s="1"/>
  <c r="M160" i="1"/>
  <c r="M251" i="1"/>
  <c r="M236" i="1"/>
  <c r="F23" i="6" s="1"/>
  <c r="L251" i="1"/>
  <c r="L236" i="1"/>
  <c r="M312" i="1"/>
  <c r="M268" i="1"/>
  <c r="M316" i="1" s="1"/>
  <c r="M277" i="1"/>
  <c r="M318" i="1" s="1"/>
  <c r="M347" i="1"/>
  <c r="L347" i="1"/>
  <c r="M20" i="1"/>
  <c r="R21" i="9" s="1"/>
  <c r="M27" i="1"/>
  <c r="M31" i="1"/>
  <c r="M32" i="1"/>
  <c r="F24" i="6" s="1"/>
  <c r="M80" i="1"/>
  <c r="R27" i="9" s="1"/>
  <c r="L20" i="1"/>
  <c r="Q21" i="9" s="1"/>
  <c r="L27" i="1"/>
  <c r="L31" i="1"/>
  <c r="L32" i="1"/>
  <c r="L80" i="1"/>
  <c r="Q27" i="9" s="1"/>
  <c r="R19" i="9"/>
  <c r="R143" i="9" s="1"/>
  <c r="Q19" i="9"/>
  <c r="Q143" i="9" s="1"/>
  <c r="R18" i="9"/>
  <c r="Q18" i="9"/>
  <c r="C389" i="14" s="1"/>
  <c r="E3" i="6"/>
  <c r="Q3" i="9" s="1"/>
  <c r="Q4" i="9" s="1"/>
  <c r="B150" i="9"/>
  <c r="B149" i="9"/>
  <c r="B148" i="9"/>
  <c r="B140" i="9"/>
  <c r="B147" i="9" s="1"/>
  <c r="C9" i="5"/>
  <c r="F28" i="5"/>
  <c r="H8" i="6"/>
  <c r="I8" i="6" s="1"/>
  <c r="J8" i="6" s="1"/>
  <c r="H10" i="6"/>
  <c r="I10" i="6" s="1"/>
  <c r="J10" i="6" s="1"/>
  <c r="K10" i="6" s="1"/>
  <c r="L10" i="6" s="1"/>
  <c r="M10" i="6" s="1"/>
  <c r="N10" i="6" s="1"/>
  <c r="O10" i="6" s="1"/>
  <c r="P10" i="6" s="1"/>
  <c r="Q10" i="6" s="1"/>
  <c r="R10" i="6" s="1"/>
  <c r="S10" i="6" s="1"/>
  <c r="T10" i="6" s="1"/>
  <c r="U10" i="6" s="1"/>
  <c r="V10" i="6" s="1"/>
  <c r="W10" i="6" s="1"/>
  <c r="L59" i="7"/>
  <c r="K59" i="7"/>
  <c r="J59" i="7"/>
  <c r="H59" i="7"/>
  <c r="G59" i="7"/>
  <c r="BX144" i="3"/>
  <c r="BY144" i="3"/>
  <c r="H39" i="7"/>
  <c r="G39" i="7"/>
  <c r="I7" i="2"/>
  <c r="I18" i="7" s="1"/>
  <c r="I17" i="7"/>
  <c r="H17" i="7"/>
  <c r="G17" i="7"/>
  <c r="E17" i="7"/>
  <c r="E2" i="2"/>
  <c r="E16" i="7" s="1"/>
  <c r="E38" i="7" s="1"/>
  <c r="D17" i="7"/>
  <c r="D16" i="7"/>
  <c r="D38" i="7" s="1"/>
  <c r="CD126" i="3"/>
  <c r="CC126" i="3"/>
  <c r="CB126" i="3"/>
  <c r="CA126" i="3"/>
  <c r="BZ126" i="3"/>
  <c r="BY126" i="3"/>
  <c r="BX126" i="3"/>
  <c r="I6" i="7"/>
  <c r="I5" i="7"/>
  <c r="I4" i="7"/>
  <c r="D12" i="5"/>
  <c r="C12" i="5"/>
  <c r="N32" i="1"/>
  <c r="G24" i="6" s="1"/>
  <c r="F20" i="6"/>
  <c r="F19" i="6"/>
  <c r="G3" i="6"/>
  <c r="S3" i="9" s="1"/>
  <c r="F3" i="6"/>
  <c r="R3" i="9" s="1"/>
  <c r="F2" i="6"/>
  <c r="G2" i="6" s="1"/>
  <c r="H2" i="6" s="1"/>
  <c r="I2" i="6" s="1"/>
  <c r="J2" i="6" s="1"/>
  <c r="K2" i="6" s="1"/>
  <c r="L2" i="6" s="1"/>
  <c r="M2" i="6" s="1"/>
  <c r="N2" i="6" s="1"/>
  <c r="O2" i="6" s="1"/>
  <c r="P2" i="6" s="1"/>
  <c r="Q2" i="6" s="1"/>
  <c r="R2" i="6" s="1"/>
  <c r="S2" i="6" s="1"/>
  <c r="T2" i="6" s="1"/>
  <c r="U2" i="6" s="1"/>
  <c r="V2" i="6" s="1"/>
  <c r="W2" i="6" s="1"/>
  <c r="G32" i="6"/>
  <c r="F10" i="6"/>
  <c r="F8" i="6"/>
  <c r="H43" i="2"/>
  <c r="G43" i="2"/>
  <c r="F43" i="2"/>
  <c r="AB127" i="3"/>
  <c r="AA127" i="3"/>
  <c r="Z127" i="3"/>
  <c r="Y127" i="3"/>
  <c r="X127" i="3"/>
  <c r="W127" i="3"/>
  <c r="V127" i="3"/>
  <c r="U127" i="3"/>
  <c r="T127" i="3"/>
  <c r="S127" i="3"/>
  <c r="R127" i="3"/>
  <c r="Q127" i="3"/>
  <c r="P127" i="3"/>
  <c r="O127" i="3"/>
  <c r="N127" i="3"/>
  <c r="M127" i="3"/>
  <c r="L127" i="3"/>
  <c r="AC119" i="3"/>
  <c r="AB119" i="3"/>
  <c r="AA119" i="3"/>
  <c r="Z119" i="3"/>
  <c r="Y119" i="3"/>
  <c r="X119" i="3"/>
  <c r="W119" i="3"/>
  <c r="V119" i="3"/>
  <c r="U119" i="3"/>
  <c r="T119" i="3"/>
  <c r="S119" i="3"/>
  <c r="R119" i="3"/>
  <c r="Q119" i="3"/>
  <c r="P119" i="3"/>
  <c r="O119" i="3"/>
  <c r="N119" i="3"/>
  <c r="M119" i="3"/>
  <c r="I13" i="2"/>
  <c r="H13" i="2"/>
  <c r="G13" i="2"/>
  <c r="F13" i="2"/>
  <c r="E13" i="2"/>
  <c r="N3" i="1"/>
  <c r="J10" i="1"/>
  <c r="J42" i="1"/>
  <c r="K42" i="1"/>
  <c r="M42" i="1"/>
  <c r="L42" i="1"/>
  <c r="M10" i="1"/>
  <c r="L10" i="1"/>
  <c r="K10" i="1"/>
  <c r="I10" i="1"/>
  <c r="I50" i="1" s="1"/>
  <c r="I51" i="1"/>
  <c r="H10" i="1"/>
  <c r="G10" i="1"/>
  <c r="F10" i="1"/>
  <c r="E10" i="1"/>
  <c r="M5" i="1"/>
  <c r="L5" i="1"/>
  <c r="K5" i="1"/>
  <c r="J5" i="1"/>
  <c r="I5" i="1"/>
  <c r="H5" i="1"/>
  <c r="G5" i="1"/>
  <c r="F5" i="1"/>
  <c r="E5" i="1"/>
  <c r="E28" i="5"/>
  <c r="D28" i="5"/>
  <c r="P9" i="2"/>
  <c r="Q9" i="2" s="1"/>
  <c r="R9" i="2" s="1"/>
  <c r="S9" i="2" s="1"/>
  <c r="T9" i="2" s="1"/>
  <c r="U9" i="2" s="1"/>
  <c r="V9" i="2" s="1"/>
  <c r="W9" i="2" s="1"/>
  <c r="X9" i="2" s="1"/>
  <c r="Y9" i="2" s="1"/>
  <c r="D311" i="1"/>
  <c r="E311" i="1" s="1"/>
  <c r="F311" i="1" s="1"/>
  <c r="G311" i="1" s="1"/>
  <c r="H311" i="1" s="1"/>
  <c r="I311" i="1" s="1"/>
  <c r="J311" i="1" s="1"/>
  <c r="K311" i="1" s="1"/>
  <c r="L311" i="1" s="1"/>
  <c r="M311" i="1" s="1"/>
  <c r="N311" i="1" s="1"/>
  <c r="O311" i="1" s="1"/>
  <c r="P311" i="1" s="1"/>
  <c r="Q311" i="1" s="1"/>
  <c r="R311" i="1" s="1"/>
  <c r="S311" i="1" s="1"/>
  <c r="T311" i="1" s="1"/>
  <c r="U311" i="1" s="1"/>
  <c r="V311" i="1" s="1"/>
  <c r="W311" i="1" s="1"/>
  <c r="X311" i="1" s="1"/>
  <c r="Y311" i="1" s="1"/>
  <c r="Z311" i="1" s="1"/>
  <c r="AA311" i="1" s="1"/>
  <c r="AB311" i="1" s="1"/>
  <c r="AC311" i="1" s="1"/>
  <c r="AD311" i="1" s="1"/>
  <c r="Y307" i="1"/>
  <c r="Y100" i="1" s="1"/>
  <c r="X307" i="1"/>
  <c r="X100" i="1" s="1"/>
  <c r="W307" i="1"/>
  <c r="W100" i="1" s="1"/>
  <c r="V307" i="1"/>
  <c r="V100" i="1" s="1"/>
  <c r="U307" i="1"/>
  <c r="U100" i="1" s="1"/>
  <c r="D299" i="1"/>
  <c r="E299" i="1" s="1"/>
  <c r="F299" i="1" s="1"/>
  <c r="G299" i="1" s="1"/>
  <c r="H299" i="1" s="1"/>
  <c r="I299" i="1" s="1"/>
  <c r="J299" i="1" s="1"/>
  <c r="K299" i="1" s="1"/>
  <c r="L299" i="1" s="1"/>
  <c r="M299" i="1" s="1"/>
  <c r="N299" i="1" s="1"/>
  <c r="O299" i="1" s="1"/>
  <c r="P299" i="1" s="1"/>
  <c r="Q299" i="1" s="1"/>
  <c r="R299" i="1" s="1"/>
  <c r="S299" i="1" s="1"/>
  <c r="T299" i="1" s="1"/>
  <c r="U299" i="1" s="1"/>
  <c r="V299" i="1" s="1"/>
  <c r="W299" i="1" s="1"/>
  <c r="X299" i="1" s="1"/>
  <c r="Y299" i="1" s="1"/>
  <c r="Z299" i="1" s="1"/>
  <c r="AA299" i="1" s="1"/>
  <c r="AB299" i="1" s="1"/>
  <c r="AC299" i="1" s="1"/>
  <c r="AD299" i="1" s="1"/>
  <c r="D292" i="1"/>
  <c r="E292" i="1" s="1"/>
  <c r="F292" i="1" s="1"/>
  <c r="G292" i="1" s="1"/>
  <c r="H292" i="1" s="1"/>
  <c r="I292" i="1" s="1"/>
  <c r="J292" i="1" s="1"/>
  <c r="K292" i="1" s="1"/>
  <c r="L292" i="1" s="1"/>
  <c r="M292" i="1" s="1"/>
  <c r="N292" i="1" s="1"/>
  <c r="O292" i="1" s="1"/>
  <c r="P292" i="1" s="1"/>
  <c r="Q292" i="1" s="1"/>
  <c r="R292" i="1" s="1"/>
  <c r="S292" i="1" s="1"/>
  <c r="T292" i="1" s="1"/>
  <c r="U292" i="1" s="1"/>
  <c r="V292" i="1" s="1"/>
  <c r="W292" i="1" s="1"/>
  <c r="X292" i="1" s="1"/>
  <c r="Y292" i="1" s="1"/>
  <c r="Z292" i="1" s="1"/>
  <c r="AA292" i="1" s="1"/>
  <c r="AB292" i="1" s="1"/>
  <c r="AC292" i="1" s="1"/>
  <c r="AD292" i="1" s="1"/>
  <c r="D283" i="1"/>
  <c r="E283" i="1" s="1"/>
  <c r="F283" i="1" s="1"/>
  <c r="G283" i="1" s="1"/>
  <c r="H283" i="1" s="1"/>
  <c r="I283" i="1" s="1"/>
  <c r="J283" i="1" s="1"/>
  <c r="K283" i="1" s="1"/>
  <c r="L283" i="1" s="1"/>
  <c r="M283" i="1" s="1"/>
  <c r="N283" i="1" s="1"/>
  <c r="O283" i="1" s="1"/>
  <c r="P283" i="1" s="1"/>
  <c r="Q283" i="1" s="1"/>
  <c r="R283" i="1" s="1"/>
  <c r="S283" i="1" s="1"/>
  <c r="T283" i="1" s="1"/>
  <c r="U283" i="1" s="1"/>
  <c r="V283" i="1" s="1"/>
  <c r="W283" i="1" s="1"/>
  <c r="X283" i="1" s="1"/>
  <c r="Y283" i="1" s="1"/>
  <c r="Z283" i="1" s="1"/>
  <c r="AA283" i="1" s="1"/>
  <c r="AB283" i="1" s="1"/>
  <c r="AC283" i="1" s="1"/>
  <c r="AD283" i="1" s="1"/>
  <c r="Y255" i="1"/>
  <c r="X255" i="1"/>
  <c r="W255" i="1"/>
  <c r="V255" i="1"/>
  <c r="U255" i="1"/>
  <c r="Y251" i="1"/>
  <c r="X251" i="1"/>
  <c r="W251" i="1"/>
  <c r="V251" i="1"/>
  <c r="U251" i="1"/>
  <c r="Y160" i="1"/>
  <c r="X160" i="1"/>
  <c r="W160" i="1"/>
  <c r="V160" i="1"/>
  <c r="U160" i="1"/>
  <c r="U142" i="1"/>
  <c r="Y98" i="1"/>
  <c r="X98" i="1"/>
  <c r="W98" i="1"/>
  <c r="V98" i="1"/>
  <c r="U98" i="1"/>
  <c r="Y96" i="1"/>
  <c r="X96" i="1"/>
  <c r="W96" i="1"/>
  <c r="V96" i="1"/>
  <c r="U96" i="1"/>
  <c r="P6" i="5"/>
  <c r="O6" i="5"/>
  <c r="N6" i="5"/>
  <c r="M6" i="5"/>
  <c r="L6" i="5"/>
  <c r="K6" i="5"/>
  <c r="J6" i="5"/>
  <c r="I6" i="5"/>
  <c r="H6" i="5"/>
  <c r="G6" i="5"/>
  <c r="F6" i="5"/>
  <c r="E6" i="5"/>
  <c r="D6" i="5"/>
  <c r="C6" i="5"/>
  <c r="D3" i="5"/>
  <c r="C3" i="5" s="1"/>
  <c r="F3" i="5"/>
  <c r="G3" i="5" s="1"/>
  <c r="H3" i="5" s="1"/>
  <c r="I3" i="5" s="1"/>
  <c r="J3" i="5" s="1"/>
  <c r="K3" i="5" s="1"/>
  <c r="L3" i="5" s="1"/>
  <c r="M3" i="5" s="1"/>
  <c r="N3" i="5" s="1"/>
  <c r="O3" i="5" s="1"/>
  <c r="P3" i="5" s="1"/>
  <c r="Q3" i="5" s="1"/>
  <c r="R3" i="5" s="1"/>
  <c r="S3" i="5" s="1"/>
  <c r="T3" i="5" s="1"/>
  <c r="U3" i="5" s="1"/>
  <c r="N38" i="1"/>
  <c r="G36" i="6" s="1"/>
  <c r="M144" i="1"/>
  <c r="L144" i="1"/>
  <c r="M330" i="1"/>
  <c r="L330" i="1"/>
  <c r="K330" i="1"/>
  <c r="J330" i="1"/>
  <c r="M331" i="1"/>
  <c r="M333" i="1" s="1"/>
  <c r="L331" i="1"/>
  <c r="L333" i="1" s="1"/>
  <c r="K331" i="1"/>
  <c r="K333" i="1" s="1"/>
  <c r="J331" i="1"/>
  <c r="J333" i="1" s="1"/>
  <c r="M326" i="1"/>
  <c r="L326" i="1"/>
  <c r="K326" i="1"/>
  <c r="J326" i="1"/>
  <c r="O329" i="1"/>
  <c r="P329" i="1" s="1"/>
  <c r="Q329" i="1" s="1"/>
  <c r="R316" i="1"/>
  <c r="R27" i="1"/>
  <c r="CB77" i="3"/>
  <c r="CB76" i="3"/>
  <c r="CB75" i="3"/>
  <c r="CC77" i="3"/>
  <c r="CC76" i="3"/>
  <c r="CC75" i="3"/>
  <c r="AA78" i="3"/>
  <c r="W78" i="3"/>
  <c r="W64" i="3"/>
  <c r="X78" i="3"/>
  <c r="X64" i="3"/>
  <c r="AB78" i="3"/>
  <c r="CD77" i="3"/>
  <c r="CD76" i="3"/>
  <c r="CD75" i="3"/>
  <c r="Y78" i="3"/>
  <c r="AC78" i="3"/>
  <c r="Y64" i="3"/>
  <c r="H60" i="7" s="1"/>
  <c r="AC19" i="3"/>
  <c r="AC13" i="3"/>
  <c r="AC8" i="3"/>
  <c r="AC35" i="3"/>
  <c r="AC28" i="3"/>
  <c r="AC24" i="3"/>
  <c r="AC12" i="3"/>
  <c r="AC99" i="3"/>
  <c r="CD99" i="3" s="1"/>
  <c r="AC83" i="3"/>
  <c r="AC81" i="3"/>
  <c r="L293" i="1"/>
  <c r="L295" i="1" s="1"/>
  <c r="K293" i="1"/>
  <c r="K295" i="1" s="1"/>
  <c r="J293" i="1"/>
  <c r="J295" i="1" s="1"/>
  <c r="I293" i="1"/>
  <c r="I295" i="1" s="1"/>
  <c r="M293" i="1"/>
  <c r="M295" i="1" s="1"/>
  <c r="L207" i="1"/>
  <c r="L209" i="1" s="1"/>
  <c r="M207" i="1"/>
  <c r="M72" i="1" s="1"/>
  <c r="H22" i="2"/>
  <c r="G22" i="2"/>
  <c r="F22" i="2"/>
  <c r="E22" i="2"/>
  <c r="H31" i="2"/>
  <c r="G31" i="2"/>
  <c r="F31" i="2"/>
  <c r="E31" i="2"/>
  <c r="CC101" i="3"/>
  <c r="CC99" i="3"/>
  <c r="AB28" i="3"/>
  <c r="AA28" i="3"/>
  <c r="Z28" i="3"/>
  <c r="Y28" i="3"/>
  <c r="X28" i="3"/>
  <c r="W28" i="3"/>
  <c r="V28" i="3"/>
  <c r="U28" i="3"/>
  <c r="T28" i="3"/>
  <c r="S28" i="3"/>
  <c r="R28" i="3"/>
  <c r="Q28" i="3"/>
  <c r="P28" i="3"/>
  <c r="O28" i="3"/>
  <c r="N28" i="3"/>
  <c r="M28" i="3"/>
  <c r="L28" i="3"/>
  <c r="K28" i="3"/>
  <c r="J28" i="3"/>
  <c r="I28" i="3"/>
  <c r="H28" i="3"/>
  <c r="G28" i="3"/>
  <c r="AB35" i="3"/>
  <c r="AA35" i="3"/>
  <c r="Z35" i="3"/>
  <c r="Y35" i="3"/>
  <c r="X35" i="3"/>
  <c r="W35" i="3"/>
  <c r="V35" i="3"/>
  <c r="U35" i="3"/>
  <c r="T35" i="3"/>
  <c r="S35" i="3"/>
  <c r="R35" i="3"/>
  <c r="Q35" i="3"/>
  <c r="P35" i="3"/>
  <c r="O35" i="3"/>
  <c r="CD144" i="3"/>
  <c r="CD101" i="3"/>
  <c r="CD42" i="3"/>
  <c r="CD41" i="3"/>
  <c r="CD40" i="3"/>
  <c r="CD39" i="3"/>
  <c r="CD23" i="3"/>
  <c r="CD18" i="3"/>
  <c r="CD11" i="3"/>
  <c r="CD7" i="3"/>
  <c r="CD4" i="3"/>
  <c r="H58" i="2"/>
  <c r="G58" i="2"/>
  <c r="B79" i="2"/>
  <c r="B77" i="2"/>
  <c r="B75" i="2"/>
  <c r="M13" i="1"/>
  <c r="L13" i="1"/>
  <c r="K13" i="1"/>
  <c r="J13" i="1"/>
  <c r="I13" i="1"/>
  <c r="H13" i="1"/>
  <c r="G13" i="1"/>
  <c r="F13" i="1"/>
  <c r="E13" i="1"/>
  <c r="J45" i="1"/>
  <c r="BX99" i="3"/>
  <c r="BY99" i="3"/>
  <c r="BZ99" i="3"/>
  <c r="CA99" i="3"/>
  <c r="CB99" i="3"/>
  <c r="V57" i="3"/>
  <c r="U57" i="3"/>
  <c r="T57" i="3"/>
  <c r="S57" i="3"/>
  <c r="R57" i="3"/>
  <c r="Q57" i="3"/>
  <c r="P57" i="3"/>
  <c r="O57" i="3"/>
  <c r="V54" i="3"/>
  <c r="U54" i="3"/>
  <c r="T54" i="3"/>
  <c r="S54" i="3"/>
  <c r="R54" i="3"/>
  <c r="Q54" i="3"/>
  <c r="P54" i="3"/>
  <c r="O54" i="3"/>
  <c r="V53" i="3"/>
  <c r="U53" i="3"/>
  <c r="T53" i="3"/>
  <c r="S53" i="3"/>
  <c r="R53" i="3"/>
  <c r="Q53" i="3"/>
  <c r="P53" i="3"/>
  <c r="O53" i="3"/>
  <c r="V52" i="3"/>
  <c r="U52" i="3"/>
  <c r="T52" i="3"/>
  <c r="S52" i="3"/>
  <c r="R52" i="3"/>
  <c r="Q52" i="3"/>
  <c r="P52" i="3"/>
  <c r="O52" i="3"/>
  <c r="B54" i="3"/>
  <c r="B53" i="3"/>
  <c r="B52" i="3"/>
  <c r="CA39" i="3"/>
  <c r="B89" i="3"/>
  <c r="B94" i="3" s="1"/>
  <c r="B88" i="3"/>
  <c r="B93" i="3" s="1"/>
  <c r="B87" i="3"/>
  <c r="B92" i="3" s="1"/>
  <c r="CC144" i="3"/>
  <c r="CB144" i="3"/>
  <c r="CA144" i="3"/>
  <c r="BZ144" i="3"/>
  <c r="CB101" i="3"/>
  <c r="CA101" i="3"/>
  <c r="BZ101" i="3"/>
  <c r="BY101" i="3"/>
  <c r="BX101" i="3"/>
  <c r="CC42" i="3"/>
  <c r="CB42" i="3"/>
  <c r="CA42" i="3"/>
  <c r="BZ42" i="3"/>
  <c r="BY42" i="3"/>
  <c r="BX42" i="3"/>
  <c r="CC41" i="3"/>
  <c r="CB41" i="3"/>
  <c r="CA41" i="3"/>
  <c r="BZ41" i="3"/>
  <c r="BY41" i="3"/>
  <c r="BX41" i="3"/>
  <c r="CC40" i="3"/>
  <c r="CB40" i="3"/>
  <c r="CA40" i="3"/>
  <c r="BZ40" i="3"/>
  <c r="BY40" i="3"/>
  <c r="BX40" i="3"/>
  <c r="CC39" i="3"/>
  <c r="CB39" i="3"/>
  <c r="BZ39" i="3"/>
  <c r="BY39" i="3"/>
  <c r="BX39" i="3"/>
  <c r="CC23" i="3"/>
  <c r="CB23" i="3"/>
  <c r="CA23" i="3"/>
  <c r="BZ23" i="3"/>
  <c r="BY23" i="3"/>
  <c r="BX23" i="3"/>
  <c r="CC18" i="3"/>
  <c r="CB18" i="3"/>
  <c r="CA18" i="3"/>
  <c r="BZ18" i="3"/>
  <c r="BY18" i="3"/>
  <c r="BX18" i="3"/>
  <c r="CC11" i="3"/>
  <c r="CB11" i="3"/>
  <c r="CA11" i="3"/>
  <c r="BZ11" i="3"/>
  <c r="BY11" i="3"/>
  <c r="BX11" i="3"/>
  <c r="CC7" i="3"/>
  <c r="CB7" i="3"/>
  <c r="CA7" i="3"/>
  <c r="BZ7" i="3"/>
  <c r="BY7" i="3"/>
  <c r="BX7" i="3"/>
  <c r="CC4" i="3"/>
  <c r="CB4" i="3"/>
  <c r="CA4" i="3"/>
  <c r="BZ4" i="3"/>
  <c r="BY4" i="3"/>
  <c r="BX4" i="3"/>
  <c r="AB24" i="3"/>
  <c r="AA24" i="3"/>
  <c r="Z24" i="3"/>
  <c r="Y24" i="3"/>
  <c r="X24" i="3"/>
  <c r="W24" i="3"/>
  <c r="W94" i="3" s="1"/>
  <c r="V24" i="3"/>
  <c r="U24" i="3"/>
  <c r="T24" i="3"/>
  <c r="S24" i="3"/>
  <c r="R24" i="3"/>
  <c r="Q24" i="3"/>
  <c r="P24" i="3"/>
  <c r="O24" i="3"/>
  <c r="N24" i="3"/>
  <c r="M24" i="3"/>
  <c r="L24" i="3"/>
  <c r="K24" i="3"/>
  <c r="J24" i="3"/>
  <c r="I24" i="3"/>
  <c r="H24" i="3"/>
  <c r="G24" i="3"/>
  <c r="AB19" i="3"/>
  <c r="AA19" i="3"/>
  <c r="Z19" i="3"/>
  <c r="Y19" i="3"/>
  <c r="X19" i="3"/>
  <c r="W19" i="3"/>
  <c r="W93" i="3" s="1"/>
  <c r="V19" i="3"/>
  <c r="U19" i="3"/>
  <c r="T19" i="3"/>
  <c r="S19" i="3"/>
  <c r="R19" i="3"/>
  <c r="Q19" i="3"/>
  <c r="P19" i="3"/>
  <c r="O19" i="3"/>
  <c r="N19" i="3"/>
  <c r="M19" i="3"/>
  <c r="L19" i="3"/>
  <c r="K19" i="3"/>
  <c r="J19" i="3"/>
  <c r="I19" i="3"/>
  <c r="H19" i="3"/>
  <c r="G19" i="3"/>
  <c r="AB12" i="3"/>
  <c r="AA12" i="3"/>
  <c r="Z12" i="3"/>
  <c r="Y12" i="3"/>
  <c r="X12" i="3"/>
  <c r="W12" i="3"/>
  <c r="W92" i="3" s="1"/>
  <c r="V12" i="3"/>
  <c r="U12" i="3"/>
  <c r="T12" i="3"/>
  <c r="S12" i="3"/>
  <c r="R12" i="3"/>
  <c r="Q12" i="3"/>
  <c r="P12" i="3"/>
  <c r="O12" i="3"/>
  <c r="N12" i="3"/>
  <c r="M12" i="3"/>
  <c r="L12" i="3"/>
  <c r="K12" i="3"/>
  <c r="J12" i="3"/>
  <c r="I12" i="3"/>
  <c r="H12" i="3"/>
  <c r="G12" i="3"/>
  <c r="AB8" i="3"/>
  <c r="AA8" i="3"/>
  <c r="Z8" i="3"/>
  <c r="Y8" i="3"/>
  <c r="X8" i="3"/>
  <c r="W8" i="3"/>
  <c r="V8" i="3"/>
  <c r="U8" i="3"/>
  <c r="T8" i="3"/>
  <c r="S8" i="3"/>
  <c r="R8" i="3"/>
  <c r="Q8" i="3"/>
  <c r="P8" i="3"/>
  <c r="O8" i="3"/>
  <c r="N8" i="3"/>
  <c r="M8" i="3"/>
  <c r="L8" i="3"/>
  <c r="K8" i="3"/>
  <c r="J8" i="3"/>
  <c r="I8" i="3"/>
  <c r="H8" i="3"/>
  <c r="G8" i="3"/>
  <c r="K52" i="1"/>
  <c r="K53" i="1" s="1"/>
  <c r="M45" i="1"/>
  <c r="L45" i="1"/>
  <c r="K45" i="1"/>
  <c r="T307" i="1"/>
  <c r="T100" i="1" s="1"/>
  <c r="T255" i="1"/>
  <c r="T251" i="1"/>
  <c r="T160" i="1"/>
  <c r="T142" i="1"/>
  <c r="T98" i="1"/>
  <c r="T96" i="1"/>
  <c r="S307" i="1"/>
  <c r="S100" i="1" s="1"/>
  <c r="S255" i="1"/>
  <c r="S251" i="1"/>
  <c r="S160" i="1"/>
  <c r="S142" i="1"/>
  <c r="S98" i="1"/>
  <c r="S96" i="1"/>
  <c r="D39" i="2"/>
  <c r="E39" i="2"/>
  <c r="H39" i="2"/>
  <c r="G39" i="2"/>
  <c r="F39" i="2"/>
  <c r="D57" i="2"/>
  <c r="E57" i="2"/>
  <c r="F89" i="2"/>
  <c r="F91" i="2" s="1"/>
  <c r="G89" i="2"/>
  <c r="H89" i="2"/>
  <c r="H97" i="2"/>
  <c r="H95" i="2" s="1"/>
  <c r="G97" i="2"/>
  <c r="G101" i="2" s="1"/>
  <c r="F97" i="2"/>
  <c r="F101" i="2" s="1"/>
  <c r="H44" i="2"/>
  <c r="G44" i="2"/>
  <c r="H5" i="2"/>
  <c r="G5" i="2"/>
  <c r="F5" i="2"/>
  <c r="E5" i="2"/>
  <c r="H36" i="2"/>
  <c r="G36" i="2"/>
  <c r="F36" i="2"/>
  <c r="E36" i="2"/>
  <c r="D36" i="2"/>
  <c r="H27" i="2"/>
  <c r="G27" i="2"/>
  <c r="F27" i="2"/>
  <c r="E27" i="2"/>
  <c r="D27" i="2"/>
  <c r="H18" i="2"/>
  <c r="G18" i="2"/>
  <c r="F18" i="2"/>
  <c r="G19" i="2" s="1"/>
  <c r="E18" i="2"/>
  <c r="D18" i="2"/>
  <c r="H10" i="2"/>
  <c r="G10" i="2"/>
  <c r="F10" i="2"/>
  <c r="H7" i="2"/>
  <c r="H18" i="7" s="1"/>
  <c r="G7" i="2"/>
  <c r="G18" i="7" s="1"/>
  <c r="F7" i="2"/>
  <c r="E7" i="2"/>
  <c r="E18" i="7" s="1"/>
  <c r="D7" i="2"/>
  <c r="D18" i="7" s="1"/>
  <c r="H47" i="2"/>
  <c r="H40" i="7" s="1"/>
  <c r="G47" i="2"/>
  <c r="G40" i="7" s="1"/>
  <c r="F47" i="2"/>
  <c r="E14" i="1"/>
  <c r="J17" i="7"/>
  <c r="I10" i="2"/>
  <c r="I31" i="2"/>
  <c r="J327" i="1"/>
  <c r="R307" i="1"/>
  <c r="R100" i="1" s="1"/>
  <c r="Q307" i="1"/>
  <c r="Q100" i="1" s="1"/>
  <c r="M307" i="1"/>
  <c r="M100" i="1" s="1"/>
  <c r="K307" i="1"/>
  <c r="J307" i="1"/>
  <c r="I307" i="1"/>
  <c r="H307" i="1"/>
  <c r="G307" i="1"/>
  <c r="F307" i="1"/>
  <c r="E307" i="1"/>
  <c r="D307" i="1"/>
  <c r="P307" i="1"/>
  <c r="P100" i="1" s="1"/>
  <c r="O307" i="1"/>
  <c r="O100" i="1" s="1"/>
  <c r="N307" i="1"/>
  <c r="N100" i="1" s="1"/>
  <c r="L307" i="1"/>
  <c r="L100" i="1" s="1"/>
  <c r="H295" i="1"/>
  <c r="G295" i="1"/>
  <c r="F295" i="1"/>
  <c r="E295" i="1"/>
  <c r="D295" i="1"/>
  <c r="O277" i="1"/>
  <c r="O318" i="1" s="1"/>
  <c r="N277" i="1"/>
  <c r="N318" i="1" s="1"/>
  <c r="K277" i="1"/>
  <c r="J277" i="1"/>
  <c r="I277" i="1"/>
  <c r="H277" i="1"/>
  <c r="G277" i="1"/>
  <c r="F277" i="1"/>
  <c r="E277" i="1"/>
  <c r="D277" i="1"/>
  <c r="C274" i="1"/>
  <c r="D268" i="1"/>
  <c r="R255" i="1"/>
  <c r="Q255" i="1"/>
  <c r="P255" i="1"/>
  <c r="O255" i="1"/>
  <c r="N255" i="1"/>
  <c r="M255" i="1"/>
  <c r="L255" i="1"/>
  <c r="R251" i="1"/>
  <c r="Q251" i="1"/>
  <c r="P251" i="1"/>
  <c r="O251" i="1"/>
  <c r="N251" i="1"/>
  <c r="D233" i="1"/>
  <c r="E233" i="1" s="1"/>
  <c r="F233" i="1" s="1"/>
  <c r="G233" i="1" s="1"/>
  <c r="H233" i="1" s="1"/>
  <c r="I233" i="1" s="1"/>
  <c r="J233" i="1" s="1"/>
  <c r="K233" i="1" s="1"/>
  <c r="L233" i="1" s="1"/>
  <c r="M233" i="1" s="1"/>
  <c r="N233" i="1" s="1"/>
  <c r="O233" i="1" s="1"/>
  <c r="P233" i="1" s="1"/>
  <c r="Q233" i="1" s="1"/>
  <c r="R233" i="1" s="1"/>
  <c r="S233" i="1" s="1"/>
  <c r="T233" i="1" s="1"/>
  <c r="U233" i="1" s="1"/>
  <c r="V233" i="1" s="1"/>
  <c r="W233" i="1" s="1"/>
  <c r="X233" i="1" s="1"/>
  <c r="Y233" i="1" s="1"/>
  <c r="Z233" i="1" s="1"/>
  <c r="AA233" i="1" s="1"/>
  <c r="AB233" i="1" s="1"/>
  <c r="AC233" i="1" s="1"/>
  <c r="AD233" i="1" s="1"/>
  <c r="N219" i="1"/>
  <c r="M219" i="1"/>
  <c r="L219" i="1"/>
  <c r="K219" i="1"/>
  <c r="J219" i="1"/>
  <c r="I219" i="1"/>
  <c r="H219" i="1"/>
  <c r="G219" i="1"/>
  <c r="F219" i="1"/>
  <c r="E219" i="1"/>
  <c r="D219" i="1"/>
  <c r="D218" i="1"/>
  <c r="E218" i="1" s="1"/>
  <c r="F218" i="1" s="1"/>
  <c r="G218" i="1" s="1"/>
  <c r="H218" i="1" s="1"/>
  <c r="I218" i="1" s="1"/>
  <c r="J218" i="1" s="1"/>
  <c r="K218" i="1" s="1"/>
  <c r="L218" i="1" s="1"/>
  <c r="M218" i="1" s="1"/>
  <c r="N218" i="1" s="1"/>
  <c r="O218" i="1" s="1"/>
  <c r="P218" i="1" s="1"/>
  <c r="Q218" i="1" s="1"/>
  <c r="R218" i="1" s="1"/>
  <c r="S218" i="1" s="1"/>
  <c r="T218" i="1" s="1"/>
  <c r="U218" i="1" s="1"/>
  <c r="V218" i="1" s="1"/>
  <c r="W218" i="1" s="1"/>
  <c r="X218" i="1" s="1"/>
  <c r="Y218" i="1" s="1"/>
  <c r="Z218" i="1" s="1"/>
  <c r="AA218" i="1" s="1"/>
  <c r="AB218" i="1" s="1"/>
  <c r="AC218" i="1" s="1"/>
  <c r="AD218" i="1" s="1"/>
  <c r="M202" i="1"/>
  <c r="L202" i="1"/>
  <c r="M201" i="1"/>
  <c r="M199" i="1"/>
  <c r="L199" i="1"/>
  <c r="D196" i="1"/>
  <c r="E196" i="1" s="1"/>
  <c r="F196" i="1" s="1"/>
  <c r="G196" i="1" s="1"/>
  <c r="H196" i="1" s="1"/>
  <c r="I196" i="1" s="1"/>
  <c r="J196" i="1" s="1"/>
  <c r="K196" i="1" s="1"/>
  <c r="L196" i="1" s="1"/>
  <c r="M196" i="1" s="1"/>
  <c r="N196" i="1" s="1"/>
  <c r="O196" i="1" s="1"/>
  <c r="P196" i="1" s="1"/>
  <c r="Q196" i="1" s="1"/>
  <c r="R196" i="1" s="1"/>
  <c r="S196" i="1" s="1"/>
  <c r="T196" i="1" s="1"/>
  <c r="U196" i="1" s="1"/>
  <c r="V196" i="1" s="1"/>
  <c r="W196" i="1" s="1"/>
  <c r="X196" i="1" s="1"/>
  <c r="Y196" i="1" s="1"/>
  <c r="Z196" i="1" s="1"/>
  <c r="AA196" i="1" s="1"/>
  <c r="AB196" i="1" s="1"/>
  <c r="AC196" i="1" s="1"/>
  <c r="AD196" i="1" s="1"/>
  <c r="R160" i="1"/>
  <c r="Q160" i="1"/>
  <c r="P160" i="1"/>
  <c r="P161" i="1" s="1"/>
  <c r="O160" i="1"/>
  <c r="N160" i="1"/>
  <c r="D158" i="1"/>
  <c r="E158" i="1" s="1"/>
  <c r="F158" i="1" s="1"/>
  <c r="G158" i="1" s="1"/>
  <c r="H158" i="1" s="1"/>
  <c r="I158" i="1" s="1"/>
  <c r="J158" i="1" s="1"/>
  <c r="K158" i="1" s="1"/>
  <c r="L158" i="1" s="1"/>
  <c r="M158" i="1" s="1"/>
  <c r="N158" i="1" s="1"/>
  <c r="O158" i="1" s="1"/>
  <c r="P158" i="1" s="1"/>
  <c r="Q158" i="1" s="1"/>
  <c r="R158" i="1" s="1"/>
  <c r="S158" i="1" s="1"/>
  <c r="T158" i="1" s="1"/>
  <c r="U158" i="1" s="1"/>
  <c r="V158" i="1" s="1"/>
  <c r="W158" i="1" s="1"/>
  <c r="X158" i="1" s="1"/>
  <c r="Y158" i="1" s="1"/>
  <c r="Z158" i="1" s="1"/>
  <c r="AA158" i="1" s="1"/>
  <c r="AB158" i="1" s="1"/>
  <c r="AC158" i="1" s="1"/>
  <c r="AD158" i="1" s="1"/>
  <c r="M153" i="1"/>
  <c r="L153" i="1"/>
  <c r="M152" i="1"/>
  <c r="L152" i="1"/>
  <c r="R142" i="1"/>
  <c r="Q142" i="1"/>
  <c r="M142" i="1"/>
  <c r="L142" i="1"/>
  <c r="D131" i="1"/>
  <c r="E131" i="1" s="1"/>
  <c r="F131" i="1" s="1"/>
  <c r="G131" i="1" s="1"/>
  <c r="H131" i="1" s="1"/>
  <c r="I131" i="1" s="1"/>
  <c r="J131" i="1" s="1"/>
  <c r="K131" i="1" s="1"/>
  <c r="L131" i="1" s="1"/>
  <c r="M131" i="1" s="1"/>
  <c r="N131" i="1" s="1"/>
  <c r="O131" i="1" s="1"/>
  <c r="P131" i="1" s="1"/>
  <c r="Q131" i="1" s="1"/>
  <c r="R131" i="1" s="1"/>
  <c r="S131" i="1" s="1"/>
  <c r="T131" i="1" s="1"/>
  <c r="U131" i="1" s="1"/>
  <c r="V131" i="1" s="1"/>
  <c r="W131" i="1" s="1"/>
  <c r="X131" i="1" s="1"/>
  <c r="Y131" i="1" s="1"/>
  <c r="Z131" i="1" s="1"/>
  <c r="AA131" i="1" s="1"/>
  <c r="AB131" i="1" s="1"/>
  <c r="AC131" i="1" s="1"/>
  <c r="AD131" i="1" s="1"/>
  <c r="M119" i="1"/>
  <c r="M110" i="1"/>
  <c r="L110" i="1"/>
  <c r="M109" i="1"/>
  <c r="D107" i="1"/>
  <c r="E107" i="1" s="1"/>
  <c r="F107" i="1" s="1"/>
  <c r="G107" i="1" s="1"/>
  <c r="H107" i="1" s="1"/>
  <c r="I107" i="1" s="1"/>
  <c r="J107" i="1" s="1"/>
  <c r="K107" i="1" s="1"/>
  <c r="L107" i="1" s="1"/>
  <c r="M107" i="1" s="1"/>
  <c r="N107" i="1" s="1"/>
  <c r="O107" i="1" s="1"/>
  <c r="P107" i="1" s="1"/>
  <c r="Q107" i="1" s="1"/>
  <c r="R107" i="1" s="1"/>
  <c r="S107" i="1" s="1"/>
  <c r="T107" i="1" s="1"/>
  <c r="U107" i="1" s="1"/>
  <c r="V107" i="1" s="1"/>
  <c r="W107" i="1" s="1"/>
  <c r="X107" i="1" s="1"/>
  <c r="Y107" i="1" s="1"/>
  <c r="Z107" i="1" s="1"/>
  <c r="AA107" i="1" s="1"/>
  <c r="AB107" i="1" s="1"/>
  <c r="AC107" i="1" s="1"/>
  <c r="AD107" i="1" s="1"/>
  <c r="AE101" i="1"/>
  <c r="R98" i="1"/>
  <c r="Q98" i="1"/>
  <c r="P98" i="1"/>
  <c r="O98" i="1"/>
  <c r="N98" i="1"/>
  <c r="M98" i="1"/>
  <c r="L98" i="1"/>
  <c r="R96" i="1"/>
  <c r="Q96" i="1"/>
  <c r="P96" i="1"/>
  <c r="O96" i="1"/>
  <c r="N96" i="1"/>
  <c r="M96" i="1"/>
  <c r="L96" i="1"/>
  <c r="D90" i="1"/>
  <c r="E90" i="1" s="1"/>
  <c r="F90" i="1" s="1"/>
  <c r="G90" i="1" s="1"/>
  <c r="H90" i="1" s="1"/>
  <c r="I90" i="1" s="1"/>
  <c r="J90" i="1" s="1"/>
  <c r="K90" i="1" s="1"/>
  <c r="L90" i="1" s="1"/>
  <c r="M90" i="1" s="1"/>
  <c r="N90" i="1" s="1"/>
  <c r="O90" i="1" s="1"/>
  <c r="P90" i="1" s="1"/>
  <c r="Q90" i="1" s="1"/>
  <c r="R90" i="1" s="1"/>
  <c r="S90" i="1" s="1"/>
  <c r="T90" i="1" s="1"/>
  <c r="U90" i="1" s="1"/>
  <c r="V90" i="1" s="1"/>
  <c r="W90" i="1" s="1"/>
  <c r="X90" i="1" s="1"/>
  <c r="Y90" i="1" s="1"/>
  <c r="Z90" i="1" s="1"/>
  <c r="AA90" i="1" s="1"/>
  <c r="AB90" i="1" s="1"/>
  <c r="AC90" i="1" s="1"/>
  <c r="AD90" i="1" s="1"/>
  <c r="M79" i="1"/>
  <c r="L79" i="1"/>
  <c r="M76" i="1"/>
  <c r="M229" i="1" s="1"/>
  <c r="M77" i="1" s="1"/>
  <c r="L76" i="1"/>
  <c r="L229" i="1" s="1"/>
  <c r="L77" i="1" s="1"/>
  <c r="M66" i="1"/>
  <c r="M65" i="1"/>
  <c r="R33" i="9" s="1"/>
  <c r="L66" i="1"/>
  <c r="L65" i="1"/>
  <c r="M61" i="1"/>
  <c r="L61" i="1"/>
  <c r="M60" i="1"/>
  <c r="L60" i="1"/>
  <c r="L59" i="1"/>
  <c r="D57" i="1"/>
  <c r="E57" i="1" s="1"/>
  <c r="F57" i="1" s="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O32" i="1"/>
  <c r="H24" i="6" s="1"/>
  <c r="K32" i="1"/>
  <c r="J32" i="1"/>
  <c r="I32" i="1"/>
  <c r="H32" i="1"/>
  <c r="G32" i="1"/>
  <c r="F32" i="1"/>
  <c r="E32" i="1"/>
  <c r="K31" i="1"/>
  <c r="J31" i="1"/>
  <c r="I31" i="1"/>
  <c r="H31" i="1"/>
  <c r="G31" i="1"/>
  <c r="F31" i="1"/>
  <c r="E31" i="1"/>
  <c r="N27" i="1"/>
  <c r="K27" i="1"/>
  <c r="J27" i="1"/>
  <c r="I27" i="1"/>
  <c r="H27" i="1"/>
  <c r="G27" i="1"/>
  <c r="F27" i="1"/>
  <c r="E27" i="1"/>
  <c r="K20" i="1"/>
  <c r="J20" i="1"/>
  <c r="I20" i="1"/>
  <c r="H20" i="1"/>
  <c r="G20" i="1"/>
  <c r="F20" i="1"/>
  <c r="E20" i="1"/>
  <c r="K19" i="1"/>
  <c r="J19" i="1"/>
  <c r="I19" i="1"/>
  <c r="H19" i="1"/>
  <c r="G19" i="1"/>
  <c r="F19" i="1"/>
  <c r="E19" i="1"/>
  <c r="K17" i="1"/>
  <c r="J17" i="1"/>
  <c r="I17" i="1"/>
  <c r="H17" i="1"/>
  <c r="G17" i="1"/>
  <c r="F17" i="1"/>
  <c r="E17" i="1"/>
  <c r="M14" i="1"/>
  <c r="L14" i="1"/>
  <c r="K14" i="1"/>
  <c r="J14" i="1"/>
  <c r="I14" i="1"/>
  <c r="H14" i="1"/>
  <c r="G14" i="1"/>
  <c r="F14" i="1"/>
  <c r="J8" i="1"/>
  <c r="I8" i="1"/>
  <c r="H8" i="1"/>
  <c r="G8" i="1"/>
  <c r="F8" i="1"/>
  <c r="G24" i="1"/>
  <c r="E24" i="1"/>
  <c r="F24" i="1"/>
  <c r="H286" i="1"/>
  <c r="E286" i="1"/>
  <c r="I286" i="1"/>
  <c r="I24" i="1"/>
  <c r="J24" i="1"/>
  <c r="P73" i="1"/>
  <c r="P72" i="1"/>
  <c r="O73" i="1"/>
  <c r="N73" i="1"/>
  <c r="K8" i="1"/>
  <c r="H24" i="1"/>
  <c r="L201" i="1"/>
  <c r="L198" i="1"/>
  <c r="L8" i="1"/>
  <c r="M198" i="1"/>
  <c r="M8" i="1"/>
  <c r="N79" i="1"/>
  <c r="L166" i="1"/>
  <c r="L167" i="1" s="1"/>
  <c r="D286" i="1"/>
  <c r="F286" i="1"/>
  <c r="G286" i="1"/>
  <c r="D285" i="1"/>
  <c r="I319" i="1"/>
  <c r="L116" i="1"/>
  <c r="K24" i="1"/>
  <c r="N61" i="1"/>
  <c r="N202" i="1"/>
  <c r="O79" i="1"/>
  <c r="F319" i="1"/>
  <c r="J319" i="1"/>
  <c r="D319" i="1"/>
  <c r="N60" i="1"/>
  <c r="N199" i="1"/>
  <c r="M116" i="1"/>
  <c r="H319" i="1"/>
  <c r="E319" i="1"/>
  <c r="G319" i="1"/>
  <c r="O72" i="1"/>
  <c r="K319" i="1"/>
  <c r="K286" i="1"/>
  <c r="J286" i="1"/>
  <c r="I22" i="2"/>
  <c r="I39" i="7"/>
  <c r="K327" i="1"/>
  <c r="L327" i="1"/>
  <c r="M327" i="1"/>
  <c r="O199" i="1"/>
  <c r="J13" i="2"/>
  <c r="E12" i="5"/>
  <c r="O76" i="1"/>
  <c r="O229" i="1" s="1"/>
  <c r="O77" i="1" s="1"/>
  <c r="S116" i="9"/>
  <c r="S16" i="9"/>
  <c r="J10" i="2"/>
  <c r="AC82" i="3"/>
  <c r="J22" i="2"/>
  <c r="J39" i="2"/>
  <c r="T11" i="9"/>
  <c r="J39" i="7"/>
  <c r="F12" i="5"/>
  <c r="U11" i="9"/>
  <c r="S18" i="9"/>
  <c r="N8" i="1"/>
  <c r="S22" i="9"/>
  <c r="G20" i="6"/>
  <c r="N293" i="1"/>
  <c r="N295" i="1" s="1"/>
  <c r="N347" i="1"/>
  <c r="N45" i="1"/>
  <c r="T18" i="9"/>
  <c r="O8" i="1"/>
  <c r="T22" i="9"/>
  <c r="O45" i="1"/>
  <c r="H20" i="6"/>
  <c r="O347" i="1"/>
  <c r="O293" i="1"/>
  <c r="O295" i="1" s="1"/>
  <c r="G19" i="6"/>
  <c r="N13" i="1"/>
  <c r="N312" i="1"/>
  <c r="S19" i="9"/>
  <c r="S143" i="9" s="1"/>
  <c r="N52" i="1"/>
  <c r="S23" i="9" s="1"/>
  <c r="S109" i="9" s="1"/>
  <c r="E383" i="14" s="1"/>
  <c r="N14" i="1"/>
  <c r="N65" i="1"/>
  <c r="S33" i="9" s="1"/>
  <c r="N152" i="1"/>
  <c r="N119" i="1"/>
  <c r="O13" i="1"/>
  <c r="O17" i="1"/>
  <c r="O238" i="1" s="1"/>
  <c r="O52" i="1"/>
  <c r="O91" i="1" s="1"/>
  <c r="O14" i="1"/>
  <c r="O312" i="1"/>
  <c r="T19" i="9"/>
  <c r="T143" i="9" s="1"/>
  <c r="H19" i="6"/>
  <c r="O119" i="1"/>
  <c r="O152" i="1"/>
  <c r="N31" i="1"/>
  <c r="N59" i="1"/>
  <c r="O31" i="1"/>
  <c r="F13" i="5"/>
  <c r="L40" i="7"/>
  <c r="K17" i="7"/>
  <c r="Q27" i="1"/>
  <c r="K10" i="2"/>
  <c r="P38" i="1"/>
  <c r="I36" i="6" s="1"/>
  <c r="M314" i="1"/>
  <c r="M346" i="1" s="1"/>
  <c r="P27" i="1"/>
  <c r="M113" i="1"/>
  <c r="N113" i="1" s="1"/>
  <c r="K105" i="2"/>
  <c r="O38" i="1"/>
  <c r="H36" i="6" s="1"/>
  <c r="P277" i="1"/>
  <c r="P318" i="1" s="1"/>
  <c r="H28" i="5"/>
  <c r="K14" i="2"/>
  <c r="S27" i="1"/>
  <c r="C13" i="5"/>
  <c r="L17" i="7"/>
  <c r="Q316" i="1"/>
  <c r="P76" i="1"/>
  <c r="P229" i="1" s="1"/>
  <c r="P77" i="1" s="1"/>
  <c r="P178" i="1"/>
  <c r="K23" i="2"/>
  <c r="K13" i="2"/>
  <c r="Q73" i="1"/>
  <c r="R73" i="1"/>
  <c r="Y198" i="1"/>
  <c r="Z198" i="1" s="1"/>
  <c r="Q60" i="1"/>
  <c r="K32" i="2"/>
  <c r="L105" i="2"/>
  <c r="K39" i="2"/>
  <c r="P79" i="1"/>
  <c r="Q32" i="1"/>
  <c r="J24" i="6" s="1"/>
  <c r="Q277" i="1"/>
  <c r="Q318" i="1" s="1"/>
  <c r="I24" i="6"/>
  <c r="P199" i="1"/>
  <c r="K31" i="2"/>
  <c r="Y208" i="1"/>
  <c r="Z208" i="1" s="1"/>
  <c r="Q72" i="1"/>
  <c r="L13" i="2"/>
  <c r="F828" i="4" s="1"/>
  <c r="R38" i="1"/>
  <c r="K36" i="6" s="1"/>
  <c r="Q38" i="1"/>
  <c r="J36" i="6" s="1"/>
  <c r="R76" i="1"/>
  <c r="R229" i="1" s="1"/>
  <c r="Q178" i="1"/>
  <c r="Q76" i="1"/>
  <c r="Q229" i="1" s="1"/>
  <c r="Q61" i="1"/>
  <c r="K22" i="2"/>
  <c r="V11" i="9"/>
  <c r="Q79" i="1"/>
  <c r="R318" i="1"/>
  <c r="R32" i="1"/>
  <c r="K24" i="6" s="1"/>
  <c r="K39" i="7"/>
  <c r="G13" i="5"/>
  <c r="G12" i="5"/>
  <c r="Q202" i="1"/>
  <c r="U18" i="9"/>
  <c r="G389" i="14" s="1"/>
  <c r="D88" i="7"/>
  <c r="D110" i="7" s="1"/>
  <c r="P8" i="1"/>
  <c r="E126" i="7"/>
  <c r="K115" i="2"/>
  <c r="U22" i="9"/>
  <c r="E131" i="7"/>
  <c r="P47" i="1"/>
  <c r="I20" i="6"/>
  <c r="P293" i="1"/>
  <c r="P295" i="1" s="1"/>
  <c r="P45" i="1"/>
  <c r="D213" i="7" s="1"/>
  <c r="P347" i="1"/>
  <c r="D95" i="7"/>
  <c r="D116" i="7" s="1"/>
  <c r="E128" i="7"/>
  <c r="P119" i="1"/>
  <c r="P65" i="1"/>
  <c r="U33" i="9" s="1"/>
  <c r="P152" i="1"/>
  <c r="D93" i="7"/>
  <c r="U19" i="9"/>
  <c r="U143" i="9" s="1"/>
  <c r="P13" i="1"/>
  <c r="P52" i="1"/>
  <c r="P91" i="1" s="1"/>
  <c r="P312" i="1"/>
  <c r="I19" i="6"/>
  <c r="U28" i="9"/>
  <c r="U110" i="9"/>
  <c r="P31" i="1"/>
  <c r="P166" i="1"/>
  <c r="L92" i="1" l="1"/>
  <c r="Q110" i="9" s="1"/>
  <c r="P50" i="1"/>
  <c r="E58" i="6" s="1"/>
  <c r="E59" i="6" s="1"/>
  <c r="C378" i="14"/>
  <c r="I21" i="6"/>
  <c r="P241" i="1"/>
  <c r="AB81" i="3"/>
  <c r="CD52" i="3"/>
  <c r="BO47" i="3"/>
  <c r="U150" i="9"/>
  <c r="U156" i="9" s="1"/>
  <c r="G378" i="14"/>
  <c r="T135" i="9"/>
  <c r="F389" i="14"/>
  <c r="Q150" i="9"/>
  <c r="Q156" i="9" s="1"/>
  <c r="R150" i="9"/>
  <c r="D378" i="14"/>
  <c r="S150" i="9"/>
  <c r="S156" i="9" s="1"/>
  <c r="E378" i="14"/>
  <c r="Q135" i="9"/>
  <c r="S135" i="9"/>
  <c r="E389" i="14"/>
  <c r="T150" i="9"/>
  <c r="T156" i="9" s="1"/>
  <c r="F378" i="14"/>
  <c r="R135" i="9"/>
  <c r="D389" i="14"/>
  <c r="D396" i="14" s="1"/>
  <c r="O327" i="1"/>
  <c r="O338" i="1"/>
  <c r="AJ162" i="3" s="1"/>
  <c r="L239" i="1"/>
  <c r="N24" i="1"/>
  <c r="S28" i="9" s="1"/>
  <c r="N92" i="1"/>
  <c r="S110" i="9" s="1"/>
  <c r="O24" i="1"/>
  <c r="O92" i="1"/>
  <c r="D10" i="5"/>
  <c r="AM70" i="3"/>
  <c r="CR70" i="3" s="1"/>
  <c r="M97" i="1"/>
  <c r="R116" i="9" s="1"/>
  <c r="P325" i="1"/>
  <c r="Q325" i="1" s="1"/>
  <c r="J40" i="2"/>
  <c r="L192" i="1"/>
  <c r="L190" i="1" s="1"/>
  <c r="L67" i="1" s="1"/>
  <c r="G37" i="2"/>
  <c r="L113" i="1"/>
  <c r="E19" i="2"/>
  <c r="H28" i="2"/>
  <c r="H90" i="2"/>
  <c r="L72" i="1"/>
  <c r="U23" i="9"/>
  <c r="U24" i="9" s="1"/>
  <c r="U26" i="9" s="1"/>
  <c r="P53" i="1"/>
  <c r="B75" i="3"/>
  <c r="B81" i="3" s="1"/>
  <c r="B30" i="13"/>
  <c r="AH123" i="3"/>
  <c r="AI123" i="3"/>
  <c r="AJ122" i="3"/>
  <c r="Y92" i="3"/>
  <c r="AE93" i="3"/>
  <c r="AF123" i="3"/>
  <c r="AH92" i="3"/>
  <c r="B76" i="3"/>
  <c r="B82" i="3" s="1"/>
  <c r="B31" i="13"/>
  <c r="AG92" i="3"/>
  <c r="AD123" i="3"/>
  <c r="AA92" i="3"/>
  <c r="B77" i="3"/>
  <c r="B83" i="3" s="1"/>
  <c r="B32" i="13"/>
  <c r="AG93" i="3"/>
  <c r="AI121" i="3"/>
  <c r="Z94" i="3"/>
  <c r="AC92" i="3"/>
  <c r="AD93" i="3"/>
  <c r="AE122" i="3"/>
  <c r="AG94" i="3"/>
  <c r="AG123" i="3"/>
  <c r="AJ94" i="3"/>
  <c r="AF94" i="3"/>
  <c r="AF121" i="3"/>
  <c r="AI94" i="3"/>
  <c r="AA94" i="3"/>
  <c r="X92" i="3"/>
  <c r="AD92" i="3"/>
  <c r="AJ93" i="3"/>
  <c r="AK93" i="3"/>
  <c r="AL93" i="3"/>
  <c r="AB93" i="3"/>
  <c r="AE94" i="3"/>
  <c r="AG121" i="3"/>
  <c r="AH93" i="3"/>
  <c r="AJ121" i="3"/>
  <c r="AL94" i="3"/>
  <c r="L154" i="1"/>
  <c r="L161" i="1"/>
  <c r="L315" i="1" s="1"/>
  <c r="L137" i="1"/>
  <c r="J7" i="2"/>
  <c r="J18" i="7" s="1"/>
  <c r="E220" i="1"/>
  <c r="F84" i="2"/>
  <c r="F87" i="2" s="1"/>
  <c r="Q35" i="2"/>
  <c r="P36" i="2"/>
  <c r="P37" i="2" s="1"/>
  <c r="H9" i="10"/>
  <c r="BN47" i="3"/>
  <c r="P210" i="1"/>
  <c r="P211" i="1" s="1"/>
  <c r="M179" i="1"/>
  <c r="M181" i="1" s="1"/>
  <c r="AA198" i="1"/>
  <c r="AA208" i="1"/>
  <c r="Q23" i="5"/>
  <c r="Q10" i="5"/>
  <c r="G9" i="10"/>
  <c r="L54" i="2"/>
  <c r="L59" i="2" s="1"/>
  <c r="AA55" i="3"/>
  <c r="AA56" i="3" s="1"/>
  <c r="AK55" i="3"/>
  <c r="AK56" i="3" s="1"/>
  <c r="CP56" i="3" s="1"/>
  <c r="AF55" i="3"/>
  <c r="AF104" i="3" s="1"/>
  <c r="CI52" i="3"/>
  <c r="AH55" i="3"/>
  <c r="AH56" i="3" s="1"/>
  <c r="AH70" i="3" s="1"/>
  <c r="DG61" i="3"/>
  <c r="S56" i="3"/>
  <c r="S70" i="3" s="1"/>
  <c r="S129" i="3" s="1"/>
  <c r="T131" i="3"/>
  <c r="T56" i="3"/>
  <c r="X103" i="3"/>
  <c r="X55" i="3" s="1"/>
  <c r="X56" i="3" s="1"/>
  <c r="Y103" i="3"/>
  <c r="Y55" i="3" s="1"/>
  <c r="Y56" i="3" s="1"/>
  <c r="CQ52" i="3"/>
  <c r="AL55" i="3"/>
  <c r="AL56" i="3" s="1"/>
  <c r="CQ56" i="3" s="1"/>
  <c r="CO54" i="3"/>
  <c r="U131" i="3"/>
  <c r="U56" i="3"/>
  <c r="U70" i="3" s="1"/>
  <c r="U129" i="3" s="1"/>
  <c r="CJ54" i="3"/>
  <c r="AI55" i="3"/>
  <c r="AI56" i="3" s="1"/>
  <c r="V56" i="3"/>
  <c r="CQ54" i="3"/>
  <c r="CO52" i="3"/>
  <c r="AJ55" i="3"/>
  <c r="AJ56" i="3" s="1"/>
  <c r="CO56" i="3" s="1"/>
  <c r="K23" i="5"/>
  <c r="O93" i="2" s="1"/>
  <c r="O94" i="2" s="1"/>
  <c r="L23" i="5"/>
  <c r="F9" i="10"/>
  <c r="J19" i="2"/>
  <c r="N6" i="2"/>
  <c r="Q23" i="9"/>
  <c r="Q109" i="9" s="1"/>
  <c r="C383" i="14" s="1"/>
  <c r="M339" i="1"/>
  <c r="N72" i="1"/>
  <c r="N210" i="1" s="1"/>
  <c r="I220" i="1"/>
  <c r="M220" i="1"/>
  <c r="I52" i="1"/>
  <c r="I53" i="1" s="1"/>
  <c r="L208" i="1"/>
  <c r="E23" i="5"/>
  <c r="E31" i="5" s="1"/>
  <c r="L53" i="1"/>
  <c r="M192" i="1"/>
  <c r="M190" i="1" s="1"/>
  <c r="M67" i="1" s="1"/>
  <c r="H220" i="1"/>
  <c r="L220" i="1"/>
  <c r="N336" i="1"/>
  <c r="J9" i="10"/>
  <c r="K9" i="10"/>
  <c r="C190" i="7"/>
  <c r="C197" i="7" s="1"/>
  <c r="C202" i="7" s="1"/>
  <c r="C207" i="7" s="1"/>
  <c r="C217" i="7"/>
  <c r="C191" i="7"/>
  <c r="C198" i="7" s="1"/>
  <c r="C203" i="7" s="1"/>
  <c r="C208" i="7" s="1"/>
  <c r="C218" i="7"/>
  <c r="E187" i="7"/>
  <c r="E199" i="7" s="1"/>
  <c r="E197" i="7"/>
  <c r="E207" i="7" s="1"/>
  <c r="E209" i="7" s="1"/>
  <c r="N23" i="5"/>
  <c r="M23" i="5"/>
  <c r="Q93" i="2" s="1"/>
  <c r="S24" i="9"/>
  <c r="G6" i="6"/>
  <c r="G16" i="6" s="1"/>
  <c r="W95" i="3"/>
  <c r="N112" i="1"/>
  <c r="O113" i="1"/>
  <c r="P113" i="1" s="1"/>
  <c r="I40" i="2"/>
  <c r="Q210" i="1"/>
  <c r="Q211" i="1" s="1"/>
  <c r="M208" i="1"/>
  <c r="R20" i="9"/>
  <c r="M239" i="1"/>
  <c r="P10" i="5"/>
  <c r="L97" i="1"/>
  <c r="Q116" i="9" s="1"/>
  <c r="I28" i="2"/>
  <c r="O180" i="1"/>
  <c r="O182" i="1" s="1"/>
  <c r="S9" i="9"/>
  <c r="I3" i="6"/>
  <c r="U3" i="9" s="1"/>
  <c r="L7" i="2"/>
  <c r="L18" i="7" s="1"/>
  <c r="K7" i="2"/>
  <c r="K18" i="7" s="1"/>
  <c r="L286" i="1"/>
  <c r="O210" i="1"/>
  <c r="N203" i="1"/>
  <c r="N204" i="1" s="1"/>
  <c r="M154" i="1"/>
  <c r="F37" i="2"/>
  <c r="D23" i="5"/>
  <c r="D36" i="5" s="1"/>
  <c r="M178" i="1"/>
  <c r="N178" i="1"/>
  <c r="N180" i="1" s="1"/>
  <c r="J28" i="2"/>
  <c r="M135" i="1"/>
  <c r="N135" i="1" s="1"/>
  <c r="O135" i="1" s="1"/>
  <c r="M203" i="1"/>
  <c r="M204" i="1" s="1"/>
  <c r="P338" i="1"/>
  <c r="P339" i="1" s="1"/>
  <c r="P23" i="5"/>
  <c r="T93" i="2" s="1"/>
  <c r="Y93" i="3"/>
  <c r="AE92" i="3"/>
  <c r="AI93" i="3"/>
  <c r="Z92" i="3"/>
  <c r="X93" i="3"/>
  <c r="AF93" i="3"/>
  <c r="AH94" i="3"/>
  <c r="AD94" i="3"/>
  <c r="AK13" i="3"/>
  <c r="AK10" i="3" s="1"/>
  <c r="AK92" i="3"/>
  <c r="AB92" i="3"/>
  <c r="Z93" i="3"/>
  <c r="X94" i="3"/>
  <c r="AB94" i="3"/>
  <c r="AC94" i="3"/>
  <c r="AK94" i="3"/>
  <c r="AA93" i="3"/>
  <c r="Y94" i="3"/>
  <c r="AC93" i="3"/>
  <c r="AF92" i="3"/>
  <c r="AI92" i="3"/>
  <c r="AJ92" i="3"/>
  <c r="AL92" i="3"/>
  <c r="J77" i="2"/>
  <c r="H250" i="7"/>
  <c r="K253" i="7"/>
  <c r="H7" i="6"/>
  <c r="T9" i="9" s="1"/>
  <c r="F32" i="6"/>
  <c r="G184" i="7"/>
  <c r="H184" i="7" s="1"/>
  <c r="H189" i="7" s="1"/>
  <c r="H196" i="7" s="1"/>
  <c r="H201" i="7" s="1"/>
  <c r="H206" i="7" s="1"/>
  <c r="S73" i="1"/>
  <c r="Q327" i="1"/>
  <c r="J3" i="6"/>
  <c r="V3" i="9" s="1"/>
  <c r="J32" i="6"/>
  <c r="K8" i="6"/>
  <c r="T3" i="9"/>
  <c r="T4" i="9" s="1"/>
  <c r="H6" i="6"/>
  <c r="H30" i="6" s="1"/>
  <c r="K70" i="2"/>
  <c r="S38" i="1"/>
  <c r="L36" i="6" s="1"/>
  <c r="X13" i="9" s="1"/>
  <c r="M161" i="1"/>
  <c r="M209" i="1"/>
  <c r="M50" i="1"/>
  <c r="M91" i="1"/>
  <c r="O209" i="1"/>
  <c r="F220" i="1"/>
  <c r="J220" i="1"/>
  <c r="F40" i="2"/>
  <c r="E40" i="2"/>
  <c r="I32" i="6"/>
  <c r="K37" i="2"/>
  <c r="G23" i="5"/>
  <c r="G31" i="5" s="1"/>
  <c r="R178" i="1"/>
  <c r="R171" i="1" s="1"/>
  <c r="P331" i="1"/>
  <c r="P333" i="1" s="1"/>
  <c r="Q171" i="1"/>
  <c r="G220" i="1"/>
  <c r="M38" i="1"/>
  <c r="F36" i="6" s="1"/>
  <c r="F47" i="6" s="1"/>
  <c r="L314" i="1"/>
  <c r="L346" i="1" s="1"/>
  <c r="M53" i="1"/>
  <c r="O10" i="5"/>
  <c r="F22" i="1"/>
  <c r="F29" i="1" s="1"/>
  <c r="F34" i="1" s="1"/>
  <c r="F285" i="1" s="1"/>
  <c r="J22" i="1"/>
  <c r="J29" i="1" s="1"/>
  <c r="J34" i="1" s="1"/>
  <c r="J285" i="1" s="1"/>
  <c r="O50" i="1"/>
  <c r="D58" i="6" s="1"/>
  <c r="D59" i="6" s="1"/>
  <c r="G29" i="5"/>
  <c r="I70" i="2"/>
  <c r="K40" i="2"/>
  <c r="M92" i="1"/>
  <c r="R110" i="9" s="1"/>
  <c r="F114" i="2"/>
  <c r="M336" i="1"/>
  <c r="G28" i="2"/>
  <c r="M10" i="5"/>
  <c r="P327" i="1"/>
  <c r="E22" i="1"/>
  <c r="E29" i="1" s="1"/>
  <c r="E34" i="1" s="1"/>
  <c r="E285" i="1" s="1"/>
  <c r="I22" i="1"/>
  <c r="I29" i="1" s="1"/>
  <c r="I34" i="1" s="1"/>
  <c r="I285" i="1" s="1"/>
  <c r="Q33" i="9"/>
  <c r="F19" i="2"/>
  <c r="E28" i="2"/>
  <c r="H37" i="2"/>
  <c r="F95" i="2"/>
  <c r="H91" i="2"/>
  <c r="K10" i="5"/>
  <c r="N50" i="1"/>
  <c r="C58" i="6" s="1"/>
  <c r="C59" i="6" s="1"/>
  <c r="E168" i="7"/>
  <c r="E265" i="1"/>
  <c r="F265" i="1" s="1"/>
  <c r="O23" i="5"/>
  <c r="R109" i="9"/>
  <c r="D383" i="14" s="1"/>
  <c r="E190" i="7"/>
  <c r="R156" i="9"/>
  <c r="E121" i="7"/>
  <c r="E122" i="7" s="1"/>
  <c r="F6" i="6"/>
  <c r="F16" i="6" s="1"/>
  <c r="L10" i="5"/>
  <c r="U135" i="9"/>
  <c r="V13" i="9"/>
  <c r="J47" i="6"/>
  <c r="H47" i="6"/>
  <c r="T13" i="9"/>
  <c r="H40" i="2"/>
  <c r="H84" i="2"/>
  <c r="G40" i="2"/>
  <c r="G84" i="2"/>
  <c r="K51" i="1"/>
  <c r="K50" i="1"/>
  <c r="S4" i="9"/>
  <c r="R4" i="9"/>
  <c r="P220" i="1"/>
  <c r="O220" i="1"/>
  <c r="P203" i="1"/>
  <c r="C9" i="10"/>
  <c r="H10" i="5"/>
  <c r="H23" i="5"/>
  <c r="Y201" i="1"/>
  <c r="Z201" i="1" s="1"/>
  <c r="D4" i="10"/>
  <c r="M17" i="7"/>
  <c r="O53" i="1"/>
  <c r="T23" i="9"/>
  <c r="G22" i="1"/>
  <c r="G29" i="1" s="1"/>
  <c r="G34" i="1" s="1"/>
  <c r="G285" i="1" s="1"/>
  <c r="K22" i="1"/>
  <c r="K29" i="1" s="1"/>
  <c r="K34" i="1" s="1"/>
  <c r="K285" i="1" s="1"/>
  <c r="O3" i="1"/>
  <c r="C57" i="6"/>
  <c r="C70" i="6" s="1"/>
  <c r="L73" i="1"/>
  <c r="L210" i="1" s="1"/>
  <c r="L178" i="1"/>
  <c r="P315" i="1"/>
  <c r="I25" i="6"/>
  <c r="U31" i="9" s="1"/>
  <c r="T73" i="1"/>
  <c r="I47" i="6"/>
  <c r="U13" i="9"/>
  <c r="F28" i="2"/>
  <c r="M22" i="1"/>
  <c r="M238" i="1"/>
  <c r="E13" i="5"/>
  <c r="E10" i="5"/>
  <c r="F23" i="5"/>
  <c r="F10" i="5"/>
  <c r="P167" i="1"/>
  <c r="M10" i="2"/>
  <c r="R329" i="1"/>
  <c r="Q20" i="9"/>
  <c r="J50" i="1"/>
  <c r="J51" i="1"/>
  <c r="K19" i="2"/>
  <c r="H22" i="1"/>
  <c r="H29" i="1" s="1"/>
  <c r="H34" i="1" s="1"/>
  <c r="H285" i="1" s="1"/>
  <c r="J37" i="2"/>
  <c r="I37" i="2"/>
  <c r="N339" i="1"/>
  <c r="O97" i="1"/>
  <c r="O203" i="1"/>
  <c r="L28" i="2"/>
  <c r="K28" i="2"/>
  <c r="J70" i="2"/>
  <c r="R60" i="1"/>
  <c r="R199" i="1"/>
  <c r="Q338" i="1"/>
  <c r="R325" i="1"/>
  <c r="R338" i="1" s="1"/>
  <c r="N91" i="1"/>
  <c r="K220" i="1"/>
  <c r="M51" i="1"/>
  <c r="L203" i="1"/>
  <c r="M210" i="1"/>
  <c r="Q331" i="1"/>
  <c r="Q333" i="1" s="1"/>
  <c r="N137" i="1"/>
  <c r="L70" i="2"/>
  <c r="D94" i="7"/>
  <c r="D115" i="7"/>
  <c r="H32" i="6"/>
  <c r="N209" i="1"/>
  <c r="N53" i="1"/>
  <c r="E37" i="2"/>
  <c r="F2" i="2"/>
  <c r="O331" i="1"/>
  <c r="O333" i="1" s="1"/>
  <c r="H98" i="2"/>
  <c r="H114" i="2"/>
  <c r="L51" i="1"/>
  <c r="L50" i="1"/>
  <c r="L238" i="1"/>
  <c r="L22" i="1"/>
  <c r="L29" i="1" s="1"/>
  <c r="L34" i="1" s="1"/>
  <c r="N220" i="1"/>
  <c r="H19" i="2"/>
  <c r="I19" i="2"/>
  <c r="G91" i="2"/>
  <c r="G90" i="2"/>
  <c r="D84" i="2"/>
  <c r="J114" i="2"/>
  <c r="M166" i="1"/>
  <c r="M167" i="1" s="1"/>
  <c r="N166" i="1"/>
  <c r="B9" i="10"/>
  <c r="G10" i="5"/>
  <c r="I9" i="10"/>
  <c r="N10" i="5"/>
  <c r="E84" i="2"/>
  <c r="D190" i="7"/>
  <c r="C109" i="6"/>
  <c r="N49" i="15" s="1"/>
  <c r="N51" i="15" s="1"/>
  <c r="G146" i="7"/>
  <c r="D187" i="7"/>
  <c r="D96" i="7"/>
  <c r="D117" i="7" s="1"/>
  <c r="W13" i="9"/>
  <c r="K47" i="6"/>
  <c r="G47" i="6"/>
  <c r="S13" i="9"/>
  <c r="CG119" i="3"/>
  <c r="Z83" i="3"/>
  <c r="CE83" i="3" s="1"/>
  <c r="AE127" i="3"/>
  <c r="CO28" i="3"/>
  <c r="AN30" i="3"/>
  <c r="CP28" i="3"/>
  <c r="AO30" i="3"/>
  <c r="AA106" i="3"/>
  <c r="AA105" i="3"/>
  <c r="CF105" i="3" s="1"/>
  <c r="CF103" i="3"/>
  <c r="CG57" i="3"/>
  <c r="AB103" i="3"/>
  <c r="AB55" i="3" s="1"/>
  <c r="AB56" i="3" s="1"/>
  <c r="CE101" i="3"/>
  <c r="AD106" i="3"/>
  <c r="AD105" i="3"/>
  <c r="CI105" i="3" s="1"/>
  <c r="W131" i="3"/>
  <c r="W103" i="3"/>
  <c r="W55" i="3" s="1"/>
  <c r="W56" i="3" s="1"/>
  <c r="CQ28" i="3"/>
  <c r="AP30" i="3"/>
  <c r="AK105" i="3"/>
  <c r="AK106" i="3"/>
  <c r="CF119" i="3"/>
  <c r="AH120" i="3"/>
  <c r="AL120" i="3"/>
  <c r="CM119" i="3"/>
  <c r="CQ119" i="3"/>
  <c r="CK119" i="3"/>
  <c r="CO119" i="3"/>
  <c r="CH119" i="3"/>
  <c r="CJ119" i="3"/>
  <c r="CN119" i="3"/>
  <c r="CP101" i="3"/>
  <c r="CL101" i="3"/>
  <c r="J23" i="5"/>
  <c r="J10" i="5"/>
  <c r="I10" i="5"/>
  <c r="I23" i="5"/>
  <c r="I31" i="5" s="1"/>
  <c r="CE64" i="3"/>
  <c r="F58" i="2"/>
  <c r="H101" i="2"/>
  <c r="E58" i="2"/>
  <c r="I98" i="2"/>
  <c r="G114" i="2"/>
  <c r="J101" i="2"/>
  <c r="I114" i="2"/>
  <c r="J98" i="2"/>
  <c r="G95" i="2"/>
  <c r="K101" i="2"/>
  <c r="K98" i="2"/>
  <c r="S32" i="1"/>
  <c r="S318" i="1"/>
  <c r="R79" i="1"/>
  <c r="S316" i="1"/>
  <c r="P180" i="1"/>
  <c r="P182" i="1" s="1"/>
  <c r="P171" i="1"/>
  <c r="V145" i="1"/>
  <c r="P105" i="2"/>
  <c r="M70" i="2"/>
  <c r="N40" i="7"/>
  <c r="M40" i="7"/>
  <c r="M7" i="2"/>
  <c r="M18" i="7" s="1"/>
  <c r="J631" i="4"/>
  <c r="CM53" i="3"/>
  <c r="CQ53" i="3"/>
  <c r="AL184" i="3"/>
  <c r="CD78" i="3"/>
  <c r="AJ127" i="3"/>
  <c r="AE123" i="3"/>
  <c r="CM131" i="3"/>
  <c r="CL54" i="3"/>
  <c r="CP54" i="3"/>
  <c r="J604" i="4"/>
  <c r="L609" i="4" s="1"/>
  <c r="CP52" i="3"/>
  <c r="AM172" i="3"/>
  <c r="CP126" i="3"/>
  <c r="CL53" i="3"/>
  <c r="CP53" i="3"/>
  <c r="AC71" i="3"/>
  <c r="AD122" i="3"/>
  <c r="AJ123" i="3"/>
  <c r="AJ184" i="3"/>
  <c r="AJ190" i="3" s="1"/>
  <c r="AB121" i="3"/>
  <c r="AA187" i="3"/>
  <c r="AK131" i="3"/>
  <c r="N69" i="2"/>
  <c r="N70" i="2" s="1"/>
  <c r="C7" i="10"/>
  <c r="BY54" i="3"/>
  <c r="AC122" i="3"/>
  <c r="CI126" i="3"/>
  <c r="CD54" i="3"/>
  <c r="BZ54" i="3"/>
  <c r="CE126" i="3"/>
  <c r="AF29" i="3"/>
  <c r="AL127" i="3"/>
  <c r="CM52" i="3"/>
  <c r="AJ68" i="3"/>
  <c r="CO68" i="3" s="1"/>
  <c r="CO64" i="3"/>
  <c r="AI127" i="3"/>
  <c r="CB53" i="3"/>
  <c r="CM64" i="3"/>
  <c r="AA121" i="3"/>
  <c r="AF124" i="3"/>
  <c r="AE190" i="3"/>
  <c r="AE191" i="3" s="1"/>
  <c r="AC124" i="3"/>
  <c r="CE78" i="3"/>
  <c r="AE124" i="3"/>
  <c r="AH124" i="3"/>
  <c r="K50" i="2"/>
  <c r="CG52" i="3"/>
  <c r="AC187" i="3"/>
  <c r="R56" i="3"/>
  <c r="R70" i="3" s="1"/>
  <c r="J29" i="3"/>
  <c r="Q29" i="3"/>
  <c r="C8" i="10"/>
  <c r="L32" i="2"/>
  <c r="E830" i="4" s="1"/>
  <c r="C5" i="10"/>
  <c r="L31" i="2"/>
  <c r="F830" i="4" s="1"/>
  <c r="L39" i="2"/>
  <c r="L40" i="2" s="1"/>
  <c r="F829" i="4"/>
  <c r="L14" i="2"/>
  <c r="E828" i="4" s="1"/>
  <c r="Z124" i="3"/>
  <c r="CC52" i="3"/>
  <c r="CJ99" i="3"/>
  <c r="CF99" i="3"/>
  <c r="AK25" i="3"/>
  <c r="CK64" i="3"/>
  <c r="CF53" i="3"/>
  <c r="AD121" i="3"/>
  <c r="AB190" i="3"/>
  <c r="AB191" i="3" s="1"/>
  <c r="BX53" i="3"/>
  <c r="CB78" i="3"/>
  <c r="CL126" i="3"/>
  <c r="AJ71" i="3"/>
  <c r="CO71" i="3" s="1"/>
  <c r="AC65" i="3"/>
  <c r="CC78" i="3"/>
  <c r="CI28" i="3"/>
  <c r="AI122" i="3"/>
  <c r="AJ29" i="3"/>
  <c r="CF12" i="3"/>
  <c r="CF64" i="3"/>
  <c r="Y71" i="3"/>
  <c r="AB122" i="3"/>
  <c r="AH127" i="3"/>
  <c r="AI184" i="3"/>
  <c r="H52" i="2"/>
  <c r="AK173" i="3"/>
  <c r="CE99" i="3"/>
  <c r="CA53" i="3"/>
  <c r="BZ28" i="3"/>
  <c r="CI99" i="3"/>
  <c r="AA124" i="3"/>
  <c r="CI131" i="3"/>
  <c r="CK131" i="3"/>
  <c r="AK127" i="3"/>
  <c r="X83" i="3"/>
  <c r="AE71" i="3"/>
  <c r="AD160" i="3"/>
  <c r="AD179" i="3"/>
  <c r="AD184" i="3" s="1"/>
  <c r="AD190" i="3" s="1"/>
  <c r="AD191" i="3" s="1"/>
  <c r="Y82" i="3"/>
  <c r="CD82" i="3" s="1"/>
  <c r="AG122" i="3"/>
  <c r="BZ53" i="3"/>
  <c r="N29" i="3"/>
  <c r="AC127" i="3"/>
  <c r="AH121" i="3"/>
  <c r="AE29" i="3"/>
  <c r="CD83" i="3"/>
  <c r="CC57" i="3"/>
  <c r="AD129" i="3"/>
  <c r="AD130" i="3" s="1"/>
  <c r="CH56" i="3"/>
  <c r="AD65" i="3"/>
  <c r="CE53" i="3"/>
  <c r="CH28" i="3"/>
  <c r="J50" i="2"/>
  <c r="AD70" i="3"/>
  <c r="AG190" i="3"/>
  <c r="AG191" i="3" s="1"/>
  <c r="U29" i="3"/>
  <c r="BY28" i="3"/>
  <c r="AH122" i="3"/>
  <c r="D132" i="7"/>
  <c r="D140" i="7"/>
  <c r="AL173" i="3"/>
  <c r="AL172" i="3"/>
  <c r="AH190" i="3"/>
  <c r="AH187" i="3"/>
  <c r="AF122" i="3"/>
  <c r="AA122" i="3"/>
  <c r="AC121" i="3"/>
  <c r="CF57" i="3"/>
  <c r="CB57" i="3"/>
  <c r="CN64" i="3"/>
  <c r="AI71" i="3"/>
  <c r="AI68" i="3"/>
  <c r="CN68" i="3" s="1"/>
  <c r="AI124" i="3"/>
  <c r="AF190" i="3"/>
  <c r="AF191" i="3" s="1"/>
  <c r="AG70" i="3"/>
  <c r="CH70" i="3" s="1"/>
  <c r="X29" i="3"/>
  <c r="BX28" i="3"/>
  <c r="AB29" i="3"/>
  <c r="CB28" i="3"/>
  <c r="CG64" i="3"/>
  <c r="K60" i="7"/>
  <c r="BZ57" i="3"/>
  <c r="CD57" i="3"/>
  <c r="CF52" i="3"/>
  <c r="AA81" i="3"/>
  <c r="AK68" i="3"/>
  <c r="CP68" i="3" s="1"/>
  <c r="AK71" i="3"/>
  <c r="O56" i="3"/>
  <c r="O70" i="3" s="1"/>
  <c r="S131" i="3"/>
  <c r="BX57" i="3"/>
  <c r="H29" i="3"/>
  <c r="AB124" i="3"/>
  <c r="BX54" i="3"/>
  <c r="F50" i="2"/>
  <c r="G50" i="2"/>
  <c r="F51" i="2"/>
  <c r="G51" i="2"/>
  <c r="F52" i="2"/>
  <c r="CC28" i="3"/>
  <c r="AE121" i="3"/>
  <c r="AG127" i="3"/>
  <c r="CH99" i="3"/>
  <c r="CL28" i="3"/>
  <c r="W71" i="3"/>
  <c r="AD127" i="3"/>
  <c r="I29" i="3"/>
  <c r="CB64" i="3"/>
  <c r="T29" i="3"/>
  <c r="AC145" i="3"/>
  <c r="CI101" i="3"/>
  <c r="AD119" i="3"/>
  <c r="CI119" i="3" s="1"/>
  <c r="X131" i="3"/>
  <c r="BY57" i="3"/>
  <c r="CB54" i="3"/>
  <c r="J52" i="2"/>
  <c r="AK179" i="3"/>
  <c r="AK184" i="3" s="1"/>
  <c r="AK119" i="3"/>
  <c r="CJ131" i="3"/>
  <c r="W124" i="3"/>
  <c r="AF68" i="3"/>
  <c r="AF71" i="3"/>
  <c r="AJ124" i="3"/>
  <c r="AK160" i="3"/>
  <c r="CL52" i="3"/>
  <c r="AK172" i="3"/>
  <c r="M29" i="3"/>
  <c r="Y29" i="3"/>
  <c r="CA54" i="3"/>
  <c r="CK54" i="3"/>
  <c r="V131" i="3"/>
  <c r="R29" i="3"/>
  <c r="S29" i="3"/>
  <c r="V29" i="3"/>
  <c r="W29" i="3"/>
  <c r="CE28" i="3"/>
  <c r="Z29" i="3"/>
  <c r="CA28" i="3"/>
  <c r="X124" i="3"/>
  <c r="G60" i="7"/>
  <c r="CG28" i="3"/>
  <c r="CK28" i="3"/>
  <c r="AG29" i="3"/>
  <c r="AG71" i="3"/>
  <c r="AG129" i="3" s="1"/>
  <c r="AG124" i="3"/>
  <c r="CH64" i="3"/>
  <c r="AG68" i="3"/>
  <c r="BY53" i="3"/>
  <c r="X82" i="3"/>
  <c r="Y81" i="3"/>
  <c r="BZ52" i="3"/>
  <c r="CE52" i="3"/>
  <c r="CA52" i="3"/>
  <c r="AB83" i="3"/>
  <c r="CG54" i="3"/>
  <c r="I52" i="2"/>
  <c r="CC54" i="3"/>
  <c r="AK20" i="3"/>
  <c r="AL68" i="3"/>
  <c r="AL71" i="3"/>
  <c r="CQ71" i="3" s="1"/>
  <c r="AL124" i="3"/>
  <c r="CK52" i="3"/>
  <c r="AG65" i="3"/>
  <c r="CC64" i="3"/>
  <c r="Z81" i="3"/>
  <c r="W81" i="3"/>
  <c r="BX52" i="3"/>
  <c r="H50" i="2"/>
  <c r="P29" i="3"/>
  <c r="O29" i="3"/>
  <c r="AA71" i="3"/>
  <c r="AA131" i="3"/>
  <c r="N169" i="1"/>
  <c r="AA29" i="3"/>
  <c r="I50" i="2"/>
  <c r="N161" i="1"/>
  <c r="CD64" i="3"/>
  <c r="AB71" i="3"/>
  <c r="Q56" i="3"/>
  <c r="Q70" i="3" s="1"/>
  <c r="H51" i="2"/>
  <c r="W82" i="3"/>
  <c r="CB82" i="3" s="1"/>
  <c r="Y131" i="3"/>
  <c r="CF28" i="3"/>
  <c r="CB52" i="3"/>
  <c r="CI64" i="3"/>
  <c r="AH71" i="3"/>
  <c r="Y124" i="3"/>
  <c r="CL64" i="3"/>
  <c r="AH29" i="3"/>
  <c r="X71" i="3"/>
  <c r="CE82" i="3"/>
  <c r="AA83" i="3"/>
  <c r="CB83" i="3" s="1"/>
  <c r="CF54" i="3"/>
  <c r="AE68" i="3"/>
  <c r="CJ64" i="3"/>
  <c r="AE70" i="3"/>
  <c r="AE65" i="3"/>
  <c r="CN28" i="3"/>
  <c r="CJ28" i="3"/>
  <c r="AI29" i="3"/>
  <c r="AM29" i="3"/>
  <c r="AK29" i="3"/>
  <c r="CN54" i="3"/>
  <c r="O169" i="1"/>
  <c r="O171" i="1" s="1"/>
  <c r="O161" i="1"/>
  <c r="CC53" i="3"/>
  <c r="CG53" i="3"/>
  <c r="AB82" i="3"/>
  <c r="I51" i="2"/>
  <c r="G250" i="7" s="1"/>
  <c r="AF127" i="3"/>
  <c r="AF145" i="3"/>
  <c r="CG99" i="3"/>
  <c r="G52" i="2"/>
  <c r="P56" i="3"/>
  <c r="CD28" i="3"/>
  <c r="AD29" i="3"/>
  <c r="AC29" i="3"/>
  <c r="D129" i="7"/>
  <c r="AC84" i="3"/>
  <c r="AD84" i="3"/>
  <c r="CH131" i="3"/>
  <c r="K51" i="2"/>
  <c r="I250" i="7" s="1"/>
  <c r="CK53" i="3"/>
  <c r="L29" i="3"/>
  <c r="K29" i="3"/>
  <c r="X81" i="3"/>
  <c r="BY52" i="3"/>
  <c r="AB131" i="3"/>
  <c r="CM28" i="3"/>
  <c r="AL29" i="3"/>
  <c r="CM54" i="3"/>
  <c r="Q71" i="1" l="1"/>
  <c r="Q74" i="1" s="1"/>
  <c r="O102" i="1"/>
  <c r="L241" i="1"/>
  <c r="N171" i="1"/>
  <c r="N71" i="1"/>
  <c r="N74" i="1" s="1"/>
  <c r="N82" i="1" s="1"/>
  <c r="N211" i="1"/>
  <c r="P286" i="1"/>
  <c r="R16" i="9"/>
  <c r="O339" i="1"/>
  <c r="P97" i="1"/>
  <c r="U16" i="9" s="1"/>
  <c r="O112" i="1"/>
  <c r="O313" i="1" s="1"/>
  <c r="O345" i="1" s="1"/>
  <c r="M315" i="1"/>
  <c r="F21" i="6"/>
  <c r="F25" i="6" s="1"/>
  <c r="R31" i="9" s="1"/>
  <c r="W104" i="3"/>
  <c r="AB104" i="3"/>
  <c r="AH104" i="3"/>
  <c r="AA104" i="3"/>
  <c r="AJ104" i="3"/>
  <c r="X104" i="3"/>
  <c r="AK104" i="3"/>
  <c r="AI104" i="3"/>
  <c r="Y104" i="3"/>
  <c r="AL104" i="3"/>
  <c r="G21" i="6"/>
  <c r="G25" i="6" s="1"/>
  <c r="S31" i="9" s="1"/>
  <c r="N241" i="1"/>
  <c r="O241" i="1"/>
  <c r="H21" i="6"/>
  <c r="H25" i="6" s="1"/>
  <c r="T31" i="9" s="1"/>
  <c r="E396" i="14"/>
  <c r="F396" i="14"/>
  <c r="G396" i="14"/>
  <c r="Q286" i="1"/>
  <c r="Q16" i="9"/>
  <c r="Q97" i="1"/>
  <c r="V16" i="9" s="1"/>
  <c r="N102" i="1"/>
  <c r="S7" i="9" s="1"/>
  <c r="S25" i="9" s="1"/>
  <c r="N182" i="1"/>
  <c r="E85" i="2"/>
  <c r="U109" i="9"/>
  <c r="G383" i="14" s="1"/>
  <c r="C77" i="6"/>
  <c r="C78" i="6" s="1"/>
  <c r="C79" i="6" s="1"/>
  <c r="D31" i="5"/>
  <c r="AG95" i="3"/>
  <c r="N62" i="1"/>
  <c r="N63" i="1" s="1"/>
  <c r="M62" i="1"/>
  <c r="M63" i="1" s="1"/>
  <c r="M69" i="1" s="1"/>
  <c r="N205" i="1"/>
  <c r="Q212" i="1"/>
  <c r="E29" i="5"/>
  <c r="E34" i="5" s="1"/>
  <c r="E37" i="5" s="1"/>
  <c r="E36" i="5"/>
  <c r="M180" i="1"/>
  <c r="N176" i="1" s="1"/>
  <c r="N174" i="1" s="1"/>
  <c r="Q24" i="9"/>
  <c r="AA95" i="3"/>
  <c r="AE95" i="3"/>
  <c r="AD95" i="3"/>
  <c r="AL95" i="3"/>
  <c r="E192" i="7"/>
  <c r="P71" i="1"/>
  <c r="P74" i="1" s="1"/>
  <c r="P82" i="1" s="1"/>
  <c r="P212" i="1"/>
  <c r="O176" i="1"/>
  <c r="O174" i="1" s="1"/>
  <c r="L194" i="7"/>
  <c r="L198" i="7" s="1"/>
  <c r="L208" i="7" s="1"/>
  <c r="D768" i="7"/>
  <c r="N7" i="2"/>
  <c r="N18" i="7" s="1"/>
  <c r="O6" i="2"/>
  <c r="R35" i="2"/>
  <c r="Q36" i="2"/>
  <c r="Q37" i="2" s="1"/>
  <c r="T65" i="2"/>
  <c r="U65" i="2" s="1"/>
  <c r="V65" i="2" s="1"/>
  <c r="C64" i="6"/>
  <c r="N29" i="5"/>
  <c r="AB208" i="1"/>
  <c r="AB198" i="1"/>
  <c r="AA201" i="1"/>
  <c r="N134" i="1"/>
  <c r="N240" i="1" s="1"/>
  <c r="O211" i="1"/>
  <c r="Q31" i="5"/>
  <c r="U93" i="2"/>
  <c r="Q29" i="5"/>
  <c r="Q15" i="6"/>
  <c r="M194" i="7"/>
  <c r="M198" i="7" s="1"/>
  <c r="M208" i="7" s="1"/>
  <c r="X105" i="3"/>
  <c r="X106" i="3"/>
  <c r="F16" i="10"/>
  <c r="M31" i="5"/>
  <c r="M29" i="5"/>
  <c r="Y106" i="3"/>
  <c r="Y105" i="3"/>
  <c r="U130" i="3"/>
  <c r="AF56" i="3"/>
  <c r="AF70" i="3" s="1"/>
  <c r="J53" i="2"/>
  <c r="J95" i="2" s="1"/>
  <c r="I53" i="2"/>
  <c r="I95" i="2" s="1"/>
  <c r="BY131" i="3"/>
  <c r="BF47" i="3"/>
  <c r="H16" i="10"/>
  <c r="J31" i="5"/>
  <c r="N93" i="2"/>
  <c r="I16" i="10"/>
  <c r="O31" i="5"/>
  <c r="S93" i="2"/>
  <c r="N31" i="5"/>
  <c r="L31" i="5"/>
  <c r="P93" i="2"/>
  <c r="K54" i="2"/>
  <c r="N167" i="1"/>
  <c r="K16" i="10"/>
  <c r="O29" i="5"/>
  <c r="O34" i="5" s="1"/>
  <c r="J16" i="10"/>
  <c r="L24" i="6"/>
  <c r="D192" i="7"/>
  <c r="D199" i="7"/>
  <c r="G30" i="6"/>
  <c r="G33" i="6" s="1"/>
  <c r="L29" i="5"/>
  <c r="G16" i="10"/>
  <c r="AB95" i="3"/>
  <c r="V4" i="9"/>
  <c r="R13" i="9"/>
  <c r="J6" i="6"/>
  <c r="J16" i="6" s="1"/>
  <c r="X95" i="3"/>
  <c r="U73" i="1"/>
  <c r="E132" i="7"/>
  <c r="E129" i="7"/>
  <c r="P31" i="5"/>
  <c r="M162" i="1"/>
  <c r="I6" i="6"/>
  <c r="I30" i="6" s="1"/>
  <c r="I33" i="6" s="1"/>
  <c r="I45" i="6" s="1"/>
  <c r="AC95" i="3"/>
  <c r="E274" i="1"/>
  <c r="D29" i="5"/>
  <c r="D34" i="5" s="1"/>
  <c r="D37" i="5" s="1"/>
  <c r="O71" i="1"/>
  <c r="O74" i="1" s="1"/>
  <c r="O82" i="1" s="1"/>
  <c r="L47" i="6"/>
  <c r="P29" i="5"/>
  <c r="O212" i="1"/>
  <c r="R172" i="1"/>
  <c r="AJ95" i="3"/>
  <c r="AF95" i="3"/>
  <c r="N313" i="1"/>
  <c r="N345" i="1" s="1"/>
  <c r="N239" i="1"/>
  <c r="AH95" i="3"/>
  <c r="Y95" i="3"/>
  <c r="Z95" i="3"/>
  <c r="AK95" i="3"/>
  <c r="AI95" i="3"/>
  <c r="G79" i="2"/>
  <c r="E251" i="7"/>
  <c r="F77" i="2"/>
  <c r="D250" i="7"/>
  <c r="H79" i="2"/>
  <c r="I75" i="2"/>
  <c r="G249" i="7"/>
  <c r="G75" i="2"/>
  <c r="E249" i="7"/>
  <c r="B12" i="10"/>
  <c r="I249" i="7"/>
  <c r="I252" i="7" s="1"/>
  <c r="J75" i="2"/>
  <c r="H249" i="7"/>
  <c r="H77" i="2"/>
  <c r="I79" i="2"/>
  <c r="G251" i="7"/>
  <c r="F79" i="2"/>
  <c r="D251" i="7"/>
  <c r="F75" i="2"/>
  <c r="D249" i="7"/>
  <c r="H75" i="2"/>
  <c r="J79" i="2"/>
  <c r="H251" i="7"/>
  <c r="G77" i="2"/>
  <c r="E250" i="7"/>
  <c r="H33" i="6"/>
  <c r="I7" i="6"/>
  <c r="G189" i="7"/>
  <c r="G196" i="7" s="1"/>
  <c r="G201" i="7" s="1"/>
  <c r="G206" i="7" s="1"/>
  <c r="I184" i="7"/>
  <c r="I189" i="7" s="1"/>
  <c r="I196" i="7" s="1"/>
  <c r="I201" i="7" s="1"/>
  <c r="I206" i="7" s="1"/>
  <c r="H16" i="6"/>
  <c r="F30" i="6"/>
  <c r="F33" i="6" s="1"/>
  <c r="K31" i="5"/>
  <c r="U266" i="1"/>
  <c r="T316" i="1"/>
  <c r="U4" i="9"/>
  <c r="G265" i="1"/>
  <c r="F274" i="1"/>
  <c r="M241" i="1"/>
  <c r="M243" i="1" s="1"/>
  <c r="B16" i="10"/>
  <c r="G36" i="5"/>
  <c r="L8" i="6"/>
  <c r="K32" i="6"/>
  <c r="Q172" i="1"/>
  <c r="T27" i="1"/>
  <c r="P51" i="1"/>
  <c r="E71" i="6" s="1"/>
  <c r="E72" i="6" s="1"/>
  <c r="K29" i="5"/>
  <c r="M22" i="2"/>
  <c r="V51" i="1"/>
  <c r="K71" i="6" s="1"/>
  <c r="K72" i="6" s="1"/>
  <c r="Q29" i="9"/>
  <c r="L36" i="1"/>
  <c r="L285" i="1"/>
  <c r="L341" i="1"/>
  <c r="R286" i="1"/>
  <c r="R97" i="1"/>
  <c r="U51" i="1"/>
  <c r="J71" i="6" s="1"/>
  <c r="J72" i="6" s="1"/>
  <c r="L171" i="1"/>
  <c r="L172" i="1" s="1"/>
  <c r="L180" i="1"/>
  <c r="M171" i="1"/>
  <c r="N172" i="1" s="1"/>
  <c r="C16" i="10"/>
  <c r="H31" i="5"/>
  <c r="F85" i="2"/>
  <c r="L243" i="1"/>
  <c r="G2" i="2"/>
  <c r="S219" i="1"/>
  <c r="T220" i="1" s="1"/>
  <c r="M211" i="1"/>
  <c r="M71" i="1"/>
  <c r="M74" i="1" s="1"/>
  <c r="M82" i="1" s="1"/>
  <c r="N212" i="1"/>
  <c r="L205" i="1"/>
  <c r="M205" i="1"/>
  <c r="L204" i="1"/>
  <c r="L62" i="1"/>
  <c r="L63" i="1" s="1"/>
  <c r="L69" i="1" s="1"/>
  <c r="T16" i="9"/>
  <c r="T116" i="9"/>
  <c r="F31" i="5"/>
  <c r="F29" i="5"/>
  <c r="F28" i="6"/>
  <c r="M29" i="1"/>
  <c r="M34" i="1" s="1"/>
  <c r="O167" i="1"/>
  <c r="L212" i="1"/>
  <c r="L71" i="1"/>
  <c r="L74" i="1" s="1"/>
  <c r="L82" i="1" s="1"/>
  <c r="L211" i="1"/>
  <c r="M212" i="1"/>
  <c r="N51" i="1"/>
  <c r="C71" i="6" s="1"/>
  <c r="C72" i="6" s="1"/>
  <c r="P204" i="1"/>
  <c r="P62" i="1"/>
  <c r="P63" i="1" s="1"/>
  <c r="G87" i="2"/>
  <c r="G85" i="2"/>
  <c r="AL190" i="3"/>
  <c r="AL191" i="3" s="1"/>
  <c r="O137" i="1"/>
  <c r="P205" i="1"/>
  <c r="O62" i="1"/>
  <c r="O63" i="1" s="1"/>
  <c r="O204" i="1"/>
  <c r="G34" i="5"/>
  <c r="G37" i="5" s="1"/>
  <c r="J52" i="1"/>
  <c r="J53" i="1" s="1"/>
  <c r="P135" i="1"/>
  <c r="T109" i="9"/>
  <c r="F383" i="14" s="1"/>
  <c r="T24" i="9"/>
  <c r="H29" i="5"/>
  <c r="Z84" i="3"/>
  <c r="CE84" i="3" s="1"/>
  <c r="F36" i="5"/>
  <c r="S325" i="1"/>
  <c r="K3" i="6"/>
  <c r="R327" i="1"/>
  <c r="W51" i="1"/>
  <c r="L71" i="6" s="1"/>
  <c r="L72" i="6" s="1"/>
  <c r="O205" i="1"/>
  <c r="Q113" i="1"/>
  <c r="P112" i="1"/>
  <c r="S329" i="1"/>
  <c r="S331" i="1" s="1"/>
  <c r="S333" i="1" s="1"/>
  <c r="X51" i="1"/>
  <c r="M71" i="6" s="1"/>
  <c r="M72" i="6" s="1"/>
  <c r="T7" i="9"/>
  <c r="T25" i="9" s="1"/>
  <c r="O85" i="1"/>
  <c r="H11" i="6"/>
  <c r="T120" i="9"/>
  <c r="P3" i="1"/>
  <c r="D57" i="6"/>
  <c r="D70" i="6" s="1"/>
  <c r="E4" i="10"/>
  <c r="N10" i="2"/>
  <c r="N17" i="7"/>
  <c r="R331" i="1"/>
  <c r="R333" i="1" s="1"/>
  <c r="R61" i="1"/>
  <c r="H87" i="2"/>
  <c r="H85" i="2"/>
  <c r="G168" i="7"/>
  <c r="H146" i="7"/>
  <c r="H168" i="7" s="1"/>
  <c r="T38" i="1"/>
  <c r="M36" i="6" s="1"/>
  <c r="S97" i="1"/>
  <c r="S286" i="1"/>
  <c r="AL187" i="3"/>
  <c r="BX131" i="3"/>
  <c r="W106" i="3"/>
  <c r="W105" i="3"/>
  <c r="CL105" i="3"/>
  <c r="CP105" i="3"/>
  <c r="AB106" i="3"/>
  <c r="AB105" i="3"/>
  <c r="CG105" i="3" s="1"/>
  <c r="CG103" i="3"/>
  <c r="AK124" i="3"/>
  <c r="CL119" i="3"/>
  <c r="CP119" i="3"/>
  <c r="E16" i="10"/>
  <c r="J29" i="5"/>
  <c r="D16" i="10"/>
  <c r="I29" i="5"/>
  <c r="M23" i="2"/>
  <c r="D7" i="10"/>
  <c r="S79" i="1"/>
  <c r="T32" i="1"/>
  <c r="T277" i="1"/>
  <c r="T318" i="1" s="1"/>
  <c r="R72" i="1"/>
  <c r="R210" i="1" s="1"/>
  <c r="S76" i="1"/>
  <c r="S229" i="1" s="1"/>
  <c r="S178" i="1"/>
  <c r="P176" i="1"/>
  <c r="P174" i="1" s="1"/>
  <c r="P102" i="1"/>
  <c r="V73" i="1"/>
  <c r="W145" i="1"/>
  <c r="O40" i="7"/>
  <c r="AI129" i="3"/>
  <c r="CN129" i="3" s="1"/>
  <c r="AD124" i="3"/>
  <c r="AD120" i="3"/>
  <c r="CM68" i="3"/>
  <c r="CQ68" i="3"/>
  <c r="CK68" i="3"/>
  <c r="J605" i="4"/>
  <c r="J606" i="4" s="1"/>
  <c r="J608" i="4"/>
  <c r="CP131" i="3"/>
  <c r="AK129" i="3"/>
  <c r="CL129" i="3" s="1"/>
  <c r="CP71" i="3"/>
  <c r="AJ191" i="3"/>
  <c r="AC129" i="3"/>
  <c r="AC130" i="3" s="1"/>
  <c r="AJ187" i="3"/>
  <c r="AH65" i="3"/>
  <c r="CL131" i="3"/>
  <c r="O69" i="2"/>
  <c r="O70" i="2" s="1"/>
  <c r="L39" i="7"/>
  <c r="Y129" i="3"/>
  <c r="BZ129" i="3" s="1"/>
  <c r="CK71" i="3"/>
  <c r="AD187" i="3"/>
  <c r="K75" i="2"/>
  <c r="CL68" i="3"/>
  <c r="CD71" i="3"/>
  <c r="AB129" i="3"/>
  <c r="AB130" i="3" s="1"/>
  <c r="CC83" i="3"/>
  <c r="L61" i="7"/>
  <c r="H13" i="5"/>
  <c r="H12" i="5"/>
  <c r="AJ129" i="3"/>
  <c r="CI56" i="3"/>
  <c r="AK30" i="3"/>
  <c r="W129" i="3"/>
  <c r="BX129" i="3" s="1"/>
  <c r="CJ68" i="3"/>
  <c r="J61" i="7"/>
  <c r="AI187" i="3"/>
  <c r="AI190" i="3"/>
  <c r="X84" i="3"/>
  <c r="CJ71" i="3"/>
  <c r="D137" i="7"/>
  <c r="AE129" i="3"/>
  <c r="D138" i="7"/>
  <c r="S130" i="3"/>
  <c r="V70" i="3"/>
  <c r="V129" i="3" s="1"/>
  <c r="V130" i="3" s="1"/>
  <c r="AF129" i="3"/>
  <c r="F56" i="2"/>
  <c r="F81" i="2" s="1"/>
  <c r="D143" i="7"/>
  <c r="AK187" i="3"/>
  <c r="AK190" i="3"/>
  <c r="AK191" i="3" s="1"/>
  <c r="CE81" i="3"/>
  <c r="W84" i="3"/>
  <c r="AK17" i="3"/>
  <c r="G61" i="7"/>
  <c r="CN71" i="3"/>
  <c r="D142" i="7"/>
  <c r="K61" i="7"/>
  <c r="AH191" i="3"/>
  <c r="CD56" i="3"/>
  <c r="BZ56" i="3"/>
  <c r="Y65" i="3"/>
  <c r="AA129" i="3"/>
  <c r="CF71" i="3"/>
  <c r="W65" i="3"/>
  <c r="W70" i="3"/>
  <c r="BX70" i="3" s="1"/>
  <c r="BX56" i="3"/>
  <c r="CC71" i="3"/>
  <c r="CC81" i="3"/>
  <c r="AI65" i="3"/>
  <c r="AI70" i="3"/>
  <c r="CN56" i="3"/>
  <c r="CJ56" i="3"/>
  <c r="H61" i="7"/>
  <c r="Y70" i="3"/>
  <c r="AL129" i="3"/>
  <c r="CQ129" i="3" s="1"/>
  <c r="CM71" i="3"/>
  <c r="AA84" i="3"/>
  <c r="CH71" i="3"/>
  <c r="D123" i="7"/>
  <c r="D127" i="7" s="1"/>
  <c r="CB81" i="3"/>
  <c r="CB56" i="3"/>
  <c r="CL71" i="3"/>
  <c r="CG71" i="3"/>
  <c r="X129" i="3"/>
  <c r="X130" i="3" s="1"/>
  <c r="AH129" i="3"/>
  <c r="CI71" i="3"/>
  <c r="AA70" i="3"/>
  <c r="AA65" i="3"/>
  <c r="CF56" i="3"/>
  <c r="CB71" i="3"/>
  <c r="P70" i="3"/>
  <c r="X65" i="3"/>
  <c r="X70" i="3"/>
  <c r="CD131" i="3"/>
  <c r="BZ131" i="3"/>
  <c r="N315" i="1"/>
  <c r="N162" i="1"/>
  <c r="CB131" i="3"/>
  <c r="CF131" i="3"/>
  <c r="CD81" i="3"/>
  <c r="Y84" i="3"/>
  <c r="CD84" i="3" s="1"/>
  <c r="I77" i="2"/>
  <c r="AG130" i="3"/>
  <c r="CC82" i="3"/>
  <c r="AB84" i="3"/>
  <c r="AK65" i="3"/>
  <c r="AK70" i="3"/>
  <c r="CL56" i="3"/>
  <c r="AJ65" i="3"/>
  <c r="AJ70" i="3"/>
  <c r="CC131" i="3"/>
  <c r="CG131" i="3"/>
  <c r="T110" i="9"/>
  <c r="AL65" i="3"/>
  <c r="AL70" i="3"/>
  <c r="CM56" i="3"/>
  <c r="O315" i="1"/>
  <c r="O162" i="1"/>
  <c r="P162" i="1"/>
  <c r="AB65" i="3"/>
  <c r="CC56" i="3"/>
  <c r="AB70" i="3"/>
  <c r="I67" i="2"/>
  <c r="P172" i="1"/>
  <c r="O172" i="1"/>
  <c r="B14" i="10"/>
  <c r="K79" i="2"/>
  <c r="B13" i="10"/>
  <c r="K77" i="2"/>
  <c r="CI70" i="3"/>
  <c r="BY56" i="3"/>
  <c r="T70" i="3"/>
  <c r="G56" i="2"/>
  <c r="T28" i="9"/>
  <c r="M102" i="1" l="1"/>
  <c r="M85" i="1" s="1"/>
  <c r="O239" i="1"/>
  <c r="N85" i="1"/>
  <c r="O86" i="1" s="1"/>
  <c r="V116" i="9"/>
  <c r="U116" i="9"/>
  <c r="G11" i="6"/>
  <c r="BQ47" i="3"/>
  <c r="BR47" i="3"/>
  <c r="O214" i="1"/>
  <c r="O95" i="1" s="1"/>
  <c r="T112" i="9" s="1"/>
  <c r="S120" i="9"/>
  <c r="T119" i="9" s="1"/>
  <c r="S327" i="1"/>
  <c r="T326" i="1"/>
  <c r="O7" i="2"/>
  <c r="P6" i="2"/>
  <c r="Q6" i="2" s="1"/>
  <c r="S6" i="2"/>
  <c r="T6" i="2" s="1"/>
  <c r="U6" i="2" s="1"/>
  <c r="V6" i="2" s="1"/>
  <c r="W6" i="2" s="1"/>
  <c r="X6" i="2" s="1"/>
  <c r="Y6" i="2" s="1"/>
  <c r="N214" i="1"/>
  <c r="N95" i="1" s="1"/>
  <c r="S112" i="9" s="1"/>
  <c r="P214" i="1"/>
  <c r="P95" i="1" s="1"/>
  <c r="U112" i="9" s="1"/>
  <c r="M83" i="1"/>
  <c r="M34" i="5"/>
  <c r="N34" i="5"/>
  <c r="L83" i="1"/>
  <c r="G78" i="2"/>
  <c r="S35" i="2"/>
  <c r="R36" i="2"/>
  <c r="R37" i="2" s="1"/>
  <c r="U69" i="2"/>
  <c r="D776" i="7"/>
  <c r="D778" i="7" s="1"/>
  <c r="D784" i="7" s="1"/>
  <c r="H776" i="7"/>
  <c r="H778" i="7" s="1"/>
  <c r="H784" i="7" s="1"/>
  <c r="F776" i="7"/>
  <c r="F778" i="7" s="1"/>
  <c r="F784" i="7" s="1"/>
  <c r="G776" i="7"/>
  <c r="G778" i="7" s="1"/>
  <c r="G784" i="7" s="1"/>
  <c r="E776" i="7"/>
  <c r="E778" i="7" s="1"/>
  <c r="E784" i="7" s="1"/>
  <c r="J80" i="2"/>
  <c r="W65" i="2"/>
  <c r="V69" i="2"/>
  <c r="Q34" i="5"/>
  <c r="M245" i="1"/>
  <c r="M317" i="1" s="1"/>
  <c r="M319" i="1" s="1"/>
  <c r="M320" i="1" s="1"/>
  <c r="M248" i="1"/>
  <c r="M252" i="1" s="1"/>
  <c r="M246" i="1"/>
  <c r="N132" i="1"/>
  <c r="N108" i="1" s="1"/>
  <c r="AB201" i="1"/>
  <c r="AC198" i="1"/>
  <c r="N314" i="1"/>
  <c r="N346" i="1" s="1"/>
  <c r="AC208" i="1"/>
  <c r="R15" i="6"/>
  <c r="S86" i="2"/>
  <c r="N194" i="7" s="1"/>
  <c r="N198" i="7" s="1"/>
  <c r="N208" i="7" s="1"/>
  <c r="H80" i="2"/>
  <c r="I80" i="2"/>
  <c r="L34" i="5"/>
  <c r="J54" i="2"/>
  <c r="J59" i="2" s="1"/>
  <c r="J67" i="2"/>
  <c r="J56" i="2" s="1"/>
  <c r="AF65" i="3"/>
  <c r="CG56" i="3"/>
  <c r="CK56" i="3"/>
  <c r="I54" i="2"/>
  <c r="I59" i="2" s="1"/>
  <c r="K59" i="2"/>
  <c r="F45" i="6"/>
  <c r="F44" i="6" s="1"/>
  <c r="M24" i="6"/>
  <c r="P34" i="5"/>
  <c r="Y51" i="1"/>
  <c r="N71" i="6" s="1"/>
  <c r="N72" i="6" s="1"/>
  <c r="C74" i="6" s="1"/>
  <c r="O17" i="7"/>
  <c r="G45" i="6"/>
  <c r="G44" i="6" s="1"/>
  <c r="J184" i="7"/>
  <c r="K184" i="7" s="1"/>
  <c r="J30" i="6"/>
  <c r="J33" i="6" s="1"/>
  <c r="G76" i="2"/>
  <c r="I16" i="6"/>
  <c r="K76" i="2"/>
  <c r="H76" i="2"/>
  <c r="G80" i="2"/>
  <c r="R211" i="1"/>
  <c r="R212" i="1"/>
  <c r="H78" i="2"/>
  <c r="E8" i="10"/>
  <c r="I76" i="2"/>
  <c r="J76" i="2"/>
  <c r="J253" i="7"/>
  <c r="G252" i="7"/>
  <c r="D252" i="7"/>
  <c r="D257" i="7" s="1"/>
  <c r="E257" i="7" s="1"/>
  <c r="G257" i="7" s="1"/>
  <c r="H257" i="7" s="1"/>
  <c r="I257" i="7" s="1"/>
  <c r="J257" i="7" s="1"/>
  <c r="K257" i="7" s="1"/>
  <c r="H252" i="7"/>
  <c r="E252" i="7"/>
  <c r="H45" i="6"/>
  <c r="H44" i="6" s="1"/>
  <c r="U9" i="9"/>
  <c r="J7" i="6"/>
  <c r="O18" i="7"/>
  <c r="F4" i="10"/>
  <c r="O10" i="2"/>
  <c r="F51" i="6"/>
  <c r="L214" i="1"/>
  <c r="L95" i="1" s="1"/>
  <c r="Q112" i="9" s="1"/>
  <c r="M172" i="1"/>
  <c r="M8" i="6"/>
  <c r="L32" i="6"/>
  <c r="G274" i="1"/>
  <c r="H265" i="1"/>
  <c r="U270" i="1"/>
  <c r="U27" i="1"/>
  <c r="U268" i="1"/>
  <c r="U316" i="1" s="1"/>
  <c r="V266" i="1"/>
  <c r="K34" i="5"/>
  <c r="T51" i="1"/>
  <c r="I71" i="6" s="1"/>
  <c r="I72" i="6" s="1"/>
  <c r="Y130" i="3"/>
  <c r="BZ130" i="3" s="1"/>
  <c r="CJ129" i="3"/>
  <c r="AI130" i="3"/>
  <c r="CN130" i="3" s="1"/>
  <c r="R71" i="1"/>
  <c r="R74" i="1" s="1"/>
  <c r="S220" i="1"/>
  <c r="H2" i="2"/>
  <c r="G16" i="7"/>
  <c r="G38" i="7" s="1"/>
  <c r="T329" i="1"/>
  <c r="Q51" i="1"/>
  <c r="F71" i="6" s="1"/>
  <c r="F72" i="6" s="1"/>
  <c r="H34" i="5"/>
  <c r="M214" i="1"/>
  <c r="M95" i="1" s="1"/>
  <c r="R112" i="9" s="1"/>
  <c r="P313" i="1"/>
  <c r="P239" i="1"/>
  <c r="W3" i="9"/>
  <c r="K6" i="6"/>
  <c r="Q135" i="1"/>
  <c r="I44" i="6"/>
  <c r="C126" i="6"/>
  <c r="R7" i="9"/>
  <c r="R25" i="9" s="1"/>
  <c r="M36" i="1"/>
  <c r="R29" i="9"/>
  <c r="M285" i="1"/>
  <c r="M341" i="1"/>
  <c r="F34" i="5"/>
  <c r="F37" i="5" s="1"/>
  <c r="O51" i="1"/>
  <c r="D71" i="6" s="1"/>
  <c r="D72" i="6" s="1"/>
  <c r="L248" i="1"/>
  <c r="L252" i="1" s="1"/>
  <c r="L245" i="1"/>
  <c r="L317" i="1" s="1"/>
  <c r="L319" i="1" s="1"/>
  <c r="L246" i="1"/>
  <c r="M176" i="1"/>
  <c r="M174" i="1" s="1"/>
  <c r="L176" i="1"/>
  <c r="L174" i="1" s="1"/>
  <c r="L175" i="1" s="1"/>
  <c r="L102" i="1"/>
  <c r="W116" i="9"/>
  <c r="W16" i="9"/>
  <c r="W11" i="9"/>
  <c r="N243" i="1"/>
  <c r="N245" i="1" s="1"/>
  <c r="N317" i="1" s="1"/>
  <c r="Q3" i="1"/>
  <c r="E57" i="6"/>
  <c r="E70" i="6" s="1"/>
  <c r="Q112" i="1"/>
  <c r="R113" i="1"/>
  <c r="S113" i="1" s="1"/>
  <c r="T113" i="1" s="1"/>
  <c r="U113" i="1" s="1"/>
  <c r="V113" i="1" s="1"/>
  <c r="W113" i="1" s="1"/>
  <c r="X113" i="1" s="1"/>
  <c r="Y113" i="1" s="1"/>
  <c r="Z113" i="1" s="1"/>
  <c r="AA113" i="1" s="1"/>
  <c r="AB113" i="1" s="1"/>
  <c r="AC113" i="1" s="1"/>
  <c r="AD113" i="1" s="1"/>
  <c r="L3" i="6"/>
  <c r="L6" i="6" s="1"/>
  <c r="S338" i="1"/>
  <c r="T286" i="1" s="1"/>
  <c r="P137" i="1"/>
  <c r="X16" i="9"/>
  <c r="X116" i="9"/>
  <c r="U38" i="1"/>
  <c r="M47" i="6"/>
  <c r="Y13" i="9"/>
  <c r="R51" i="1"/>
  <c r="G71" i="6" s="1"/>
  <c r="G72" i="6" s="1"/>
  <c r="I34" i="5"/>
  <c r="S51" i="1"/>
  <c r="H71" i="6" s="1"/>
  <c r="H72" i="6" s="1"/>
  <c r="J34" i="5"/>
  <c r="D8" i="10"/>
  <c r="K56" i="2"/>
  <c r="K57" i="2" s="1"/>
  <c r="U277" i="1"/>
  <c r="U318" i="1" s="1"/>
  <c r="U32" i="1"/>
  <c r="N24" i="6" s="1"/>
  <c r="T79" i="1"/>
  <c r="W73" i="1"/>
  <c r="P85" i="1"/>
  <c r="U120" i="9"/>
  <c r="U119" i="9" s="1"/>
  <c r="I11" i="6"/>
  <c r="U7" i="9"/>
  <c r="U25" i="9" s="1"/>
  <c r="T76" i="1"/>
  <c r="T229" i="1" s="1"/>
  <c r="T178" i="1"/>
  <c r="U171" i="1" s="1"/>
  <c r="X145" i="1"/>
  <c r="R105" i="2"/>
  <c r="M31" i="2"/>
  <c r="M32" i="2"/>
  <c r="CQ70" i="3"/>
  <c r="CD129" i="3"/>
  <c r="CB129" i="3"/>
  <c r="AK130" i="3"/>
  <c r="CP130" i="3" s="1"/>
  <c r="CP129" i="3"/>
  <c r="CL70" i="3"/>
  <c r="CP70" i="3"/>
  <c r="L608" i="4"/>
  <c r="K603" i="4"/>
  <c r="K608" i="4"/>
  <c r="CH129" i="3"/>
  <c r="CC84" i="3"/>
  <c r="W130" i="3"/>
  <c r="BX130" i="3" s="1"/>
  <c r="P69" i="2"/>
  <c r="P70" i="2" s="1"/>
  <c r="E7" i="10"/>
  <c r="AJ130" i="3"/>
  <c r="CO130" i="3" s="1"/>
  <c r="CO129" i="3"/>
  <c r="CK70" i="3"/>
  <c r="CO70" i="3"/>
  <c r="BF23" i="3"/>
  <c r="CF129" i="3"/>
  <c r="CN70" i="3"/>
  <c r="AI191" i="3"/>
  <c r="AA130" i="3"/>
  <c r="AE130" i="3"/>
  <c r="CK129" i="3"/>
  <c r="AF130" i="3"/>
  <c r="CG129" i="3"/>
  <c r="CB84" i="3"/>
  <c r="AH130" i="3"/>
  <c r="CI129" i="3"/>
  <c r="B15" i="10"/>
  <c r="B17" i="10" s="1"/>
  <c r="CC129" i="3"/>
  <c r="CC130" i="3"/>
  <c r="AL130" i="3"/>
  <c r="CM129" i="3"/>
  <c r="CJ70" i="3"/>
  <c r="CF70" i="3"/>
  <c r="CB70" i="3"/>
  <c r="BZ70" i="3"/>
  <c r="CD70" i="3"/>
  <c r="G81" i="2"/>
  <c r="CG70" i="3"/>
  <c r="CC70" i="3"/>
  <c r="J78" i="2"/>
  <c r="I78" i="2"/>
  <c r="O175" i="1"/>
  <c r="P175" i="1"/>
  <c r="K80" i="2"/>
  <c r="K78" i="2"/>
  <c r="CM70" i="3"/>
  <c r="K106" i="2"/>
  <c r="CH130" i="3"/>
  <c r="T129" i="3"/>
  <c r="BY70" i="3"/>
  <c r="I56" i="2"/>
  <c r="I106" i="2"/>
  <c r="R120" i="9" l="1"/>
  <c r="F11" i="6"/>
  <c r="DK23" i="3"/>
  <c r="BJ26" i="3"/>
  <c r="M344" i="1"/>
  <c r="M348" i="1" s="1"/>
  <c r="N319" i="1"/>
  <c r="N320" i="1" s="1"/>
  <c r="M254" i="1"/>
  <c r="M260" i="1" s="1"/>
  <c r="M261" i="1" s="1"/>
  <c r="M94" i="1" s="1"/>
  <c r="N138" i="1"/>
  <c r="N139" i="1" s="1"/>
  <c r="N20" i="1"/>
  <c r="S21" i="9" s="1"/>
  <c r="D785" i="7"/>
  <c r="D786" i="7" s="1"/>
  <c r="L772" i="7" s="1"/>
  <c r="M175" i="1"/>
  <c r="R30" i="9"/>
  <c r="J68" i="2"/>
  <c r="K68" i="2"/>
  <c r="V70" i="2"/>
  <c r="T35" i="2"/>
  <c r="S36" i="2"/>
  <c r="S37" i="2" s="1"/>
  <c r="T171" i="1"/>
  <c r="U172" i="1" s="1"/>
  <c r="T180" i="1"/>
  <c r="T182" i="1" s="1"/>
  <c r="N36" i="6"/>
  <c r="N47" i="6" s="1"/>
  <c r="BG54" i="3"/>
  <c r="Q52" i="2" s="1"/>
  <c r="Q79" i="2" s="1"/>
  <c r="BG24" i="3"/>
  <c r="O50" i="13" s="1"/>
  <c r="BF54" i="3"/>
  <c r="DK54" i="3" s="1"/>
  <c r="R32" i="13" s="1"/>
  <c r="X65" i="2"/>
  <c r="W69" i="2"/>
  <c r="W70" i="2" s="1"/>
  <c r="T86" i="2"/>
  <c r="O194" i="7" s="1"/>
  <c r="O198" i="7" s="1"/>
  <c r="O208" i="7" s="1"/>
  <c r="S15" i="6"/>
  <c r="U86" i="2" s="1"/>
  <c r="AC201" i="1"/>
  <c r="AD208" i="1"/>
  <c r="AD198" i="1"/>
  <c r="DG23" i="3"/>
  <c r="BF26" i="3"/>
  <c r="J57" i="2"/>
  <c r="J89" i="2" s="1"/>
  <c r="J91" i="2" s="1"/>
  <c r="J106" i="2"/>
  <c r="I57" i="2"/>
  <c r="T64" i="2"/>
  <c r="S103" i="2"/>
  <c r="L254" i="1"/>
  <c r="L260" i="1" s="1"/>
  <c r="L261" i="1" s="1"/>
  <c r="L94" i="1" s="1"/>
  <c r="L101" i="1" s="1"/>
  <c r="K14" i="5"/>
  <c r="CM130" i="3"/>
  <c r="CQ130" i="3"/>
  <c r="F8" i="10"/>
  <c r="J189" i="7"/>
  <c r="J196" i="7" s="1"/>
  <c r="J201" i="7" s="1"/>
  <c r="J206" i="7" s="1"/>
  <c r="L184" i="7"/>
  <c r="K189" i="7"/>
  <c r="K196" i="7" s="1"/>
  <c r="K201" i="7" s="1"/>
  <c r="K206" i="7" s="1"/>
  <c r="O32" i="2"/>
  <c r="O31" i="2"/>
  <c r="D256" i="7"/>
  <c r="E256" i="7" s="1"/>
  <c r="G256" i="7" s="1"/>
  <c r="H256" i="7" s="1"/>
  <c r="I256" i="7" s="1"/>
  <c r="J256" i="7" s="1"/>
  <c r="K256" i="7" s="1"/>
  <c r="H253" i="7"/>
  <c r="D255" i="7"/>
  <c r="E255" i="7" s="1"/>
  <c r="G255" i="7" s="1"/>
  <c r="H255" i="7" s="1"/>
  <c r="I255" i="7" s="1"/>
  <c r="J255" i="7" s="1"/>
  <c r="K255" i="7" s="1"/>
  <c r="G253" i="7"/>
  <c r="E258" i="7"/>
  <c r="G258" i="7" s="1"/>
  <c r="H258" i="7" s="1"/>
  <c r="I258" i="7" s="1"/>
  <c r="J258" i="7" s="1"/>
  <c r="K258" i="7" s="1"/>
  <c r="E253" i="7"/>
  <c r="I253" i="7"/>
  <c r="K7" i="6"/>
  <c r="V9" i="9"/>
  <c r="CJ130" i="3"/>
  <c r="CD130" i="3"/>
  <c r="V27" i="1"/>
  <c r="W266" i="1"/>
  <c r="V268" i="1"/>
  <c r="V316" i="1" s="1"/>
  <c r="N8" i="6"/>
  <c r="M32" i="6"/>
  <c r="I265" i="1"/>
  <c r="H274" i="1"/>
  <c r="N248" i="1"/>
  <c r="N252" i="1" s="1"/>
  <c r="V270" i="1"/>
  <c r="J109" i="2"/>
  <c r="N246" i="1"/>
  <c r="M3" i="6"/>
  <c r="U327" i="1"/>
  <c r="T338" i="1"/>
  <c r="Q239" i="1"/>
  <c r="Q313" i="1"/>
  <c r="Q345" i="1" s="1"/>
  <c r="R3" i="1"/>
  <c r="F57" i="6"/>
  <c r="F70" i="6" s="1"/>
  <c r="L344" i="1"/>
  <c r="Q30" i="9"/>
  <c r="L320" i="1"/>
  <c r="L37" i="1" s="1"/>
  <c r="E35" i="6" s="1"/>
  <c r="F50" i="6"/>
  <c r="N86" i="1"/>
  <c r="W4" i="9"/>
  <c r="U329" i="1"/>
  <c r="I2" i="2"/>
  <c r="H16" i="7"/>
  <c r="H38" i="7" s="1"/>
  <c r="N175" i="1"/>
  <c r="X3" i="9"/>
  <c r="X4" i="9" s="1"/>
  <c r="N19" i="1"/>
  <c r="N110" i="1"/>
  <c r="N117" i="1"/>
  <c r="N109" i="1"/>
  <c r="S119" i="9"/>
  <c r="R135" i="1"/>
  <c r="S135" i="1" s="1"/>
  <c r="T135" i="1" s="1"/>
  <c r="U135" i="1" s="1"/>
  <c r="Q137" i="1"/>
  <c r="R137" i="1" s="1"/>
  <c r="S137" i="1" s="1"/>
  <c r="T137" i="1" s="1"/>
  <c r="T327" i="1"/>
  <c r="L85" i="1"/>
  <c r="L86" i="1" s="1"/>
  <c r="Q7" i="9"/>
  <c r="Q25" i="9" s="1"/>
  <c r="Q120" i="9"/>
  <c r="R119" i="9" s="1"/>
  <c r="P345" i="1"/>
  <c r="M37" i="1"/>
  <c r="F35" i="6" s="1"/>
  <c r="U219" i="1"/>
  <c r="T97" i="1"/>
  <c r="K16" i="6"/>
  <c r="K30" i="6"/>
  <c r="K33" i="6" s="1"/>
  <c r="T331" i="1"/>
  <c r="T333" i="1" s="1"/>
  <c r="X11" i="9"/>
  <c r="V38" i="1"/>
  <c r="CL130" i="3"/>
  <c r="U79" i="1"/>
  <c r="V32" i="1"/>
  <c r="V277" i="1"/>
  <c r="V318" i="1" s="1"/>
  <c r="U76" i="1"/>
  <c r="U229" i="1" s="1"/>
  <c r="P86" i="1"/>
  <c r="Y73" i="1"/>
  <c r="X73" i="1"/>
  <c r="Y145" i="1"/>
  <c r="Z145" i="1" s="1"/>
  <c r="AA145" i="1" s="1"/>
  <c r="AB145" i="1" s="1"/>
  <c r="AC145" i="1" s="1"/>
  <c r="AD145" i="1" s="1"/>
  <c r="T105" i="2"/>
  <c r="CK130" i="3"/>
  <c r="J81" i="2"/>
  <c r="CB130" i="3"/>
  <c r="Q69" i="2"/>
  <c r="Q70" i="2" s="1"/>
  <c r="O23" i="2"/>
  <c r="O22" i="2"/>
  <c r="F7" i="10"/>
  <c r="G8" i="10"/>
  <c r="P32" i="2"/>
  <c r="CF130" i="3"/>
  <c r="CG130" i="3"/>
  <c r="CI130" i="3"/>
  <c r="I81" i="2"/>
  <c r="BY129" i="3"/>
  <c r="T130" i="3"/>
  <c r="BY130" i="3" s="1"/>
  <c r="G82" i="2"/>
  <c r="B18" i="10"/>
  <c r="B19" i="10" s="1"/>
  <c r="K81" i="2"/>
  <c r="BR119" i="3" l="1"/>
  <c r="BR124" i="3" s="1"/>
  <c r="M340" i="1"/>
  <c r="Q111" i="9"/>
  <c r="M256" i="1"/>
  <c r="N344" i="1"/>
  <c r="N348" i="1" s="1"/>
  <c r="S30" i="9"/>
  <c r="M321" i="1"/>
  <c r="L256" i="1"/>
  <c r="P52" i="2"/>
  <c r="Z13" i="9"/>
  <c r="O36" i="6"/>
  <c r="O47" i="6" s="1"/>
  <c r="C27" i="12"/>
  <c r="T103" i="2"/>
  <c r="U64" i="2"/>
  <c r="T36" i="2"/>
  <c r="T37" i="2" s="1"/>
  <c r="U35" i="2"/>
  <c r="DH54" i="3"/>
  <c r="O32" i="13" s="1"/>
  <c r="BG94" i="3"/>
  <c r="O63" i="13" s="1"/>
  <c r="Y65" i="2"/>
  <c r="X69" i="2"/>
  <c r="X70" i="2" s="1"/>
  <c r="T15" i="6"/>
  <c r="V86" i="2" s="1"/>
  <c r="O24" i="6"/>
  <c r="C17" i="12" s="1"/>
  <c r="AD201" i="1"/>
  <c r="J84" i="2"/>
  <c r="J87" i="2" s="1"/>
  <c r="J72" i="2"/>
  <c r="C81" i="6"/>
  <c r="L189" i="7"/>
  <c r="L196" i="7" s="1"/>
  <c r="L201" i="7" s="1"/>
  <c r="L206" i="7" s="1"/>
  <c r="M184" i="7"/>
  <c r="W9" i="9"/>
  <c r="L7" i="6"/>
  <c r="W270" i="1"/>
  <c r="N32" i="6"/>
  <c r="O8" i="6"/>
  <c r="N254" i="1"/>
  <c r="N256" i="1" s="1"/>
  <c r="I274" i="1"/>
  <c r="J265" i="1"/>
  <c r="W27" i="1"/>
  <c r="W268" i="1"/>
  <c r="W316" i="1" s="1"/>
  <c r="X266" i="1"/>
  <c r="K72" i="2"/>
  <c r="J2" i="2"/>
  <c r="I16" i="7"/>
  <c r="I38" i="7" s="1"/>
  <c r="L340" i="1"/>
  <c r="L348" i="1"/>
  <c r="M6" i="6"/>
  <c r="E45" i="15" s="1"/>
  <c r="Y3" i="9"/>
  <c r="Y4" i="9" s="1"/>
  <c r="M342" i="1"/>
  <c r="M349" i="1"/>
  <c r="Y116" i="9"/>
  <c r="Y16" i="9"/>
  <c r="F49" i="6"/>
  <c r="R15" i="9"/>
  <c r="R14" i="9"/>
  <c r="R111" i="9"/>
  <c r="R118" i="9" s="1"/>
  <c r="M101" i="1"/>
  <c r="N116" i="1"/>
  <c r="V329" i="1"/>
  <c r="M86" i="1"/>
  <c r="N66" i="1"/>
  <c r="N153" i="1"/>
  <c r="N154" i="1" s="1"/>
  <c r="O134" i="1"/>
  <c r="L16" i="6"/>
  <c r="L30" i="6"/>
  <c r="L33" i="6" s="1"/>
  <c r="U331" i="1"/>
  <c r="U333" i="1" s="1"/>
  <c r="Q14" i="9"/>
  <c r="Q15" i="9"/>
  <c r="S3" i="1"/>
  <c r="G57" i="6"/>
  <c r="G70" i="6" s="1"/>
  <c r="U286" i="1"/>
  <c r="U97" i="1"/>
  <c r="BD162" i="3" s="1"/>
  <c r="BD161" i="3" s="1"/>
  <c r="U220" i="1"/>
  <c r="V219" i="1"/>
  <c r="V220" i="1" s="1"/>
  <c r="L103" i="1"/>
  <c r="N121" i="1"/>
  <c r="N22" i="1"/>
  <c r="S20" i="9"/>
  <c r="N3" i="6"/>
  <c r="W38" i="1"/>
  <c r="X335" i="1"/>
  <c r="W32" i="1"/>
  <c r="W277" i="1"/>
  <c r="W318" i="1" s="1"/>
  <c r="V79" i="1"/>
  <c r="V76" i="1"/>
  <c r="V178" i="1"/>
  <c r="R69" i="2"/>
  <c r="R70" i="2" s="1"/>
  <c r="H8" i="10"/>
  <c r="Q32" i="2"/>
  <c r="N321" i="1"/>
  <c r="N37" i="1"/>
  <c r="G35" i="6" s="1"/>
  <c r="I58" i="2"/>
  <c r="I89" i="2"/>
  <c r="I84" i="2"/>
  <c r="J58" i="2"/>
  <c r="L56" i="2"/>
  <c r="L68" i="2"/>
  <c r="I72" i="2"/>
  <c r="J82" i="2"/>
  <c r="K82" i="2"/>
  <c r="K84" i="2"/>
  <c r="K89" i="2"/>
  <c r="K58" i="2"/>
  <c r="V171" i="1" l="1"/>
  <c r="V172" i="1" s="1"/>
  <c r="DS23" i="3"/>
  <c r="BS26" i="3"/>
  <c r="BR26" i="3"/>
  <c r="BN26" i="3"/>
  <c r="DO23" i="3"/>
  <c r="AA13" i="9"/>
  <c r="N340" i="1"/>
  <c r="P24" i="6"/>
  <c r="D17" i="12" s="1"/>
  <c r="DL23" i="3"/>
  <c r="DL54" i="3"/>
  <c r="S32" i="13" s="1"/>
  <c r="P36" i="6"/>
  <c r="P47" i="6" s="1"/>
  <c r="D27" i="12"/>
  <c r="U36" i="2"/>
  <c r="U37" i="2" s="1"/>
  <c r="V35" i="2"/>
  <c r="V64" i="2"/>
  <c r="U67" i="2"/>
  <c r="U56" i="2" s="1"/>
  <c r="H990" i="7" s="1"/>
  <c r="T990" i="7" s="1"/>
  <c r="U103" i="2"/>
  <c r="Y69" i="2"/>
  <c r="Y70" i="2" s="1"/>
  <c r="U15" i="6"/>
  <c r="W86" i="2" s="1"/>
  <c r="L81" i="2"/>
  <c r="L82" i="2" s="1"/>
  <c r="L57" i="2"/>
  <c r="Y11" i="9"/>
  <c r="X270" i="1"/>
  <c r="M189" i="7"/>
  <c r="M196" i="7" s="1"/>
  <c r="M201" i="7" s="1"/>
  <c r="M206" i="7" s="1"/>
  <c r="N184" i="7"/>
  <c r="O32" i="6"/>
  <c r="P8" i="6"/>
  <c r="M7" i="6"/>
  <c r="X9" i="9"/>
  <c r="N260" i="1"/>
  <c r="N261" i="1" s="1"/>
  <c r="N94" i="1" s="1"/>
  <c r="S111" i="9" s="1"/>
  <c r="S118" i="9" s="1"/>
  <c r="K265" i="1"/>
  <c r="J274" i="1"/>
  <c r="M103" i="1"/>
  <c r="Y266" i="1"/>
  <c r="Z266" i="1" s="1"/>
  <c r="X27" i="1"/>
  <c r="X268" i="1"/>
  <c r="X316" i="1" s="1"/>
  <c r="P3" i="6"/>
  <c r="D5" i="12" s="1"/>
  <c r="D6" i="12" s="1"/>
  <c r="O3" i="6"/>
  <c r="R60" i="15" s="1"/>
  <c r="V338" i="1"/>
  <c r="W219" i="1"/>
  <c r="W220" i="1" s="1"/>
  <c r="X223" i="1"/>
  <c r="Z16" i="9"/>
  <c r="Z116" i="9"/>
  <c r="H57" i="6"/>
  <c r="H70" i="6" s="1"/>
  <c r="T3" i="1"/>
  <c r="W329" i="1"/>
  <c r="L342" i="1"/>
  <c r="L349" i="1"/>
  <c r="L39" i="1" s="1"/>
  <c r="V327" i="1"/>
  <c r="O132" i="1"/>
  <c r="O314" i="1"/>
  <c r="O346" i="1" s="1"/>
  <c r="O240" i="1"/>
  <c r="O243" i="1" s="1"/>
  <c r="V331" i="1"/>
  <c r="V333" i="1" s="1"/>
  <c r="V286" i="1"/>
  <c r="G50" i="6"/>
  <c r="G28" i="6"/>
  <c r="N29" i="1"/>
  <c r="N34" i="1" s="1"/>
  <c r="M39" i="1"/>
  <c r="Z3" i="9"/>
  <c r="N6" i="6"/>
  <c r="N192" i="1"/>
  <c r="N190" i="1" s="1"/>
  <c r="N67" i="1" s="1"/>
  <c r="N69" i="1" s="1"/>
  <c r="M30" i="6"/>
  <c r="M33" i="6" s="1"/>
  <c r="M16" i="6"/>
  <c r="J16" i="7"/>
  <c r="J38" i="7" s="1"/>
  <c r="K2" i="2"/>
  <c r="X38" i="1"/>
  <c r="Y335" i="1"/>
  <c r="Z335" i="1" s="1"/>
  <c r="X279" i="1"/>
  <c r="W79" i="1"/>
  <c r="X32" i="1"/>
  <c r="X277" i="1"/>
  <c r="X318" i="1" s="1"/>
  <c r="W76" i="1"/>
  <c r="W178" i="1"/>
  <c r="W180" i="1" s="1"/>
  <c r="W102" i="1" s="1"/>
  <c r="S69" i="2"/>
  <c r="S70" i="2" s="1"/>
  <c r="T69" i="2"/>
  <c r="U70" i="2" s="1"/>
  <c r="I8" i="10"/>
  <c r="R32" i="2"/>
  <c r="S14" i="9"/>
  <c r="S15" i="9"/>
  <c r="G49" i="6"/>
  <c r="N342" i="1"/>
  <c r="N349" i="1"/>
  <c r="K85" i="2"/>
  <c r="K87" i="2"/>
  <c r="I109" i="2"/>
  <c r="J60" i="2"/>
  <c r="D90" i="7"/>
  <c r="K60" i="2"/>
  <c r="K109" i="2"/>
  <c r="E123" i="7"/>
  <c r="K90" i="2"/>
  <c r="K91" i="2"/>
  <c r="M56" i="2"/>
  <c r="M68" i="2"/>
  <c r="I87" i="2"/>
  <c r="I85" i="2"/>
  <c r="J85" i="2"/>
  <c r="C18" i="10"/>
  <c r="I91" i="2"/>
  <c r="I90" i="2"/>
  <c r="J90" i="2"/>
  <c r="W171" i="1" l="1"/>
  <c r="W172" i="1" s="1"/>
  <c r="Q24" i="6"/>
  <c r="E17" i="12" s="1"/>
  <c r="DP23" i="3"/>
  <c r="DP42" i="3"/>
  <c r="W69" i="13" s="1"/>
  <c r="BT26" i="3"/>
  <c r="BO26" i="3"/>
  <c r="BO24" i="3"/>
  <c r="C5" i="12"/>
  <c r="C6" i="12" s="1"/>
  <c r="D544" i="7"/>
  <c r="D545" i="7" s="1"/>
  <c r="BL54" i="3"/>
  <c r="DM23" i="3"/>
  <c r="BL26" i="3"/>
  <c r="U106" i="2"/>
  <c r="AB13" i="9"/>
  <c r="Q36" i="6"/>
  <c r="Q47" i="6" s="1"/>
  <c r="E27" i="12"/>
  <c r="W64" i="2"/>
  <c r="V103" i="2"/>
  <c r="V67" i="2"/>
  <c r="V36" i="2"/>
  <c r="V37" i="2" s="1"/>
  <c r="W35" i="2"/>
  <c r="M81" i="2"/>
  <c r="M82" i="2" s="1"/>
  <c r="M57" i="2"/>
  <c r="V15" i="6"/>
  <c r="X86" i="2" s="1"/>
  <c r="Z268" i="1"/>
  <c r="Z316" i="1" s="1"/>
  <c r="AA266" i="1"/>
  <c r="Z27" i="1"/>
  <c r="AA335" i="1"/>
  <c r="Z38" i="1"/>
  <c r="K8" i="10"/>
  <c r="Z11" i="9"/>
  <c r="N189" i="7"/>
  <c r="N196" i="7" s="1"/>
  <c r="N201" i="7" s="1"/>
  <c r="N206" i="7" s="1"/>
  <c r="O184" i="7"/>
  <c r="O189" i="7" s="1"/>
  <c r="O196" i="7" s="1"/>
  <c r="O201" i="7" s="1"/>
  <c r="O206" i="7" s="1"/>
  <c r="N101" i="1"/>
  <c r="N103" i="1" s="1"/>
  <c r="AA16" i="9"/>
  <c r="AA116" i="9"/>
  <c r="P32" i="6"/>
  <c r="Q8" i="6"/>
  <c r="Z4" i="9"/>
  <c r="O6" i="6"/>
  <c r="AA3" i="9"/>
  <c r="P6" i="6"/>
  <c r="AB3" i="9"/>
  <c r="N7" i="6"/>
  <c r="Y9" i="9"/>
  <c r="Y268" i="1"/>
  <c r="Y316" i="1" s="1"/>
  <c r="Y27" i="1"/>
  <c r="L265" i="1"/>
  <c r="K274" i="1"/>
  <c r="Y270" i="1"/>
  <c r="Z270" i="1" s="1"/>
  <c r="AA270" i="1" s="1"/>
  <c r="N83" i="1"/>
  <c r="G51" i="6"/>
  <c r="N30" i="6"/>
  <c r="N33" i="6" s="1"/>
  <c r="N16" i="6"/>
  <c r="Y223" i="1"/>
  <c r="X219" i="1"/>
  <c r="X220" i="1" s="1"/>
  <c r="O108" i="1"/>
  <c r="O20" i="1"/>
  <c r="T21" i="9" s="1"/>
  <c r="O138" i="1"/>
  <c r="X329" i="1"/>
  <c r="X325" i="1"/>
  <c r="C90" i="6" s="1"/>
  <c r="W338" i="1"/>
  <c r="N285" i="1"/>
  <c r="N36" i="1"/>
  <c r="N341" i="1"/>
  <c r="S29" i="9"/>
  <c r="W331" i="1"/>
  <c r="W333" i="1" s="1"/>
  <c r="W97" i="1"/>
  <c r="BL162" i="3" s="1"/>
  <c r="W286" i="1"/>
  <c r="K16" i="7"/>
  <c r="K38" i="7" s="1"/>
  <c r="L2" i="2"/>
  <c r="M350" i="1"/>
  <c r="O246" i="1"/>
  <c r="O248" i="1"/>
  <c r="O252" i="1" s="1"/>
  <c r="O245" i="1"/>
  <c r="O317" i="1" s="1"/>
  <c r="O319" i="1" s="1"/>
  <c r="I57" i="6"/>
  <c r="I70" i="6" s="1"/>
  <c r="U3" i="1"/>
  <c r="W327" i="1"/>
  <c r="Y38" i="1"/>
  <c r="W137" i="1"/>
  <c r="Y277" i="1"/>
  <c r="Y318" i="1" s="1"/>
  <c r="Y32" i="1"/>
  <c r="R24" i="6" s="1"/>
  <c r="F17" i="12" s="1"/>
  <c r="X79" i="1"/>
  <c r="Y279" i="1"/>
  <c r="X76" i="1"/>
  <c r="X178" i="1"/>
  <c r="T70" i="2"/>
  <c r="J8" i="10"/>
  <c r="S32" i="2"/>
  <c r="N39" i="1"/>
  <c r="N350" i="1"/>
  <c r="E124" i="7"/>
  <c r="E127" i="7"/>
  <c r="D112" i="7"/>
  <c r="D91" i="7"/>
  <c r="D113" i="7" s="1"/>
  <c r="D18" i="10"/>
  <c r="O67" i="2"/>
  <c r="N56" i="2"/>
  <c r="N68" i="2"/>
  <c r="BO94" i="3" l="1"/>
  <c r="W63" i="13" s="1"/>
  <c r="W50" i="13"/>
  <c r="N61" i="15"/>
  <c r="D61" i="15" s="1"/>
  <c r="E573" i="7"/>
  <c r="DQ23" i="3"/>
  <c r="DM54" i="3"/>
  <c r="T32" i="13" s="1"/>
  <c r="DQ54" i="3"/>
  <c r="DQ42" i="3"/>
  <c r="BP26" i="3"/>
  <c r="S36" i="6"/>
  <c r="G27" i="12"/>
  <c r="H27" i="12" s="1"/>
  <c r="AC13" i="9"/>
  <c r="O16" i="6"/>
  <c r="T514" i="7"/>
  <c r="BM26" i="3"/>
  <c r="DN23" i="3"/>
  <c r="W36" i="2"/>
  <c r="W37" i="2" s="1"/>
  <c r="X35" i="2"/>
  <c r="AA11" i="9"/>
  <c r="C9" i="12"/>
  <c r="V68" i="2"/>
  <c r="V56" i="2"/>
  <c r="V106" i="2"/>
  <c r="X64" i="2"/>
  <c r="W103" i="2"/>
  <c r="W67" i="2"/>
  <c r="R36" i="6"/>
  <c r="R47" i="6" s="1"/>
  <c r="F27" i="12"/>
  <c r="BN24" i="3"/>
  <c r="V50" i="13" s="1"/>
  <c r="BM54" i="3"/>
  <c r="DR54" i="3" s="1"/>
  <c r="T32" i="2"/>
  <c r="W15" i="6"/>
  <c r="Z178" i="1"/>
  <c r="Z76" i="1"/>
  <c r="AB335" i="1"/>
  <c r="AA38" i="1"/>
  <c r="T36" i="6" s="1"/>
  <c r="Y219" i="1"/>
  <c r="Y220" i="1" s="1"/>
  <c r="Z223" i="1"/>
  <c r="Y79" i="1"/>
  <c r="Z279" i="1"/>
  <c r="AA268" i="1"/>
  <c r="AA316" i="1" s="1"/>
  <c r="AB266" i="1"/>
  <c r="AA27" i="1"/>
  <c r="O56" i="2"/>
  <c r="O106" i="2"/>
  <c r="N81" i="2"/>
  <c r="N82" i="2" s="1"/>
  <c r="N57" i="2"/>
  <c r="DF18" i="3"/>
  <c r="DF53" i="3"/>
  <c r="M31" i="13" s="1"/>
  <c r="O30" i="6"/>
  <c r="O33" i="6" s="1"/>
  <c r="AB4" i="9"/>
  <c r="P30" i="6"/>
  <c r="P33" i="6" s="1"/>
  <c r="P16" i="6"/>
  <c r="X327" i="1"/>
  <c r="Q3" i="6"/>
  <c r="E5" i="12" s="1"/>
  <c r="E6" i="12" s="1"/>
  <c r="AB116" i="9"/>
  <c r="AB16" i="9"/>
  <c r="AA4" i="9"/>
  <c r="R8" i="6"/>
  <c r="Q32" i="6"/>
  <c r="O7" i="6"/>
  <c r="Z9" i="9"/>
  <c r="M265" i="1"/>
  <c r="L274" i="1"/>
  <c r="Y329" i="1"/>
  <c r="O139" i="1"/>
  <c r="Y325" i="1"/>
  <c r="X338" i="1"/>
  <c r="O320" i="1"/>
  <c r="O344" i="1"/>
  <c r="T30" i="9"/>
  <c r="L16" i="7"/>
  <c r="L38" i="7" s="1"/>
  <c r="M2" i="2"/>
  <c r="O110" i="1"/>
  <c r="O109" i="1"/>
  <c r="O19" i="1"/>
  <c r="O117" i="1"/>
  <c r="J57" i="6"/>
  <c r="J70" i="6" s="1"/>
  <c r="V3" i="1"/>
  <c r="O254" i="1"/>
  <c r="X97" i="1"/>
  <c r="BP162" i="3" s="1"/>
  <c r="BP170" i="3" s="1"/>
  <c r="X286" i="1"/>
  <c r="X331" i="1"/>
  <c r="X333" i="1" s="1"/>
  <c r="X137" i="1"/>
  <c r="Y76" i="1"/>
  <c r="Y178" i="1"/>
  <c r="N106" i="2"/>
  <c r="E18" i="10"/>
  <c r="P67" i="2"/>
  <c r="O68" i="2"/>
  <c r="BP171" i="3" l="1"/>
  <c r="BP172" i="3"/>
  <c r="R52" i="2"/>
  <c r="R79" i="2" s="1"/>
  <c r="R80" i="2" s="1"/>
  <c r="T47" i="6"/>
  <c r="AF13" i="9"/>
  <c r="C105" i="15"/>
  <c r="C103" i="15"/>
  <c r="BQ42" i="3"/>
  <c r="DR42" i="3" s="1"/>
  <c r="BU26" i="3"/>
  <c r="DR23" i="3"/>
  <c r="BR24" i="3"/>
  <c r="BR94" i="3" s="1"/>
  <c r="BQ26" i="3"/>
  <c r="BQ24" i="3"/>
  <c r="BQ94" i="3" s="1"/>
  <c r="S47" i="6"/>
  <c r="AE13" i="9"/>
  <c r="DN54" i="3"/>
  <c r="U32" i="13" s="1"/>
  <c r="AD13" i="9"/>
  <c r="Y64" i="2"/>
  <c r="X67" i="2"/>
  <c r="X103" i="2"/>
  <c r="AB11" i="9"/>
  <c r="D9" i="12"/>
  <c r="Y86" i="2"/>
  <c r="W68" i="2"/>
  <c r="W56" i="2"/>
  <c r="X36" i="2"/>
  <c r="X37" i="2" s="1"/>
  <c r="Y35" i="2"/>
  <c r="Y36" i="2" s="1"/>
  <c r="W106" i="2"/>
  <c r="R32" i="6"/>
  <c r="S8" i="6"/>
  <c r="AC266" i="1"/>
  <c r="AB268" i="1"/>
  <c r="AB316" i="1" s="1"/>
  <c r="AB27" i="1"/>
  <c r="AC335" i="1"/>
  <c r="AB38" i="1"/>
  <c r="U36" i="6" s="1"/>
  <c r="Y331" i="1"/>
  <c r="Y333" i="1" s="1"/>
  <c r="Z329" i="1"/>
  <c r="Z79" i="1"/>
  <c r="AA279" i="1"/>
  <c r="AB270" i="1"/>
  <c r="Z325" i="1"/>
  <c r="AA223" i="1"/>
  <c r="Z219" i="1"/>
  <c r="AA178" i="1"/>
  <c r="AA76" i="1"/>
  <c r="U32" i="2"/>
  <c r="BF68" i="3"/>
  <c r="O81" i="2"/>
  <c r="DG64" i="3"/>
  <c r="N84" i="13" s="1"/>
  <c r="Y338" i="1"/>
  <c r="R3" i="6"/>
  <c r="F5" i="12" s="1"/>
  <c r="F6" i="12" s="1"/>
  <c r="AC16" i="9"/>
  <c r="AC116" i="9"/>
  <c r="Q12" i="6"/>
  <c r="AA9" i="9"/>
  <c r="P7" i="6"/>
  <c r="AC3" i="9"/>
  <c r="AC4" i="9" s="1"/>
  <c r="Q6" i="6"/>
  <c r="N265" i="1"/>
  <c r="M274" i="1"/>
  <c r="O260" i="1"/>
  <c r="O261" i="1" s="1"/>
  <c r="O94" i="1" s="1"/>
  <c r="O256" i="1"/>
  <c r="W3" i="1"/>
  <c r="D1021" i="7" s="1"/>
  <c r="K57" i="6"/>
  <c r="K70" i="6" s="1"/>
  <c r="O116" i="1"/>
  <c r="T20" i="9"/>
  <c r="O121" i="1"/>
  <c r="O22" i="1"/>
  <c r="Y286" i="1"/>
  <c r="Y97" i="1"/>
  <c r="N2" i="2"/>
  <c r="M16" i="7"/>
  <c r="M38" i="7" s="1"/>
  <c r="O340" i="1"/>
  <c r="O348" i="1"/>
  <c r="O153" i="1"/>
  <c r="O154" i="1" s="1"/>
  <c r="O66" i="1"/>
  <c r="P134" i="1"/>
  <c r="O37" i="1"/>
  <c r="H35" i="6" s="1"/>
  <c r="O321" i="1"/>
  <c r="Y327" i="1"/>
  <c r="Y137" i="1"/>
  <c r="Z137" i="1" s="1"/>
  <c r="Q67" i="2"/>
  <c r="Q106" i="2" s="1"/>
  <c r="F18" i="10"/>
  <c r="P56" i="2"/>
  <c r="P81" i="2" s="1"/>
  <c r="P68" i="2"/>
  <c r="AC270" i="1" l="1"/>
  <c r="U47" i="6"/>
  <c r="AG13" i="9"/>
  <c r="C106" i="15"/>
  <c r="C107" i="15" s="1"/>
  <c r="E9" i="12"/>
  <c r="C87" i="6"/>
  <c r="X106" i="2"/>
  <c r="Y37" i="2"/>
  <c r="X56" i="2"/>
  <c r="X68" i="2"/>
  <c r="Z327" i="1"/>
  <c r="S3" i="6"/>
  <c r="Y103" i="2"/>
  <c r="Y67" i="2"/>
  <c r="T8" i="6"/>
  <c r="S32" i="6"/>
  <c r="Z286" i="1"/>
  <c r="Z97" i="1"/>
  <c r="AB178" i="1"/>
  <c r="AB76" i="1"/>
  <c r="AD335" i="1"/>
  <c r="AC38" i="1"/>
  <c r="V36" i="6" s="1"/>
  <c r="AA325" i="1"/>
  <c r="T3" i="6" s="1"/>
  <c r="Z338" i="1"/>
  <c r="AB279" i="1"/>
  <c r="AA79" i="1"/>
  <c r="Z220" i="1"/>
  <c r="AA219" i="1"/>
  <c r="AA220" i="1" s="1"/>
  <c r="AB223" i="1"/>
  <c r="AA329" i="1"/>
  <c r="AA331" i="1" s="1"/>
  <c r="AA333" i="1" s="1"/>
  <c r="AA137" i="1"/>
  <c r="Z331" i="1"/>
  <c r="Z333" i="1" s="1"/>
  <c r="AD266" i="1"/>
  <c r="AD270" i="1" s="1"/>
  <c r="AC27" i="1"/>
  <c r="AC268" i="1"/>
  <c r="AC316" i="1" s="1"/>
  <c r="V32" i="2"/>
  <c r="O82" i="2"/>
  <c r="P82" i="2"/>
  <c r="R6" i="6"/>
  <c r="AD3" i="9"/>
  <c r="Q16" i="6"/>
  <c r="Q30" i="6"/>
  <c r="Q33" i="6" s="1"/>
  <c r="R12" i="6"/>
  <c r="F9" i="12" s="1"/>
  <c r="AC11" i="9"/>
  <c r="AD116" i="9"/>
  <c r="AD16" i="9"/>
  <c r="Q7" i="6"/>
  <c r="AB9" i="9"/>
  <c r="O265" i="1"/>
  <c r="N274" i="1"/>
  <c r="O342" i="1"/>
  <c r="O349" i="1"/>
  <c r="L57" i="6"/>
  <c r="L70" i="6" s="1"/>
  <c r="X3" i="1"/>
  <c r="E1021" i="7" s="1"/>
  <c r="P132" i="1"/>
  <c r="P314" i="1"/>
  <c r="P240" i="1"/>
  <c r="P243" i="1" s="1"/>
  <c r="T14" i="9"/>
  <c r="H49" i="6"/>
  <c r="T15" i="9"/>
  <c r="O192" i="1"/>
  <c r="O190" i="1" s="1"/>
  <c r="O67" i="1" s="1"/>
  <c r="O69" i="1" s="1"/>
  <c r="O83" i="1" s="1"/>
  <c r="O2" i="2"/>
  <c r="N16" i="7"/>
  <c r="N38" i="7" s="1"/>
  <c r="H50" i="6"/>
  <c r="H28" i="6"/>
  <c r="O29" i="1"/>
  <c r="O34" i="1" s="1"/>
  <c r="O101" i="1"/>
  <c r="O103" i="1" s="1"/>
  <c r="T111" i="9"/>
  <c r="T118" i="9" s="1"/>
  <c r="Q56" i="2"/>
  <c r="Q68" i="2"/>
  <c r="G18" i="10"/>
  <c r="R67" i="2"/>
  <c r="V47" i="6" l="1"/>
  <c r="AH13" i="9"/>
  <c r="T6" i="6"/>
  <c r="T30" i="6" s="1"/>
  <c r="AF3" i="9"/>
  <c r="AD4" i="9"/>
  <c r="AE116" i="9"/>
  <c r="AE16" i="9"/>
  <c r="S6" i="6"/>
  <c r="S16" i="6" s="1"/>
  <c r="G5" i="12"/>
  <c r="G6" i="12" s="1"/>
  <c r="AE3" i="9"/>
  <c r="D990" i="7"/>
  <c r="P990" i="7" s="1"/>
  <c r="Q81" i="2"/>
  <c r="Y106" i="2"/>
  <c r="Y56" i="2"/>
  <c r="Y68" i="2"/>
  <c r="T16" i="6"/>
  <c r="AD11" i="9"/>
  <c r="S12" i="6"/>
  <c r="T32" i="6"/>
  <c r="U8" i="6"/>
  <c r="AD38" i="1"/>
  <c r="W36" i="6" s="1"/>
  <c r="AB137" i="1"/>
  <c r="AD268" i="1"/>
  <c r="AD316" i="1" s="1"/>
  <c r="AD27" i="1"/>
  <c r="AA286" i="1"/>
  <c r="AA97" i="1"/>
  <c r="AB329" i="1"/>
  <c r="AB331" i="1" s="1"/>
  <c r="AB333" i="1" s="1"/>
  <c r="AB325" i="1"/>
  <c r="U3" i="6" s="1"/>
  <c r="AA338" i="1"/>
  <c r="AC178" i="1"/>
  <c r="AC76" i="1"/>
  <c r="AC279" i="1"/>
  <c r="AB79" i="1"/>
  <c r="AB219" i="1"/>
  <c r="AC223" i="1"/>
  <c r="AA327" i="1"/>
  <c r="W32" i="2"/>
  <c r="R7" i="6"/>
  <c r="AC9" i="9"/>
  <c r="R30" i="6"/>
  <c r="R33" i="6" s="1"/>
  <c r="R16" i="6"/>
  <c r="P265" i="1"/>
  <c r="O274" i="1"/>
  <c r="O16" i="7"/>
  <c r="O38" i="7" s="1"/>
  <c r="P2" i="2"/>
  <c r="Q2" i="2" s="1"/>
  <c r="R2" i="2" s="1"/>
  <c r="S2" i="2" s="1"/>
  <c r="T2" i="2" s="1"/>
  <c r="U2" i="2" s="1"/>
  <c r="V2" i="2" s="1"/>
  <c r="W2" i="2" s="1"/>
  <c r="X2" i="2" s="1"/>
  <c r="Y2" i="2" s="1"/>
  <c r="P346" i="1"/>
  <c r="O39" i="1"/>
  <c r="O350" i="1"/>
  <c r="P108" i="1"/>
  <c r="P20" i="1"/>
  <c r="U21" i="9" s="1"/>
  <c r="P138" i="1"/>
  <c r="Y3" i="1"/>
  <c r="M57" i="6"/>
  <c r="M70" i="6" s="1"/>
  <c r="H51" i="6"/>
  <c r="O341" i="1"/>
  <c r="O36" i="1"/>
  <c r="T29" i="9"/>
  <c r="O285" i="1"/>
  <c r="P248" i="1"/>
  <c r="P252" i="1" s="1"/>
  <c r="P245" i="1"/>
  <c r="P317" i="1" s="1"/>
  <c r="P319" i="1" s="1"/>
  <c r="P246" i="1"/>
  <c r="R56" i="2"/>
  <c r="E990" i="7" s="1"/>
  <c r="Q990" i="7" s="1"/>
  <c r="R68" i="2"/>
  <c r="H18" i="10"/>
  <c r="T67" i="2"/>
  <c r="U68" i="2" s="1"/>
  <c r="S67" i="2"/>
  <c r="S30" i="6" l="1"/>
  <c r="S33" i="6" s="1"/>
  <c r="W47" i="6"/>
  <c r="AI13" i="9"/>
  <c r="U6" i="6"/>
  <c r="U30" i="6" s="1"/>
  <c r="AG3" i="9"/>
  <c r="AG4" i="9" s="1"/>
  <c r="AF116" i="9"/>
  <c r="AF16" i="9"/>
  <c r="AE4" i="9"/>
  <c r="AF4" i="9"/>
  <c r="Z3" i="1"/>
  <c r="AA3" i="1" s="1"/>
  <c r="F1021" i="7"/>
  <c r="G9" i="12"/>
  <c r="AE11" i="9"/>
  <c r="Q82" i="2"/>
  <c r="S81" i="2"/>
  <c r="T81" i="2" s="1"/>
  <c r="U81" i="2" s="1"/>
  <c r="V81" i="2" s="1"/>
  <c r="W81" i="2" s="1"/>
  <c r="X81" i="2" s="1"/>
  <c r="Y81" i="2" s="1"/>
  <c r="T33" i="6"/>
  <c r="T12" i="6"/>
  <c r="AF11" i="9" s="1"/>
  <c r="AD9" i="9"/>
  <c r="S7" i="6"/>
  <c r="V8" i="6"/>
  <c r="U32" i="6"/>
  <c r="AC137" i="1"/>
  <c r="AC219" i="1"/>
  <c r="AC220" i="1" s="1"/>
  <c r="AD223" i="1"/>
  <c r="AD219" i="1" s="1"/>
  <c r="AD178" i="1"/>
  <c r="AD76" i="1"/>
  <c r="AC79" i="1"/>
  <c r="AD279" i="1"/>
  <c r="AD79" i="1" s="1"/>
  <c r="AB286" i="1"/>
  <c r="AB97" i="1"/>
  <c r="AC325" i="1"/>
  <c r="AB338" i="1"/>
  <c r="AC329" i="1"/>
  <c r="AC331" i="1" s="1"/>
  <c r="AC333" i="1" s="1"/>
  <c r="AB220" i="1"/>
  <c r="AB327" i="1"/>
  <c r="X32" i="2"/>
  <c r="Y32" i="2"/>
  <c r="P254" i="1"/>
  <c r="P260" i="1" s="1"/>
  <c r="P261" i="1" s="1"/>
  <c r="P94" i="1" s="1"/>
  <c r="U111" i="9" s="1"/>
  <c r="U118" i="9" s="1"/>
  <c r="Q265" i="1"/>
  <c r="P274" i="1"/>
  <c r="P320" i="1"/>
  <c r="U30" i="9"/>
  <c r="P344" i="1"/>
  <c r="P19" i="1"/>
  <c r="P110" i="1"/>
  <c r="P109" i="1"/>
  <c r="P117" i="1"/>
  <c r="N57" i="6"/>
  <c r="N70" i="6" s="1"/>
  <c r="P139" i="1"/>
  <c r="I18" i="10"/>
  <c r="S56" i="2"/>
  <c r="F990" i="7" s="1"/>
  <c r="R990" i="7" s="1"/>
  <c r="S68" i="2"/>
  <c r="T56" i="2"/>
  <c r="G990" i="7" s="1"/>
  <c r="S990" i="7" s="1"/>
  <c r="T68" i="2"/>
  <c r="U16" i="6" l="1"/>
  <c r="AG116" i="9"/>
  <c r="AG16" i="9"/>
  <c r="P57" i="6"/>
  <c r="P70" i="6" s="1"/>
  <c r="H1021" i="7"/>
  <c r="O57" i="6"/>
  <c r="O70" i="6" s="1"/>
  <c r="G1021" i="7"/>
  <c r="U33" i="6"/>
  <c r="U12" i="6"/>
  <c r="AG11" i="9" s="1"/>
  <c r="AC327" i="1"/>
  <c r="V3" i="6"/>
  <c r="T7" i="6"/>
  <c r="V32" i="6"/>
  <c r="W8" i="6"/>
  <c r="W32" i="6" s="1"/>
  <c r="P101" i="1"/>
  <c r="P103" i="1" s="1"/>
  <c r="AC286" i="1"/>
  <c r="AC97" i="1"/>
  <c r="AD137" i="1"/>
  <c r="P256" i="1"/>
  <c r="AD325" i="1"/>
  <c r="AD327" i="1" s="1"/>
  <c r="AC338" i="1"/>
  <c r="AB3" i="1"/>
  <c r="AD329" i="1"/>
  <c r="AD331" i="1" s="1"/>
  <c r="AD333" i="1" s="1"/>
  <c r="AD220" i="1"/>
  <c r="R265" i="1"/>
  <c r="Q274" i="1"/>
  <c r="P348" i="1"/>
  <c r="P340" i="1"/>
  <c r="P153" i="1"/>
  <c r="P154" i="1" s="1"/>
  <c r="P146" i="1"/>
  <c r="P144" i="1" s="1"/>
  <c r="Q134" i="1"/>
  <c r="U20" i="9"/>
  <c r="P22" i="1"/>
  <c r="P121" i="1"/>
  <c r="P37" i="1"/>
  <c r="I35" i="6" s="1"/>
  <c r="P321" i="1"/>
  <c r="P116" i="1"/>
  <c r="T106" i="2"/>
  <c r="S106" i="2"/>
  <c r="K18" i="10"/>
  <c r="J18" i="10"/>
  <c r="AH16" i="9" l="1"/>
  <c r="AH116" i="9"/>
  <c r="V6" i="6"/>
  <c r="V16" i="6" s="1"/>
  <c r="AH3" i="9"/>
  <c r="Q57" i="6"/>
  <c r="Q70" i="6" s="1"/>
  <c r="I1021" i="7"/>
  <c r="V30" i="6"/>
  <c r="V33" i="6" s="1"/>
  <c r="AD338" i="1"/>
  <c r="W3" i="6"/>
  <c r="V12" i="6"/>
  <c r="AH11" i="9" s="1"/>
  <c r="U7" i="6"/>
  <c r="AD286" i="1"/>
  <c r="AD97" i="1"/>
  <c r="AC3" i="1"/>
  <c r="S265" i="1"/>
  <c r="R274" i="1"/>
  <c r="P66" i="1"/>
  <c r="P192" i="1" s="1"/>
  <c r="P190" i="1" s="1"/>
  <c r="P67" i="1" s="1"/>
  <c r="U14" i="9"/>
  <c r="U15" i="9"/>
  <c r="I49" i="6"/>
  <c r="P29" i="1"/>
  <c r="P34" i="1" s="1"/>
  <c r="I28" i="6"/>
  <c r="I50" i="6"/>
  <c r="Q240" i="1"/>
  <c r="Q314" i="1"/>
  <c r="Q346" i="1" s="1"/>
  <c r="Q132" i="1"/>
  <c r="P349" i="1"/>
  <c r="P342" i="1"/>
  <c r="AM34" i="3"/>
  <c r="AI116" i="9" l="1"/>
  <c r="AI16" i="9"/>
  <c r="AH4" i="9"/>
  <c r="W6" i="6"/>
  <c r="W16" i="6" s="1"/>
  <c r="AI3" i="9"/>
  <c r="AI4" i="9" s="1"/>
  <c r="R57" i="6"/>
  <c r="R70" i="6" s="1"/>
  <c r="J1021" i="7"/>
  <c r="W12" i="6"/>
  <c r="AI11" i="9" s="1"/>
  <c r="V7" i="6"/>
  <c r="AD3" i="1"/>
  <c r="K1021" i="7" s="1"/>
  <c r="P69" i="1"/>
  <c r="P83" i="1" s="1"/>
  <c r="T265" i="1"/>
  <c r="S274" i="1"/>
  <c r="U29" i="9"/>
  <c r="P36" i="1"/>
  <c r="P285" i="1"/>
  <c r="P341" i="1"/>
  <c r="P39" i="1"/>
  <c r="P350" i="1"/>
  <c r="Q20" i="1"/>
  <c r="V21" i="9" s="1"/>
  <c r="Q108" i="1"/>
  <c r="Q138" i="1"/>
  <c r="AL36" i="3"/>
  <c r="AL34" i="3"/>
  <c r="W30" i="6" l="1"/>
  <c r="W33" i="6" s="1"/>
  <c r="I51" i="6"/>
  <c r="S57" i="6"/>
  <c r="S70" i="6" s="1"/>
  <c r="W7" i="6"/>
  <c r="U265" i="1"/>
  <c r="T274" i="1"/>
  <c r="Q139" i="1"/>
  <c r="Q109" i="1"/>
  <c r="Q19" i="1"/>
  <c r="V20" i="9" s="1"/>
  <c r="Q117" i="1"/>
  <c r="Q116" i="1" l="1"/>
  <c r="V265" i="1"/>
  <c r="U274" i="1"/>
  <c r="Q153" i="1"/>
  <c r="Q146" i="1"/>
  <c r="Q144" i="1" s="1"/>
  <c r="R134" i="1"/>
  <c r="Q66" i="1" l="1"/>
  <c r="W265" i="1"/>
  <c r="V274" i="1"/>
  <c r="R132" i="1"/>
  <c r="R108" i="1" s="1"/>
  <c r="R117" i="1" s="1"/>
  <c r="R240" i="1"/>
  <c r="R314" i="1"/>
  <c r="R346" i="1" s="1"/>
  <c r="L19" i="2"/>
  <c r="W274" i="1" l="1"/>
  <c r="X265" i="1"/>
  <c r="R20" i="1"/>
  <c r="W21" i="9" s="1"/>
  <c r="R138" i="1"/>
  <c r="M39" i="2"/>
  <c r="M40" i="2" s="1"/>
  <c r="Y265" i="1" l="1"/>
  <c r="X274" i="1"/>
  <c r="R139" i="1"/>
  <c r="D6" i="10"/>
  <c r="N39" i="2"/>
  <c r="N40" i="2" s="1"/>
  <c r="I202" i="7"/>
  <c r="I204" i="7" s="1"/>
  <c r="E6" i="10"/>
  <c r="Y274" i="1" l="1"/>
  <c r="Z265" i="1"/>
  <c r="I13" i="5"/>
  <c r="V144" i="1"/>
  <c r="S134" i="1"/>
  <c r="R153" i="1"/>
  <c r="R66" i="1"/>
  <c r="I12" i="5"/>
  <c r="M39" i="7"/>
  <c r="D5" i="10"/>
  <c r="BF11" i="3"/>
  <c r="N39" i="7"/>
  <c r="E5" i="10"/>
  <c r="J13" i="5"/>
  <c r="J12" i="5"/>
  <c r="O13" i="2"/>
  <c r="O14" i="2"/>
  <c r="O39" i="2"/>
  <c r="O40" i="2" s="1"/>
  <c r="J202" i="7"/>
  <c r="J204" i="7" s="1"/>
  <c r="F6" i="10"/>
  <c r="DK11" i="3" l="1"/>
  <c r="BF14" i="3"/>
  <c r="BJ14" i="3"/>
  <c r="BG52" i="3"/>
  <c r="BG12" i="3"/>
  <c r="BF52" i="3"/>
  <c r="AA265" i="1"/>
  <c r="Z274" i="1"/>
  <c r="DG11" i="3"/>
  <c r="S314" i="1"/>
  <c r="S346" i="1" s="1"/>
  <c r="S132" i="1"/>
  <c r="S108" i="1" s="1"/>
  <c r="S240" i="1"/>
  <c r="W144" i="1"/>
  <c r="P13" i="2"/>
  <c r="P14" i="2"/>
  <c r="G6" i="10"/>
  <c r="O39" i="7"/>
  <c r="F5" i="10"/>
  <c r="K12" i="5"/>
  <c r="K13" i="5"/>
  <c r="Q50" i="2" l="1"/>
  <c r="Q75" i="2" s="1"/>
  <c r="R76" i="2" s="1"/>
  <c r="O48" i="13"/>
  <c r="C23" i="13"/>
  <c r="P50" i="2"/>
  <c r="DK52" i="3"/>
  <c r="R30" i="13" s="1"/>
  <c r="DL52" i="3"/>
  <c r="S30" i="13" s="1"/>
  <c r="BG92" i="3"/>
  <c r="O61" i="13" s="1"/>
  <c r="O91" i="13" s="1"/>
  <c r="DH52" i="3"/>
  <c r="O30" i="13" s="1"/>
  <c r="AB265" i="1"/>
  <c r="AA274" i="1"/>
  <c r="S20" i="1"/>
  <c r="X21" i="9" s="1"/>
  <c r="S138" i="1"/>
  <c r="X144" i="1"/>
  <c r="H6" i="10"/>
  <c r="Q14" i="2"/>
  <c r="BO14" i="3" l="1"/>
  <c r="BS14" i="3"/>
  <c r="DS11" i="3"/>
  <c r="DO11" i="3"/>
  <c r="BN12" i="3"/>
  <c r="AC265" i="1"/>
  <c r="AB274" i="1"/>
  <c r="Y144" i="1"/>
  <c r="X146" i="1"/>
  <c r="S139" i="1"/>
  <c r="R14" i="2"/>
  <c r="I6" i="10"/>
  <c r="DP40" i="3" l="1"/>
  <c r="W67" i="13" s="1"/>
  <c r="K26" i="13"/>
  <c r="BP14" i="3"/>
  <c r="BT14" i="3"/>
  <c r="J23" i="13"/>
  <c r="V48" i="13"/>
  <c r="DP11" i="3"/>
  <c r="BO12" i="3"/>
  <c r="W48" i="13" s="1"/>
  <c r="Y146" i="1"/>
  <c r="Z144" i="1"/>
  <c r="AC274" i="1"/>
  <c r="AD265" i="1"/>
  <c r="AD274" i="1" s="1"/>
  <c r="J394" i="7"/>
  <c r="J395" i="7" s="1"/>
  <c r="S153" i="1"/>
  <c r="T134" i="1"/>
  <c r="S66" i="1"/>
  <c r="S14" i="2"/>
  <c r="J6" i="10"/>
  <c r="BO92" i="3" l="1"/>
  <c r="W61" i="13" s="1"/>
  <c r="W91" i="13" s="1"/>
  <c r="K23" i="13"/>
  <c r="BQ14" i="3"/>
  <c r="BU14" i="3"/>
  <c r="DQ11" i="3"/>
  <c r="DQ40" i="3"/>
  <c r="T14" i="2"/>
  <c r="K6" i="10"/>
  <c r="Z146" i="1"/>
  <c r="AA144" i="1"/>
  <c r="J396" i="7"/>
  <c r="T240" i="1"/>
  <c r="T314" i="1"/>
  <c r="T346" i="1" s="1"/>
  <c r="T132" i="1"/>
  <c r="T108" i="1" s="1"/>
  <c r="L76" i="2"/>
  <c r="L77" i="2"/>
  <c r="C12" i="10"/>
  <c r="C13" i="10"/>
  <c r="DR11" i="3" l="1"/>
  <c r="BQ40" i="3"/>
  <c r="DR40" i="3" s="1"/>
  <c r="BR12" i="3"/>
  <c r="BR92" i="3" s="1"/>
  <c r="BQ12" i="3"/>
  <c r="BQ92" i="3" s="1"/>
  <c r="AA146" i="1"/>
  <c r="AB144" i="1"/>
  <c r="U14" i="2"/>
  <c r="T20" i="1"/>
  <c r="Y21" i="9" s="1"/>
  <c r="T138" i="1"/>
  <c r="L78" i="2"/>
  <c r="AB146" i="1" l="1"/>
  <c r="AC144" i="1"/>
  <c r="V14" i="2"/>
  <c r="T139" i="1"/>
  <c r="AD144" i="1" l="1"/>
  <c r="AD146" i="1" s="1"/>
  <c r="AC146" i="1"/>
  <c r="W14" i="2"/>
  <c r="T153" i="1"/>
  <c r="T66" i="1"/>
  <c r="Y14" i="2" l="1"/>
  <c r="X14" i="2"/>
  <c r="U153" i="1" l="1"/>
  <c r="U66" i="1"/>
  <c r="V314" i="1" l="1"/>
  <c r="V346" i="1" s="1"/>
  <c r="V240" i="1"/>
  <c r="V108" i="1"/>
  <c r="V20" i="1" l="1"/>
  <c r="AA21" i="9" s="1"/>
  <c r="E88" i="7"/>
  <c r="G180" i="7"/>
  <c r="G182" i="7" s="1"/>
  <c r="V18" i="9"/>
  <c r="L97" i="2"/>
  <c r="C20" i="10"/>
  <c r="Q8" i="1"/>
  <c r="S60" i="1"/>
  <c r="S61" i="1"/>
  <c r="D819" i="4"/>
  <c r="V135" i="9" l="1"/>
  <c r="H389" i="14"/>
  <c r="H396" i="14" s="1"/>
  <c r="L98" i="2"/>
  <c r="L101" i="2"/>
  <c r="L114" i="2"/>
  <c r="S202" i="1"/>
  <c r="L115" i="2"/>
  <c r="H36" i="5"/>
  <c r="S72" i="1"/>
  <c r="S210" i="1" s="1"/>
  <c r="S209" i="1"/>
  <c r="E110" i="7"/>
  <c r="S211" i="1" l="1"/>
  <c r="S212" i="1"/>
  <c r="S71" i="1"/>
  <c r="S74" i="1" s="1"/>
  <c r="V153" i="1"/>
  <c r="V66" i="1"/>
  <c r="W134" i="1"/>
  <c r="V22" i="9"/>
  <c r="Q45" i="1"/>
  <c r="E213" i="7" s="1"/>
  <c r="Q121" i="1"/>
  <c r="Q347" i="1"/>
  <c r="J20" i="6"/>
  <c r="Q47" i="1"/>
  <c r="D824" i="4" s="1"/>
  <c r="G185" i="7"/>
  <c r="G197" i="7" s="1"/>
  <c r="G207" i="7" s="1"/>
  <c r="G209" i="7" s="1"/>
  <c r="E95" i="7"/>
  <c r="E116" i="7" s="1"/>
  <c r="C23" i="10"/>
  <c r="Q293" i="1"/>
  <c r="Q295" i="1" s="1"/>
  <c r="V150" i="9" l="1"/>
  <c r="H378" i="14"/>
  <c r="W240" i="1"/>
  <c r="W314" i="1"/>
  <c r="W346" i="1" s="1"/>
  <c r="W132" i="1"/>
  <c r="W108" i="1" s="1"/>
  <c r="G190" i="7"/>
  <c r="G187" i="7"/>
  <c r="G192" i="7" l="1"/>
  <c r="G199" i="7"/>
  <c r="W20" i="1"/>
  <c r="W138" i="1"/>
  <c r="W139" i="1" s="1"/>
  <c r="Q110" i="1"/>
  <c r="R112" i="1"/>
  <c r="Q65" i="1"/>
  <c r="Q119" i="1"/>
  <c r="Q152" i="1"/>
  <c r="Q154" i="1" s="1"/>
  <c r="AB21" i="9" l="1"/>
  <c r="V33" i="9"/>
  <c r="Q192" i="1"/>
  <c r="R239" i="1"/>
  <c r="R313" i="1"/>
  <c r="R345" i="1" s="1"/>
  <c r="Q190" i="1" l="1"/>
  <c r="W153" i="1"/>
  <c r="X134" i="1"/>
  <c r="W66" i="1"/>
  <c r="R109" i="1"/>
  <c r="R116" i="1"/>
  <c r="R19" i="1"/>
  <c r="E93" i="7"/>
  <c r="V19" i="9"/>
  <c r="V143" i="9" s="1"/>
  <c r="V156" i="9" s="1"/>
  <c r="C22" i="10"/>
  <c r="Q13" i="1"/>
  <c r="Q14" i="1"/>
  <c r="Q22" i="1"/>
  <c r="J28" i="6" s="1"/>
  <c r="Q52" i="1"/>
  <c r="Q77" i="1"/>
  <c r="Q238" i="1"/>
  <c r="Q312" i="1"/>
  <c r="Q339" i="1"/>
  <c r="D821" i="4"/>
  <c r="D823" i="4" s="1"/>
  <c r="J19" i="6"/>
  <c r="W20" i="9" l="1"/>
  <c r="X314" i="1"/>
  <c r="X346" i="1" s="1"/>
  <c r="X132" i="1"/>
  <c r="X240" i="1"/>
  <c r="V23" i="9"/>
  <c r="Q53" i="1"/>
  <c r="Q91" i="1"/>
  <c r="H37" i="5"/>
  <c r="E96" i="7"/>
  <c r="E117" i="7" s="1"/>
  <c r="E115" i="7"/>
  <c r="E94" i="7"/>
  <c r="X20" i="1" l="1"/>
  <c r="AC21" i="9" s="1"/>
  <c r="X138" i="1"/>
  <c r="V109" i="9"/>
  <c r="H383" i="14" s="1"/>
  <c r="V24" i="9"/>
  <c r="V26" i="9" s="1"/>
  <c r="Q50" i="1"/>
  <c r="F58" i="6" s="1"/>
  <c r="F59" i="6" s="1"/>
  <c r="V28" i="9"/>
  <c r="V110" i="9"/>
  <c r="Q161" i="1"/>
  <c r="Q241" i="1" l="1"/>
  <c r="Q243" i="1" s="1"/>
  <c r="J21" i="6"/>
  <c r="Q29" i="1"/>
  <c r="X139" i="1"/>
  <c r="Q315" i="1"/>
  <c r="Q162" i="1"/>
  <c r="X153" i="1" l="1"/>
  <c r="X66" i="1"/>
  <c r="Y134" i="1"/>
  <c r="Q248" i="1"/>
  <c r="Q252" i="1" s="1"/>
  <c r="Q245" i="1"/>
  <c r="Y314" i="1" l="1"/>
  <c r="Y346" i="1" s="1"/>
  <c r="Y132" i="1"/>
  <c r="Y240" i="1"/>
  <c r="Q317" i="1"/>
  <c r="Q319" i="1" s="1"/>
  <c r="Y20" i="1" l="1"/>
  <c r="AD21" i="9" s="1"/>
  <c r="Y138" i="1"/>
  <c r="V30" i="9"/>
  <c r="Q320" i="1"/>
  <c r="Q344" i="1"/>
  <c r="Q246" i="1"/>
  <c r="Q254" i="1" s="1"/>
  <c r="J23" i="6"/>
  <c r="J25" i="6" s="1"/>
  <c r="Y139" i="1" l="1"/>
  <c r="Z134" i="1" s="1"/>
  <c r="J45" i="6"/>
  <c r="D126" i="6" s="1"/>
  <c r="V31" i="9"/>
  <c r="Q348" i="1"/>
  <c r="Q340" i="1"/>
  <c r="Q31" i="1"/>
  <c r="Q37" i="1"/>
  <c r="J35" i="6" s="1"/>
  <c r="Q321" i="1"/>
  <c r="Q260" i="1"/>
  <c r="Q261" i="1" s="1"/>
  <c r="Q94" i="1" s="1"/>
  <c r="Q256" i="1"/>
  <c r="Y66" i="1" l="1"/>
  <c r="Y153" i="1"/>
  <c r="Z240" i="1"/>
  <c r="Z314" i="1"/>
  <c r="Z346" i="1" s="1"/>
  <c r="Z132" i="1"/>
  <c r="J44" i="6"/>
  <c r="Q34" i="1"/>
  <c r="V14" i="9"/>
  <c r="V15" i="9"/>
  <c r="J49" i="6"/>
  <c r="V111" i="9"/>
  <c r="Q342" i="1"/>
  <c r="Q349" i="1"/>
  <c r="Z20" i="1" l="1"/>
  <c r="AE21" i="9" s="1"/>
  <c r="Z138" i="1"/>
  <c r="Q67" i="1"/>
  <c r="V29" i="9"/>
  <c r="Q285" i="1"/>
  <c r="Q341" i="1"/>
  <c r="Q36" i="1"/>
  <c r="Q39" i="1"/>
  <c r="Q350" i="1"/>
  <c r="Z139" i="1" l="1"/>
  <c r="Q80" i="1"/>
  <c r="Z153" i="1" l="1"/>
  <c r="Z66" i="1"/>
  <c r="AA134" i="1"/>
  <c r="V27" i="9"/>
  <c r="Q82" i="1"/>
  <c r="Q59" i="1"/>
  <c r="Q203" i="1" s="1"/>
  <c r="Q166" i="1"/>
  <c r="Q167" i="1" s="1"/>
  <c r="AA240" i="1" l="1"/>
  <c r="AA132" i="1"/>
  <c r="AA314" i="1"/>
  <c r="AA346" i="1" s="1"/>
  <c r="Q205" i="1"/>
  <c r="Q214" i="1" s="1"/>
  <c r="Q95" i="1" s="1"/>
  <c r="Q204" i="1"/>
  <c r="Q62" i="1"/>
  <c r="Q63" i="1" s="1"/>
  <c r="Q69" i="1" s="1"/>
  <c r="J51" i="6" s="1"/>
  <c r="AA20" i="1" l="1"/>
  <c r="AF21" i="9" s="1"/>
  <c r="AA138" i="1"/>
  <c r="Q83" i="1"/>
  <c r="V112" i="9"/>
  <c r="Q101" i="1"/>
  <c r="AA139" i="1" l="1"/>
  <c r="Q180" i="1"/>
  <c r="Q182" i="1" s="1"/>
  <c r="Q181" i="1"/>
  <c r="L103" i="2"/>
  <c r="L79" i="2"/>
  <c r="C14" i="10"/>
  <c r="C15" i="10" s="1"/>
  <c r="C17" i="10" s="1"/>
  <c r="C19" i="10" s="1"/>
  <c r="L106" i="2" l="1"/>
  <c r="L104" i="2"/>
  <c r="AA153" i="1"/>
  <c r="AA66" i="1"/>
  <c r="AB134" i="1"/>
  <c r="L89" i="2"/>
  <c r="L90" i="2" s="1"/>
  <c r="L109" i="2"/>
  <c r="Q176" i="1"/>
  <c r="Q174" i="1" s="1"/>
  <c r="Q175" i="1" s="1"/>
  <c r="Q102" i="1"/>
  <c r="L84" i="2"/>
  <c r="L87" i="2" s="1"/>
  <c r="L72" i="2"/>
  <c r="L58" i="2"/>
  <c r="L80" i="2"/>
  <c r="AB314" i="1" l="1"/>
  <c r="AB346" i="1" s="1"/>
  <c r="AB132" i="1"/>
  <c r="AB240" i="1"/>
  <c r="L91" i="2"/>
  <c r="L60" i="2"/>
  <c r="V7" i="9"/>
  <c r="V25" i="9" s="1"/>
  <c r="V120" i="9"/>
  <c r="V119" i="9" s="1"/>
  <c r="V118" i="9" s="1"/>
  <c r="Q85" i="1"/>
  <c r="J11" i="6"/>
  <c r="J54" i="6" s="1"/>
  <c r="L85" i="2"/>
  <c r="E90" i="7"/>
  <c r="E112" i="7" s="1"/>
  <c r="AB20" i="1" l="1"/>
  <c r="AG21" i="9" s="1"/>
  <c r="AB138" i="1"/>
  <c r="Q86" i="1"/>
  <c r="Q103" i="1" s="1"/>
  <c r="J50" i="6"/>
  <c r="E91" i="7"/>
  <c r="E113" i="7" s="1"/>
  <c r="AB139" i="1" l="1"/>
  <c r="M98" i="2"/>
  <c r="R5" i="1"/>
  <c r="I36" i="5"/>
  <c r="AB66" i="1" l="1"/>
  <c r="AB153" i="1"/>
  <c r="AC134" i="1"/>
  <c r="H180" i="7"/>
  <c r="H182" i="7" s="1"/>
  <c r="D147" i="7"/>
  <c r="D20" i="10"/>
  <c r="W18" i="9"/>
  <c r="R8" i="1"/>
  <c r="R42" i="1"/>
  <c r="W135" i="9" l="1"/>
  <c r="I389" i="14"/>
  <c r="I396" i="14" s="1"/>
  <c r="AC314" i="1"/>
  <c r="AC346" i="1" s="1"/>
  <c r="AC240" i="1"/>
  <c r="AC132" i="1"/>
  <c r="R45" i="1"/>
  <c r="R47" i="1"/>
  <c r="H185" i="7"/>
  <c r="H197" i="7" s="1"/>
  <c r="H207" i="7" s="1"/>
  <c r="H209" i="7" s="1"/>
  <c r="D23" i="10"/>
  <c r="R121" i="1"/>
  <c r="D154" i="7"/>
  <c r="D175" i="7" s="1"/>
  <c r="K20" i="6"/>
  <c r="W22" i="9"/>
  <c r="R347" i="1"/>
  <c r="R293" i="1"/>
  <c r="R295" i="1" s="1"/>
  <c r="T72" i="1"/>
  <c r="T210" i="1" s="1"/>
  <c r="T71" i="1" s="1"/>
  <c r="T209" i="1"/>
  <c r="D169" i="7"/>
  <c r="T61" i="1"/>
  <c r="T60" i="1"/>
  <c r="T199" i="1"/>
  <c r="W150" i="9" l="1"/>
  <c r="I378" i="14"/>
  <c r="AC20" i="1"/>
  <c r="AH21" i="9" s="1"/>
  <c r="AC138" i="1"/>
  <c r="T211" i="1"/>
  <c r="T212" i="1"/>
  <c r="H190" i="7"/>
  <c r="H187" i="7"/>
  <c r="T74" i="1"/>
  <c r="AC139" i="1" l="1"/>
  <c r="H192" i="7"/>
  <c r="H199" i="7"/>
  <c r="R119" i="1"/>
  <c r="R152" i="1"/>
  <c r="R154" i="1" s="1"/>
  <c r="R65" i="1"/>
  <c r="S112" i="1"/>
  <c r="R110" i="1"/>
  <c r="AC153" i="1" l="1"/>
  <c r="AC66" i="1"/>
  <c r="AD134" i="1"/>
  <c r="W33" i="9"/>
  <c r="R192" i="1"/>
  <c r="S313" i="1"/>
  <c r="S345" i="1" s="1"/>
  <c r="S239" i="1"/>
  <c r="AD314" i="1" l="1"/>
  <c r="AD346" i="1" s="1"/>
  <c r="AD132" i="1"/>
  <c r="AD240" i="1"/>
  <c r="S19" i="1"/>
  <c r="S117" i="1"/>
  <c r="S116" i="1" s="1"/>
  <c r="S109" i="1"/>
  <c r="AD20" i="1" l="1"/>
  <c r="AI21" i="9" s="1"/>
  <c r="AD138" i="1"/>
  <c r="AD139" i="1" s="1"/>
  <c r="X20" i="9"/>
  <c r="AD153" i="1" l="1"/>
  <c r="AD66" i="1"/>
  <c r="AR127" i="3"/>
  <c r="AR131" i="3"/>
  <c r="AR130" i="3" s="1"/>
  <c r="M76" i="2" l="1"/>
  <c r="M77" i="2"/>
  <c r="M79" i="2"/>
  <c r="D12" i="10"/>
  <c r="D13" i="10"/>
  <c r="D14" i="10"/>
  <c r="M89" i="2" l="1"/>
  <c r="M91" i="2" s="1"/>
  <c r="D15" i="10"/>
  <c r="D17" i="10" s="1"/>
  <c r="D19" i="10" s="1"/>
  <c r="M72" i="2"/>
  <c r="M58" i="2"/>
  <c r="M78" i="2"/>
  <c r="M80" i="2"/>
  <c r="M84" i="2"/>
  <c r="M90" i="2" l="1"/>
  <c r="D149" i="7"/>
  <c r="M109" i="2"/>
  <c r="M60" i="2"/>
  <c r="R10" i="1"/>
  <c r="M85" i="2"/>
  <c r="M87" i="2"/>
  <c r="D171" i="7" l="1"/>
  <c r="D150" i="7"/>
  <c r="D172" i="7" s="1"/>
  <c r="R50" i="1"/>
  <c r="G58" i="6" s="1"/>
  <c r="G59" i="6" s="1"/>
  <c r="W19" i="9" l="1"/>
  <c r="W143" i="9" s="1"/>
  <c r="W156" i="9" s="1"/>
  <c r="R339" i="1"/>
  <c r="R52" i="1"/>
  <c r="D22" i="10"/>
  <c r="R312" i="1"/>
  <c r="K19" i="6"/>
  <c r="D152" i="7" l="1"/>
  <c r="R238" i="1"/>
  <c r="R22" i="1"/>
  <c r="I37" i="5"/>
  <c r="W23" i="9"/>
  <c r="R91" i="1"/>
  <c r="F124" i="6"/>
  <c r="R53" i="1"/>
  <c r="F122" i="6"/>
  <c r="R77" i="1"/>
  <c r="W24" i="9" l="1"/>
  <c r="W26" i="9" s="1"/>
  <c r="W109" i="9"/>
  <c r="I383" i="14" s="1"/>
  <c r="D153" i="7"/>
  <c r="D155" i="7"/>
  <c r="D176" i="7" s="1"/>
  <c r="D174" i="7"/>
  <c r="K28" i="6"/>
  <c r="F125" i="6" s="1"/>
  <c r="F123" i="6"/>
  <c r="W28" i="9" l="1"/>
  <c r="R29" i="1"/>
  <c r="R161" i="1"/>
  <c r="R241" i="1" l="1"/>
  <c r="K21" i="6"/>
  <c r="R162" i="1"/>
  <c r="R315" i="1"/>
  <c r="W110" i="9"/>
  <c r="R243" i="1"/>
  <c r="R245" i="1" l="1"/>
  <c r="R248" i="1"/>
  <c r="R252" i="1" s="1"/>
  <c r="R317" i="1" l="1"/>
  <c r="R319" i="1" s="1"/>
  <c r="R246" i="1" l="1"/>
  <c r="R254" i="1" s="1"/>
  <c r="K23" i="6"/>
  <c r="K25" i="6" s="1"/>
  <c r="W31" i="9" s="1"/>
  <c r="W30" i="9"/>
  <c r="R320" i="1"/>
  <c r="R344" i="1"/>
  <c r="R37" i="1" l="1"/>
  <c r="K35" i="6" s="1"/>
  <c r="R321" i="1"/>
  <c r="R31" i="1"/>
  <c r="F126" i="6"/>
  <c r="K45" i="6"/>
  <c r="R340" i="1"/>
  <c r="R348" i="1"/>
  <c r="R260" i="1"/>
  <c r="R261" i="1" s="1"/>
  <c r="R94" i="1" s="1"/>
  <c r="R256" i="1"/>
  <c r="W111" i="9" l="1"/>
  <c r="W15" i="9"/>
  <c r="W14" i="9"/>
  <c r="K49" i="6"/>
  <c r="R349" i="1"/>
  <c r="R342" i="1"/>
  <c r="R34" i="1"/>
  <c r="K44" i="6"/>
  <c r="E126" i="6"/>
  <c r="R190" i="1" l="1"/>
  <c r="R67" i="1" s="1"/>
  <c r="W29" i="9"/>
  <c r="R36" i="1"/>
  <c r="R285" i="1"/>
  <c r="R341" i="1"/>
  <c r="R350" i="1"/>
  <c r="R39" i="1"/>
  <c r="R80" i="1" l="1"/>
  <c r="W27" i="9" l="1"/>
  <c r="R82" i="1"/>
  <c r="R59" i="1" l="1"/>
  <c r="R203" i="1" s="1"/>
  <c r="R166" i="1"/>
  <c r="R204" i="1" l="1"/>
  <c r="R205" i="1"/>
  <c r="R214" i="1" s="1"/>
  <c r="R95" i="1" s="1"/>
  <c r="R62" i="1"/>
  <c r="R63" i="1" s="1"/>
  <c r="R69" i="1" s="1"/>
  <c r="R83" i="1" s="1"/>
  <c r="R167" i="1"/>
  <c r="K51" i="6" l="1"/>
  <c r="W112" i="9"/>
  <c r="R101" i="1"/>
  <c r="R180" i="1" l="1"/>
  <c r="R181" i="1"/>
  <c r="R102" i="1" l="1"/>
  <c r="R182" i="1"/>
  <c r="W120" i="9"/>
  <c r="W119" i="9" s="1"/>
  <c r="W118" i="9" s="1"/>
  <c r="K11" i="6"/>
  <c r="R85" i="1"/>
  <c r="W7" i="9"/>
  <c r="W25" i="9" s="1"/>
  <c r="R176" i="1"/>
  <c r="R174" i="1" s="1"/>
  <c r="R175" i="1" s="1"/>
  <c r="K54" i="6" l="1"/>
  <c r="R86" i="1"/>
  <c r="R103" i="1" s="1"/>
  <c r="K50" i="6"/>
  <c r="D141" i="7" l="1"/>
  <c r="L249" i="7" l="1"/>
  <c r="L255" i="7" s="1"/>
  <c r="L250" i="7"/>
  <c r="L256" i="7" s="1"/>
  <c r="L251" i="7"/>
  <c r="L257" i="7" s="1"/>
  <c r="N72" i="2"/>
  <c r="N75" i="2"/>
  <c r="N77" i="2"/>
  <c r="N79" i="2"/>
  <c r="E12" i="10"/>
  <c r="E13" i="10"/>
  <c r="E14" i="10"/>
  <c r="N84" i="2" l="1"/>
  <c r="N87" i="2" s="1"/>
  <c r="E15" i="10"/>
  <c r="E17" i="10" s="1"/>
  <c r="N58" i="2"/>
  <c r="N89" i="2"/>
  <c r="L252" i="7"/>
  <c r="L253" i="7" s="1"/>
  <c r="N80" i="2"/>
  <c r="N78" i="2"/>
  <c r="N76" i="2"/>
  <c r="N109" i="2"/>
  <c r="N85" i="2" l="1"/>
  <c r="L258" i="7"/>
  <c r="N91" i="2"/>
  <c r="N90" i="2"/>
  <c r="E149" i="7"/>
  <c r="E171" i="7" s="1"/>
  <c r="N60" i="2"/>
  <c r="S10" i="1" l="1"/>
  <c r="X19" i="9" l="1"/>
  <c r="X143" i="9" s="1"/>
  <c r="S14" i="1"/>
  <c r="E22" i="10"/>
  <c r="S312" i="1"/>
  <c r="S339" i="1"/>
  <c r="L19" i="6"/>
  <c r="E152" i="7" l="1"/>
  <c r="S22" i="1"/>
  <c r="S238" i="1"/>
  <c r="D1009" i="4"/>
  <c r="S77" i="1" l="1"/>
  <c r="E174" i="7"/>
  <c r="E147" i="7" l="1"/>
  <c r="E153" i="7" s="1"/>
  <c r="I180" i="7"/>
  <c r="I182" i="7" s="1"/>
  <c r="X18" i="9"/>
  <c r="N97" i="2"/>
  <c r="N98" i="2" s="1"/>
  <c r="E20" i="10"/>
  <c r="E19" i="10" s="1"/>
  <c r="S8" i="1"/>
  <c r="D1008" i="4" s="1"/>
  <c r="S13" i="1"/>
  <c r="S42" i="1"/>
  <c r="S44" i="1" s="1"/>
  <c r="U60" i="1"/>
  <c r="U61" i="1"/>
  <c r="U72" i="1"/>
  <c r="U210" i="1" s="1"/>
  <c r="U211" i="1" s="1"/>
  <c r="X135" i="9" l="1"/>
  <c r="J389" i="14"/>
  <c r="J396" i="14" s="1"/>
  <c r="U71" i="1"/>
  <c r="S50" i="1"/>
  <c r="H58" i="6" s="1"/>
  <c r="H59" i="6" s="1"/>
  <c r="N114" i="2"/>
  <c r="N101" i="2"/>
  <c r="S5" i="1"/>
  <c r="J36" i="5"/>
  <c r="E150" i="7"/>
  <c r="E172" i="7" s="1"/>
  <c r="E169" i="7"/>
  <c r="U209" i="1"/>
  <c r="U74" i="1"/>
  <c r="E154" i="7"/>
  <c r="E155" i="7" s="1"/>
  <c r="E176" i="7" s="1"/>
  <c r="S47" i="1"/>
  <c r="L20" i="6"/>
  <c r="L28" i="6"/>
  <c r="S293" i="1"/>
  <c r="S295" i="1" s="1"/>
  <c r="S52" i="1"/>
  <c r="S53" i="1" s="1"/>
  <c r="S45" i="1"/>
  <c r="F213" i="7" s="1"/>
  <c r="S121" i="1"/>
  <c r="S347" i="1"/>
  <c r="S110" i="1"/>
  <c r="X22" i="9"/>
  <c r="T112" i="1"/>
  <c r="I185" i="7"/>
  <c r="E23" i="10"/>
  <c r="X150" i="9" l="1"/>
  <c r="X156" i="9" s="1"/>
  <c r="J378" i="14"/>
  <c r="N94" i="2"/>
  <c r="E175" i="7"/>
  <c r="X23" i="9"/>
  <c r="J37" i="5"/>
  <c r="S91" i="1"/>
  <c r="S65" i="1"/>
  <c r="S152" i="1"/>
  <c r="S154" i="1" s="1"/>
  <c r="S119" i="1"/>
  <c r="T239" i="1"/>
  <c r="T313" i="1"/>
  <c r="I190" i="7"/>
  <c r="I187" i="7"/>
  <c r="I197" i="7"/>
  <c r="I207" i="7" s="1"/>
  <c r="I209" i="7" s="1"/>
  <c r="X33" i="9" l="1"/>
  <c r="S192" i="1"/>
  <c r="X24" i="9"/>
  <c r="X109" i="9"/>
  <c r="J383" i="14" s="1"/>
  <c r="I199" i="7"/>
  <c r="I192" i="7"/>
  <c r="T19" i="1"/>
  <c r="T109" i="1"/>
  <c r="T117" i="1"/>
  <c r="T116" i="1" s="1"/>
  <c r="T345" i="1"/>
  <c r="Y20" i="9" l="1"/>
  <c r="O110" i="2" l="1"/>
  <c r="T42" i="1" l="1"/>
  <c r="T44" i="1" s="1"/>
  <c r="Y18" i="9"/>
  <c r="F20" i="10"/>
  <c r="T8" i="1"/>
  <c r="J180" i="7"/>
  <c r="J182" i="7" s="1"/>
  <c r="D296" i="7"/>
  <c r="D315" i="7" s="1"/>
  <c r="Y135" i="9" l="1"/>
  <c r="K389" i="14"/>
  <c r="K396" i="14" s="1"/>
  <c r="V72" i="1"/>
  <c r="V210" i="1" s="1"/>
  <c r="V211" i="1" s="1"/>
  <c r="V209" i="1"/>
  <c r="V60" i="1"/>
  <c r="V199" i="1"/>
  <c r="T45" i="1"/>
  <c r="G213" i="7" s="1"/>
  <c r="T293" i="1"/>
  <c r="T295" i="1" s="1"/>
  <c r="T47" i="1"/>
  <c r="T347" i="1"/>
  <c r="J185" i="7"/>
  <c r="D299" i="7"/>
  <c r="M20" i="6"/>
  <c r="T121" i="1"/>
  <c r="F23" i="10"/>
  <c r="Y22" i="9"/>
  <c r="T10" i="1"/>
  <c r="V61" i="1"/>
  <c r="V202" i="1"/>
  <c r="K396" i="7"/>
  <c r="V71" i="1" l="1"/>
  <c r="V74" i="1" s="1"/>
  <c r="Y150" i="9"/>
  <c r="K378" i="14"/>
  <c r="J190" i="7"/>
  <c r="J187" i="7"/>
  <c r="J197" i="7"/>
  <c r="J207" i="7" s="1"/>
  <c r="J209" i="7" s="1"/>
  <c r="T50" i="1"/>
  <c r="I58" i="6" s="1"/>
  <c r="I59" i="6" s="1"/>
  <c r="D300" i="7"/>
  <c r="D317" i="7"/>
  <c r="J199" i="7" l="1"/>
  <c r="J192" i="7"/>
  <c r="D297" i="7"/>
  <c r="T312" i="1"/>
  <c r="M19" i="6"/>
  <c r="Y19" i="9"/>
  <c r="Y143" i="9" s="1"/>
  <c r="Y156" i="9" s="1"/>
  <c r="T339" i="1"/>
  <c r="F22" i="10"/>
  <c r="E112" i="6"/>
  <c r="T52" i="1"/>
  <c r="T65" i="1"/>
  <c r="T119" i="1"/>
  <c r="T152" i="1"/>
  <c r="T154" i="1" s="1"/>
  <c r="U112" i="1"/>
  <c r="T110" i="1"/>
  <c r="Y33" i="9" l="1"/>
  <c r="T192" i="1"/>
  <c r="T238" i="1"/>
  <c r="T22" i="1"/>
  <c r="M28" i="6" s="1"/>
  <c r="U239" i="1"/>
  <c r="U313" i="1"/>
  <c r="U345" i="1" s="1"/>
  <c r="D316" i="7"/>
  <c r="D298" i="7"/>
  <c r="D301" i="7"/>
  <c r="D318" i="7" s="1"/>
  <c r="T77" i="1"/>
  <c r="Y23" i="9"/>
  <c r="T91" i="1"/>
  <c r="T53" i="1"/>
  <c r="K37" i="5"/>
  <c r="E117" i="6"/>
  <c r="Y109" i="9" l="1"/>
  <c r="K383" i="14" s="1"/>
  <c r="Y24" i="9"/>
  <c r="X28" i="9" l="1"/>
  <c r="S29" i="1"/>
  <c r="X110" i="9"/>
  <c r="S161" i="1"/>
  <c r="S162" i="1" l="1"/>
  <c r="S241" i="1"/>
  <c r="S243" i="1" s="1"/>
  <c r="S248" i="1" s="1"/>
  <c r="S252" i="1" s="1"/>
  <c r="L21" i="6"/>
  <c r="S315" i="1"/>
  <c r="S245" i="1" l="1"/>
  <c r="S317" i="1" s="1"/>
  <c r="S319" i="1" s="1"/>
  <c r="X30" i="9" l="1"/>
  <c r="S320" i="1"/>
  <c r="S344" i="1"/>
  <c r="L23" i="6"/>
  <c r="L25" i="6" s="1"/>
  <c r="S246" i="1"/>
  <c r="S254" i="1" s="1"/>
  <c r="S256" i="1" l="1"/>
  <c r="S260" i="1"/>
  <c r="S261" i="1" s="1"/>
  <c r="S94" i="1" s="1"/>
  <c r="X31" i="9"/>
  <c r="L45" i="6"/>
  <c r="L44" i="6" s="1"/>
  <c r="S340" i="1"/>
  <c r="S348" i="1"/>
  <c r="S31" i="1"/>
  <c r="S190" i="1"/>
  <c r="S67" i="1" s="1"/>
  <c r="S37" i="1"/>
  <c r="L35" i="6" s="1"/>
  <c r="S321" i="1"/>
  <c r="L49" i="6" l="1"/>
  <c r="X15" i="9"/>
  <c r="X14" i="9"/>
  <c r="S34" i="1"/>
  <c r="S342" i="1"/>
  <c r="S349" i="1"/>
  <c r="X111" i="9"/>
  <c r="S350" i="1" l="1"/>
  <c r="S39" i="1"/>
  <c r="X29" i="9"/>
  <c r="S36" i="1"/>
  <c r="S285" i="1"/>
  <c r="S80" i="1" s="1"/>
  <c r="X27" i="9" s="1"/>
  <c r="S341" i="1"/>
  <c r="S82" i="1" l="1"/>
  <c r="S166" i="1" l="1"/>
  <c r="T167" i="1" s="1"/>
  <c r="S59" i="1"/>
  <c r="S203" i="1" l="1"/>
  <c r="S167" i="1"/>
  <c r="S204" i="1" l="1"/>
  <c r="S205" i="1"/>
  <c r="S214" i="1" s="1"/>
  <c r="S95" i="1" s="1"/>
  <c r="S62" i="1"/>
  <c r="S63" i="1" s="1"/>
  <c r="S69" i="1" s="1"/>
  <c r="L51" i="6" l="1"/>
  <c r="S83" i="1"/>
  <c r="X112" i="9"/>
  <c r="S101" i="1"/>
  <c r="X166" i="1" l="1"/>
  <c r="Y166" i="1" l="1"/>
  <c r="Z166" i="1" s="1"/>
  <c r="S171" i="1"/>
  <c r="T172" i="1" s="1"/>
  <c r="AA166" i="1" l="1"/>
  <c r="S172" i="1"/>
  <c r="AB166" i="1" l="1"/>
  <c r="AC166" i="1" l="1"/>
  <c r="AD166" i="1" l="1"/>
  <c r="X171" i="1"/>
  <c r="X169" i="1" s="1"/>
  <c r="Y171" i="1" l="1"/>
  <c r="S180" i="1"/>
  <c r="S181" i="1"/>
  <c r="S102" i="1" l="1"/>
  <c r="L11" i="6" s="1"/>
  <c r="L54" i="6" s="1"/>
  <c r="S182" i="1"/>
  <c r="Y169" i="1"/>
  <c r="Z171" i="1"/>
  <c r="X120" i="9"/>
  <c r="X119" i="9" s="1"/>
  <c r="X118" i="9" s="1"/>
  <c r="S85" i="1"/>
  <c r="X7" i="9"/>
  <c r="X25" i="9" s="1"/>
  <c r="S176" i="1"/>
  <c r="S174" i="1" s="1"/>
  <c r="S175" i="1" s="1"/>
  <c r="Z169" i="1" l="1"/>
  <c r="AA171" i="1"/>
  <c r="S86" i="1"/>
  <c r="S103" i="1" s="1"/>
  <c r="L50" i="6"/>
  <c r="AA169" i="1" l="1"/>
  <c r="AB171" i="1"/>
  <c r="T190" i="1"/>
  <c r="T67" i="1" s="1"/>
  <c r="T59" i="1"/>
  <c r="AB169" i="1" l="1"/>
  <c r="AC171" i="1"/>
  <c r="T203" i="1"/>
  <c r="T80" i="1"/>
  <c r="Y27" i="9" s="1"/>
  <c r="T29" i="1"/>
  <c r="Y110" i="9"/>
  <c r="T161" i="1"/>
  <c r="T162" i="1" l="1"/>
  <c r="T241" i="1"/>
  <c r="T243" i="1" s="1"/>
  <c r="T245" i="1" s="1"/>
  <c r="M21" i="6"/>
  <c r="T82" i="1"/>
  <c r="T315" i="1"/>
  <c r="Y28" i="9"/>
  <c r="AC169" i="1"/>
  <c r="AD171" i="1"/>
  <c r="AD169" i="1" s="1"/>
  <c r="T205" i="1"/>
  <c r="T214" i="1" s="1"/>
  <c r="T95" i="1" s="1"/>
  <c r="Y112" i="9" s="1"/>
  <c r="T204" i="1"/>
  <c r="T62" i="1"/>
  <c r="T63" i="1" s="1"/>
  <c r="T69" i="1" s="1"/>
  <c r="M51" i="6" l="1"/>
  <c r="T83" i="1"/>
  <c r="T248" i="1"/>
  <c r="T252" i="1" s="1"/>
  <c r="T317" i="1"/>
  <c r="T319" i="1" s="1"/>
  <c r="Y30" i="9" l="1"/>
  <c r="T320" i="1"/>
  <c r="T344" i="1"/>
  <c r="T31" i="1"/>
  <c r="M23" i="6"/>
  <c r="M25" i="6" s="1"/>
  <c r="T246" i="1"/>
  <c r="T254" i="1" s="1"/>
  <c r="T34" i="1" l="1"/>
  <c r="T260" i="1"/>
  <c r="T261" i="1" s="1"/>
  <c r="T94" i="1" s="1"/>
  <c r="T256" i="1"/>
  <c r="T37" i="1"/>
  <c r="M35" i="6" s="1"/>
  <c r="T321" i="1"/>
  <c r="T340" i="1"/>
  <c r="T348" i="1"/>
  <c r="D302" i="7"/>
  <c r="D319" i="7" s="1"/>
  <c r="D303" i="7"/>
  <c r="M45" i="6"/>
  <c r="M44" i="6" s="1"/>
  <c r="Y31" i="9"/>
  <c r="T36" i="1" l="1"/>
  <c r="Y29" i="9"/>
  <c r="T285" i="1"/>
  <c r="T341" i="1"/>
  <c r="Y15" i="9"/>
  <c r="Y14" i="9"/>
  <c r="M49" i="6"/>
  <c r="Y111" i="9"/>
  <c r="T101" i="1"/>
  <c r="T349" i="1"/>
  <c r="T342" i="1"/>
  <c r="T39" i="1" l="1"/>
  <c r="T350" i="1"/>
  <c r="M249" i="7" l="1"/>
  <c r="M250" i="7"/>
  <c r="M256" i="7" s="1"/>
  <c r="M251" i="7"/>
  <c r="M257" i="7" s="1"/>
  <c r="O54" i="2"/>
  <c r="O59" i="2" s="1"/>
  <c r="O75" i="2"/>
  <c r="O76" i="2" s="1"/>
  <c r="O77" i="2"/>
  <c r="O79" i="2"/>
  <c r="F12" i="10"/>
  <c r="F13" i="10"/>
  <c r="F14" i="10"/>
  <c r="F15" i="10" l="1"/>
  <c r="F17" i="10" s="1"/>
  <c r="F19" i="10" s="1"/>
  <c r="O80" i="2"/>
  <c r="M252" i="7"/>
  <c r="M253" i="7" s="1"/>
  <c r="M255" i="7"/>
  <c r="O109" i="2"/>
  <c r="O60" i="2"/>
  <c r="O111" i="2"/>
  <c r="K394" i="7"/>
  <c r="K395" i="7" s="1"/>
  <c r="O57" i="2"/>
  <c r="O89" i="2" s="1"/>
  <c r="O78" i="2"/>
  <c r="M258" i="7" l="1"/>
  <c r="O97" i="2"/>
  <c r="O98" i="2" s="1"/>
  <c r="O91" i="2"/>
  <c r="O90" i="2"/>
  <c r="O72" i="2"/>
  <c r="O84" i="2"/>
  <c r="O58" i="2"/>
  <c r="O114" i="2" l="1"/>
  <c r="K36" i="5"/>
  <c r="T5" i="1"/>
  <c r="O101" i="2"/>
  <c r="O85" i="2"/>
  <c r="O87" i="2"/>
  <c r="T181" i="1" l="1"/>
  <c r="T102" i="1" l="1"/>
  <c r="T176" i="1"/>
  <c r="T174" i="1" s="1"/>
  <c r="T175" i="1" s="1"/>
  <c r="T85" i="1" l="1"/>
  <c r="Y7" i="9"/>
  <c r="Y25" i="9" s="1"/>
  <c r="M11" i="6"/>
  <c r="Y120" i="9"/>
  <c r="Y119" i="9" s="1"/>
  <c r="Y118" i="9" s="1"/>
  <c r="M54" i="6" l="1"/>
  <c r="M50" i="6"/>
  <c r="T86" i="1"/>
  <c r="T103" i="1" s="1"/>
  <c r="DF7" i="3" l="1"/>
  <c r="DF11" i="3" l="1"/>
  <c r="BF12" i="3"/>
  <c r="N48" i="13" s="1"/>
  <c r="BF92" i="3" l="1"/>
  <c r="N61" i="13" s="1"/>
  <c r="N91" i="13" s="1"/>
  <c r="DF52" i="3"/>
  <c r="M30" i="13" s="1"/>
  <c r="DF57" i="3"/>
  <c r="DF103" i="3"/>
  <c r="M33" i="13" l="1"/>
  <c r="M85" i="13"/>
  <c r="DF107" i="3"/>
  <c r="DF111" i="3" l="1"/>
  <c r="M272" i="14" s="1"/>
  <c r="BE119" i="3" l="1"/>
  <c r="BE137" i="3" s="1"/>
  <c r="DF133" i="3"/>
  <c r="M271" i="14" l="1"/>
  <c r="N140" i="13"/>
  <c r="DF137" i="3"/>
  <c r="DJ137" i="3"/>
  <c r="DJ119" i="3"/>
  <c r="DF119" i="3"/>
  <c r="BE184" i="3"/>
  <c r="BE124" i="3"/>
  <c r="N75" i="13" s="1"/>
  <c r="BE187" i="3" l="1"/>
  <c r="BE190" i="3"/>
  <c r="DF23" i="3"/>
  <c r="BF24" i="3"/>
  <c r="N50" i="13" s="1"/>
  <c r="BE26" i="3"/>
  <c r="BE28" i="3"/>
  <c r="BI30" i="3" s="1"/>
  <c r="BE35" i="3"/>
  <c r="M53" i="13" s="1"/>
  <c r="BE95" i="3"/>
  <c r="M64" i="13" s="1"/>
  <c r="DJ28" i="3" l="1"/>
  <c r="BF94" i="3"/>
  <c r="N63" i="13" s="1"/>
  <c r="BE29" i="3"/>
  <c r="BE191" i="3"/>
  <c r="DF54" i="3"/>
  <c r="M32" i="13" s="1"/>
  <c r="BE55" i="3"/>
  <c r="BE104" i="3" s="1"/>
  <c r="BE30" i="3"/>
  <c r="DF28" i="3"/>
  <c r="BE56" i="3" l="1"/>
  <c r="DJ56" i="3" s="1"/>
  <c r="BE113" i="3"/>
  <c r="BE65" i="3" l="1"/>
  <c r="DF56" i="3"/>
  <c r="BE70" i="3"/>
  <c r="M238" i="14" l="1"/>
  <c r="Q244" i="14" s="1"/>
  <c r="BE138" i="3"/>
  <c r="DF70" i="3"/>
  <c r="M83" i="13" s="1"/>
  <c r="DJ70" i="3"/>
  <c r="Q83" i="13" s="1"/>
  <c r="P4" i="2"/>
  <c r="P5" i="2"/>
  <c r="P7" i="2"/>
  <c r="P10" i="2"/>
  <c r="G4" i="10"/>
  <c r="BF7" i="3"/>
  <c r="N177" i="14" s="1"/>
  <c r="M244" i="14" l="1"/>
  <c r="N178" i="14"/>
  <c r="N179" i="14" s="1"/>
  <c r="O178" i="14"/>
  <c r="R179" i="14" s="1"/>
  <c r="J23" i="14"/>
  <c r="DK7" i="3"/>
  <c r="BG8" i="3"/>
  <c r="K14" i="12"/>
  <c r="K25" i="12" s="1"/>
  <c r="BF8" i="3"/>
  <c r="G670" i="7" s="1"/>
  <c r="H4" i="10"/>
  <c r="Q10" i="2"/>
  <c r="DG7" i="3"/>
  <c r="Q4" i="2"/>
  <c r="Q7" i="2"/>
  <c r="D2572" i="4" l="1"/>
  <c r="H670" i="7"/>
  <c r="G678" i="7"/>
  <c r="G686" i="7"/>
  <c r="S3" i="2"/>
  <c r="S10" i="2" s="1"/>
  <c r="L14" i="12"/>
  <c r="D204" i="14"/>
  <c r="Y23" i="14"/>
  <c r="AC23" i="14"/>
  <c r="R10" i="2"/>
  <c r="I4" i="10"/>
  <c r="R4" i="2"/>
  <c r="R7" i="2"/>
  <c r="DL7" i="3"/>
  <c r="H678" i="7" l="1"/>
  <c r="I678" i="7" s="1"/>
  <c r="J678" i="7" s="1"/>
  <c r="K678" i="7" s="1"/>
  <c r="L678" i="7" s="1"/>
  <c r="M678" i="7" s="1"/>
  <c r="N678" i="7" s="1"/>
  <c r="H686" i="7"/>
  <c r="S4" i="2"/>
  <c r="BR7" i="3"/>
  <c r="BS7" i="3" s="1"/>
  <c r="J4" i="10"/>
  <c r="T3" i="2"/>
  <c r="S7" i="2"/>
  <c r="M14" i="12"/>
  <c r="E204" i="14"/>
  <c r="DO7" i="3"/>
  <c r="V177" i="14"/>
  <c r="P22" i="2"/>
  <c r="P23" i="2"/>
  <c r="P27" i="2"/>
  <c r="P39" i="2"/>
  <c r="G5" i="10"/>
  <c r="G7" i="10"/>
  <c r="L12" i="5"/>
  <c r="L13" i="5"/>
  <c r="L14" i="5"/>
  <c r="BF18" i="3"/>
  <c r="U3" i="2" l="1"/>
  <c r="BV7" i="3"/>
  <c r="K672" i="7"/>
  <c r="K673" i="7" s="1"/>
  <c r="K675" i="7" s="1"/>
  <c r="K687" i="7" s="1"/>
  <c r="BF21" i="3"/>
  <c r="BJ21" i="3"/>
  <c r="K679" i="7"/>
  <c r="DP7" i="3"/>
  <c r="BT7" i="3"/>
  <c r="BS8" i="3"/>
  <c r="T670" i="7" s="1"/>
  <c r="T686" i="7" s="1"/>
  <c r="BO8" i="3"/>
  <c r="P670" i="7" s="1"/>
  <c r="P686" i="7" s="1"/>
  <c r="DQ7" i="3"/>
  <c r="T4" i="2"/>
  <c r="DS7" i="3"/>
  <c r="DR7" i="3"/>
  <c r="Q670" i="7"/>
  <c r="Q686" i="7" s="1"/>
  <c r="O14" i="12"/>
  <c r="P14" i="12" s="1"/>
  <c r="V3" i="2"/>
  <c r="V10" i="2" s="1"/>
  <c r="U7" i="2"/>
  <c r="U4" i="2"/>
  <c r="U10" i="2"/>
  <c r="T7" i="2"/>
  <c r="F204" i="14"/>
  <c r="K4" i="10"/>
  <c r="T10" i="2"/>
  <c r="N14" i="12"/>
  <c r="DM7" i="3"/>
  <c r="T177" i="14"/>
  <c r="T178" i="14" s="1"/>
  <c r="J35" i="14"/>
  <c r="K56" i="14" s="1"/>
  <c r="DK18" i="3"/>
  <c r="P40" i="2"/>
  <c r="P28" i="2"/>
  <c r="Q28" i="2"/>
  <c r="BG53" i="3"/>
  <c r="BG19" i="3"/>
  <c r="DG18" i="3"/>
  <c r="BF28" i="3"/>
  <c r="BF53" i="3"/>
  <c r="BF19" i="3"/>
  <c r="K202" i="7"/>
  <c r="K204" i="7" s="1"/>
  <c r="DK53" i="3" l="1"/>
  <c r="R31" i="13" s="1"/>
  <c r="K688" i="7"/>
  <c r="K694" i="7"/>
  <c r="O49" i="13"/>
  <c r="O51" i="13" s="1"/>
  <c r="H671" i="7"/>
  <c r="H673" i="7" s="1"/>
  <c r="H675" i="7" s="1"/>
  <c r="H687" i="7" s="1"/>
  <c r="C24" i="13"/>
  <c r="BT8" i="3"/>
  <c r="U670" i="7" s="1"/>
  <c r="U686" i="7" s="1"/>
  <c r="BU7" i="3"/>
  <c r="N49" i="13"/>
  <c r="N51" i="13" s="1"/>
  <c r="G671" i="7"/>
  <c r="G673" i="7" s="1"/>
  <c r="G675" i="7" s="1"/>
  <c r="G687" i="7" s="1"/>
  <c r="BR8" i="3"/>
  <c r="S670" i="7" s="1"/>
  <c r="S686" i="7" s="1"/>
  <c r="BQ8" i="3"/>
  <c r="R670" i="7" s="1"/>
  <c r="R686" i="7" s="1"/>
  <c r="BF30" i="3"/>
  <c r="BJ30" i="3"/>
  <c r="V4" i="2"/>
  <c r="V7" i="2"/>
  <c r="W3" i="2"/>
  <c r="W10" i="2" s="1"/>
  <c r="J30" i="14"/>
  <c r="Y35" i="14"/>
  <c r="DN7" i="3"/>
  <c r="U177" i="14"/>
  <c r="J56" i="14"/>
  <c r="J39" i="14"/>
  <c r="J116" i="14" s="1"/>
  <c r="BG43" i="3"/>
  <c r="H701" i="7" s="1"/>
  <c r="H703" i="7" s="1"/>
  <c r="Q51" i="2"/>
  <c r="Q77" i="2" s="1"/>
  <c r="J112" i="14"/>
  <c r="AC35" i="14"/>
  <c r="K112" i="14"/>
  <c r="DK28" i="3"/>
  <c r="K478" i="7"/>
  <c r="L478" i="7"/>
  <c r="DG28" i="3"/>
  <c r="P51" i="2"/>
  <c r="DH53" i="3"/>
  <c r="O31" i="13" s="1"/>
  <c r="BG55" i="3"/>
  <c r="BG104" i="3" s="1"/>
  <c r="BF29" i="3"/>
  <c r="BG29" i="3"/>
  <c r="BG93" i="3"/>
  <c r="O62" i="13" s="1"/>
  <c r="O95" i="13" s="1"/>
  <c r="BN8" i="3"/>
  <c r="O670" i="7" s="1"/>
  <c r="O686" i="7" s="1"/>
  <c r="BF93" i="3"/>
  <c r="N62" i="13" s="1"/>
  <c r="N95" i="13" s="1"/>
  <c r="N695" i="7" l="1"/>
  <c r="K696" i="7"/>
  <c r="K698" i="7" s="1"/>
  <c r="M695" i="7"/>
  <c r="L695" i="7"/>
  <c r="H679" i="7"/>
  <c r="O678" i="7"/>
  <c r="P678" i="7" s="1"/>
  <c r="Q678" i="7" s="1"/>
  <c r="R678" i="7" s="1"/>
  <c r="S678" i="7" s="1"/>
  <c r="T678" i="7" s="1"/>
  <c r="U678" i="7" s="1"/>
  <c r="BU8" i="3"/>
  <c r="V670" i="7" s="1"/>
  <c r="V686" i="7" s="1"/>
  <c r="BV8" i="3"/>
  <c r="W670" i="7" s="1"/>
  <c r="W686" i="7" s="1"/>
  <c r="W688" i="7" s="1"/>
  <c r="G679" i="7"/>
  <c r="G680" i="7" s="1"/>
  <c r="W4" i="2"/>
  <c r="W7" i="2"/>
  <c r="X3" i="2"/>
  <c r="X10" i="2" s="1"/>
  <c r="U178" i="14"/>
  <c r="V178" i="14"/>
  <c r="AC39" i="14"/>
  <c r="Y39" i="14"/>
  <c r="J52" i="14"/>
  <c r="J48" i="14"/>
  <c r="J51" i="14"/>
  <c r="J59" i="14"/>
  <c r="J50" i="14"/>
  <c r="K59" i="14"/>
  <c r="K116" i="14"/>
  <c r="J49" i="14"/>
  <c r="BG113" i="3"/>
  <c r="Q53" i="2"/>
  <c r="Q95" i="2" s="1"/>
  <c r="Q94" i="2" s="1"/>
  <c r="K481" i="7"/>
  <c r="L481" i="7"/>
  <c r="BG56" i="3"/>
  <c r="BG95" i="3"/>
  <c r="O64" i="13" s="1"/>
  <c r="Q39" i="2"/>
  <c r="Q23" i="2"/>
  <c r="H7" i="10"/>
  <c r="M14" i="5"/>
  <c r="BF95" i="3"/>
  <c r="N64" i="13" s="1"/>
  <c r="X7" i="2" l="1"/>
  <c r="BO28" i="3"/>
  <c r="DP28" i="3" s="1"/>
  <c r="S672" i="7"/>
  <c r="H688" i="7"/>
  <c r="H694" i="7"/>
  <c r="H680" i="7"/>
  <c r="V678" i="7"/>
  <c r="W678" i="7" s="1"/>
  <c r="G688" i="7"/>
  <c r="G694" i="7"/>
  <c r="Y3" i="2"/>
  <c r="Y4" i="2" s="1"/>
  <c r="DS18" i="3"/>
  <c r="X4" i="2"/>
  <c r="V179" i="14"/>
  <c r="DO18" i="3"/>
  <c r="DL56" i="3"/>
  <c r="BG58" i="3"/>
  <c r="BG70" i="3"/>
  <c r="BG138" i="3" s="1"/>
  <c r="BG65" i="3"/>
  <c r="DH56" i="3"/>
  <c r="DL18" i="3"/>
  <c r="D796" i="7"/>
  <c r="D830" i="7" s="1"/>
  <c r="Q40" i="2"/>
  <c r="D794" i="7"/>
  <c r="D828" i="7" s="1"/>
  <c r="BN28" i="3"/>
  <c r="DS28" i="3" s="1"/>
  <c r="R23" i="2"/>
  <c r="I7" i="10"/>
  <c r="R39" i="2"/>
  <c r="L26" i="12" s="1"/>
  <c r="L24" i="12"/>
  <c r="L25" i="12" s="1"/>
  <c r="N14" i="5"/>
  <c r="H5" i="10"/>
  <c r="Q44" i="2"/>
  <c r="L202" i="7"/>
  <c r="L204" i="7" s="1"/>
  <c r="M12" i="5"/>
  <c r="Q43" i="2"/>
  <c r="M13" i="5"/>
  <c r="Y7" i="2" l="1"/>
  <c r="Y10" i="2"/>
  <c r="BO21" i="3"/>
  <c r="BS21" i="3"/>
  <c r="BO19" i="3"/>
  <c r="W49" i="13" s="1"/>
  <c r="W51" i="13" s="1"/>
  <c r="DQ41" i="3"/>
  <c r="T672" i="7"/>
  <c r="T673" i="7" s="1"/>
  <c r="G696" i="7"/>
  <c r="G698" i="7" s="1"/>
  <c r="G695" i="7"/>
  <c r="H696" i="7"/>
  <c r="H698" i="7" s="1"/>
  <c r="J695" i="7"/>
  <c r="H695" i="7"/>
  <c r="I695" i="7"/>
  <c r="K695" i="7"/>
  <c r="I680" i="7"/>
  <c r="DP18" i="3"/>
  <c r="BO30" i="3"/>
  <c r="BO29" i="3"/>
  <c r="BN30" i="3"/>
  <c r="BR30" i="3"/>
  <c r="L27" i="12"/>
  <c r="DH70" i="3"/>
  <c r="O83" i="13" s="1"/>
  <c r="O238" i="14"/>
  <c r="DO28" i="3"/>
  <c r="DL53" i="3"/>
  <c r="S31" i="13" s="1"/>
  <c r="AE35" i="14"/>
  <c r="E796" i="7"/>
  <c r="E830" i="7" s="1"/>
  <c r="R40" i="2"/>
  <c r="E794" i="7"/>
  <c r="E828" i="7" s="1"/>
  <c r="T23" i="2"/>
  <c r="M202" i="7"/>
  <c r="M204" i="7" s="1"/>
  <c r="R43" i="2"/>
  <c r="I5" i="10"/>
  <c r="R44" i="2"/>
  <c r="N12" i="5"/>
  <c r="N13" i="5"/>
  <c r="S39" i="2"/>
  <c r="M26" i="12" s="1"/>
  <c r="S42" i="2"/>
  <c r="S23" i="2"/>
  <c r="O14" i="5"/>
  <c r="J7" i="10"/>
  <c r="P671" i="7" l="1"/>
  <c r="P673" i="7" s="1"/>
  <c r="P675" i="7" s="1"/>
  <c r="P687" i="7" s="1"/>
  <c r="K24" i="13"/>
  <c r="DP41" i="3"/>
  <c r="W68" i="13" s="1"/>
  <c r="K27" i="13"/>
  <c r="DQ18" i="3"/>
  <c r="BO93" i="3"/>
  <c r="Q671" i="7"/>
  <c r="Q673" i="7" s="1"/>
  <c r="Q675" i="7" s="1"/>
  <c r="Q687" i="7" s="1"/>
  <c r="BP28" i="3"/>
  <c r="BP29" i="3" s="1"/>
  <c r="BP21" i="3"/>
  <c r="BT21" i="3"/>
  <c r="P679" i="7"/>
  <c r="T675" i="7"/>
  <c r="T687" i="7" s="1"/>
  <c r="T679" i="7"/>
  <c r="BQ19" i="3"/>
  <c r="R671" i="7" s="1"/>
  <c r="U672" i="7"/>
  <c r="U673" i="7" s="1"/>
  <c r="J680" i="7"/>
  <c r="P688" i="7"/>
  <c r="P694" i="7"/>
  <c r="M24" i="12"/>
  <c r="M25" i="12" s="1"/>
  <c r="BR33" i="3"/>
  <c r="BN36" i="3"/>
  <c r="S244" i="14"/>
  <c r="O244" i="14"/>
  <c r="P39" i="14"/>
  <c r="P56" i="14"/>
  <c r="DL57" i="3"/>
  <c r="DL103" i="3"/>
  <c r="BL53" i="3"/>
  <c r="DM18" i="3"/>
  <c r="DL28" i="3"/>
  <c r="F796" i="7"/>
  <c r="S40" i="2"/>
  <c r="F794" i="7"/>
  <c r="BN35" i="3"/>
  <c r="V53" i="13" s="1"/>
  <c r="BL28" i="3"/>
  <c r="BL30" i="3" s="1"/>
  <c r="DL70" i="3"/>
  <c r="S83" i="13" s="1"/>
  <c r="DL71" i="3"/>
  <c r="T39" i="2"/>
  <c r="N26" i="12" s="1"/>
  <c r="T42" i="2"/>
  <c r="N24" i="12" s="1"/>
  <c r="N25" i="12" s="1"/>
  <c r="P14" i="5"/>
  <c r="K7" i="10"/>
  <c r="Q14" i="5"/>
  <c r="S44" i="2"/>
  <c r="N202" i="7"/>
  <c r="N204" i="7" s="1"/>
  <c r="S43" i="2"/>
  <c r="J5" i="10"/>
  <c r="O12" i="5"/>
  <c r="O13" i="5"/>
  <c r="BO95" i="3" l="1"/>
  <c r="W64" i="13" s="1"/>
  <c r="W62" i="13"/>
  <c r="W95" i="13" s="1"/>
  <c r="BP95" i="3"/>
  <c r="DR18" i="3"/>
  <c r="V672" i="7"/>
  <c r="V673" i="7" s="1"/>
  <c r="V675" i="7" s="1"/>
  <c r="V687" i="7" s="1"/>
  <c r="BQ21" i="3"/>
  <c r="BU21" i="3"/>
  <c r="BL43" i="3"/>
  <c r="M701" i="7" s="1"/>
  <c r="M703" i="7" s="1"/>
  <c r="BR19" i="3"/>
  <c r="S671" i="7" s="1"/>
  <c r="S673" i="7" s="1"/>
  <c r="S675" i="7" s="1"/>
  <c r="S687" i="7" s="1"/>
  <c r="BQ41" i="3"/>
  <c r="DR41" i="3" s="1"/>
  <c r="BQ28" i="3"/>
  <c r="BR29" i="3" s="1"/>
  <c r="U675" i="7"/>
  <c r="U687" i="7" s="1"/>
  <c r="U679" i="7"/>
  <c r="T688" i="7"/>
  <c r="T694" i="7"/>
  <c r="T696" i="7" s="1"/>
  <c r="T698" i="7" s="1"/>
  <c r="P696" i="7"/>
  <c r="P698" i="7" s="1"/>
  <c r="Q679" i="7"/>
  <c r="R673" i="7"/>
  <c r="R675" i="7" s="1"/>
  <c r="R687" i="7" s="1"/>
  <c r="K680" i="7"/>
  <c r="M27" i="12"/>
  <c r="BQ93" i="3"/>
  <c r="BQ95" i="3" s="1"/>
  <c r="BR35" i="3"/>
  <c r="BR36" i="3"/>
  <c r="DQ28" i="3"/>
  <c r="DQ53" i="3"/>
  <c r="P701" i="7"/>
  <c r="P703" i="7" s="1"/>
  <c r="BP30" i="3"/>
  <c r="BO36" i="3"/>
  <c r="Q701" i="7"/>
  <c r="Q703" i="7" s="1"/>
  <c r="BO34" i="3"/>
  <c r="BO35" i="3"/>
  <c r="W53" i="13" s="1"/>
  <c r="Q56" i="14"/>
  <c r="N27" i="12"/>
  <c r="P52" i="14"/>
  <c r="P51" i="14"/>
  <c r="P50" i="14"/>
  <c r="P48" i="14"/>
  <c r="P49" i="14"/>
  <c r="P59" i="14"/>
  <c r="AE39" i="14"/>
  <c r="DN18" i="3"/>
  <c r="S33" i="13"/>
  <c r="S85" i="13"/>
  <c r="DM53" i="3"/>
  <c r="T31" i="13" s="1"/>
  <c r="BM53" i="3"/>
  <c r="BM55" i="3" s="1"/>
  <c r="BM104" i="3" s="1"/>
  <c r="DM28" i="3"/>
  <c r="G794" i="7"/>
  <c r="G828" i="7" s="1"/>
  <c r="G796" i="7"/>
  <c r="G830" i="7" s="1"/>
  <c r="BM28" i="3"/>
  <c r="BN19" i="3"/>
  <c r="V49" i="13" s="1"/>
  <c r="V51" i="13" s="1"/>
  <c r="DL107" i="3"/>
  <c r="BL29" i="3"/>
  <c r="T40" i="2"/>
  <c r="F828" i="7"/>
  <c r="O202" i="7"/>
  <c r="O204" i="7" s="1"/>
  <c r="F830" i="7"/>
  <c r="P13" i="5"/>
  <c r="T44" i="2"/>
  <c r="P12" i="5"/>
  <c r="K5" i="10"/>
  <c r="T43" i="2"/>
  <c r="D740" i="7"/>
  <c r="U23" i="2"/>
  <c r="U42" i="2"/>
  <c r="U39" i="2"/>
  <c r="R14" i="5"/>
  <c r="G147" i="7"/>
  <c r="G169" i="7" s="1"/>
  <c r="K180" i="7"/>
  <c r="K182" i="7" s="1"/>
  <c r="E296" i="7"/>
  <c r="E315" i="7" s="1"/>
  <c r="Z18" i="9"/>
  <c r="G20" i="10"/>
  <c r="U8" i="1"/>
  <c r="U212" i="1" s="1"/>
  <c r="W202" i="1"/>
  <c r="W72" i="1"/>
  <c r="W210" i="1" s="1"/>
  <c r="W211" i="1" s="1"/>
  <c r="R51" i="2" l="1"/>
  <c r="R77" i="2" s="1"/>
  <c r="R78" i="2" s="1"/>
  <c r="W212" i="1"/>
  <c r="V679" i="7"/>
  <c r="BR93" i="3"/>
  <c r="BR95" i="3" s="1"/>
  <c r="DR28" i="3"/>
  <c r="BQ29" i="3"/>
  <c r="V688" i="7"/>
  <c r="V694" i="7"/>
  <c r="V696" i="7" s="1"/>
  <c r="V698" i="7" s="1"/>
  <c r="U694" i="7"/>
  <c r="U696" i="7" s="1"/>
  <c r="U698" i="7" s="1"/>
  <c r="U688" i="7"/>
  <c r="R679" i="7"/>
  <c r="S688" i="7"/>
  <c r="S679" i="7"/>
  <c r="Q694" i="7"/>
  <c r="Q688" i="7"/>
  <c r="O671" i="7"/>
  <c r="J24" i="13"/>
  <c r="L680" i="7"/>
  <c r="BQ30" i="3"/>
  <c r="DR53" i="3"/>
  <c r="BP36" i="3"/>
  <c r="BQ43" i="3"/>
  <c r="R701" i="7" s="1"/>
  <c r="R703" i="7" s="1"/>
  <c r="BP35" i="3"/>
  <c r="DN28" i="3"/>
  <c r="BM30" i="3"/>
  <c r="Z135" i="9"/>
  <c r="L389" i="14"/>
  <c r="L396" i="14" s="1"/>
  <c r="Q52" i="14"/>
  <c r="Q50" i="14"/>
  <c r="Q51" i="14"/>
  <c r="Q48" i="14"/>
  <c r="Q59" i="14"/>
  <c r="Q49" i="14"/>
  <c r="H796" i="7"/>
  <c r="H830" i="7" s="1"/>
  <c r="O24" i="12"/>
  <c r="H794" i="7"/>
  <c r="H828" i="7" s="1"/>
  <c r="O26" i="12"/>
  <c r="DM57" i="3"/>
  <c r="T235" i="14"/>
  <c r="T243" i="14" s="1"/>
  <c r="DN53" i="3"/>
  <c r="U31" i="13" s="1"/>
  <c r="DL111" i="3"/>
  <c r="S272" i="14" s="1"/>
  <c r="DL114" i="3"/>
  <c r="BL34" i="3"/>
  <c r="BL55" i="3"/>
  <c r="R53" i="2" s="1"/>
  <c r="R95" i="2" s="1"/>
  <c r="R94" i="2" s="1"/>
  <c r="U94" i="2" s="1"/>
  <c r="V94" i="2" s="1"/>
  <c r="W94" i="2" s="1"/>
  <c r="X94" i="2" s="1"/>
  <c r="Y94" i="2" s="1"/>
  <c r="DM71" i="3"/>
  <c r="BM29" i="3"/>
  <c r="BN29" i="3"/>
  <c r="U40" i="2"/>
  <c r="Q12" i="5"/>
  <c r="Q13" i="5"/>
  <c r="S14" i="5"/>
  <c r="V23" i="2"/>
  <c r="V42" i="2"/>
  <c r="I796" i="7" s="1"/>
  <c r="I830" i="7" s="1"/>
  <c r="V39" i="2"/>
  <c r="I794" i="7" s="1"/>
  <c r="I828" i="7" s="1"/>
  <c r="U44" i="2"/>
  <c r="U43" i="2"/>
  <c r="W71" i="1"/>
  <c r="W74" i="1" s="1"/>
  <c r="W60" i="1"/>
  <c r="W199" i="1"/>
  <c r="W61" i="1"/>
  <c r="BL104" i="3" l="1"/>
  <c r="Q696" i="7"/>
  <c r="Q698" i="7" s="1"/>
  <c r="R694" i="7"/>
  <c r="R688" i="7"/>
  <c r="O673" i="7"/>
  <c r="O675" i="7" s="1"/>
  <c r="O687" i="7" s="1"/>
  <c r="M680" i="7"/>
  <c r="BQ35" i="3"/>
  <c r="BR34" i="3"/>
  <c r="BQ36" i="3"/>
  <c r="BQ34" i="3"/>
  <c r="O27" i="12"/>
  <c r="P26" i="12"/>
  <c r="P24" i="12"/>
  <c r="O25" i="12"/>
  <c r="P25" i="12" s="1"/>
  <c r="BL56" i="3"/>
  <c r="BL113" i="3"/>
  <c r="DM103" i="3"/>
  <c r="BM43" i="3"/>
  <c r="BM34" i="3"/>
  <c r="BL107" i="3"/>
  <c r="BN34" i="3"/>
  <c r="V40" i="2"/>
  <c r="R12" i="5"/>
  <c r="R13" i="5"/>
  <c r="V44" i="2"/>
  <c r="V43" i="2"/>
  <c r="W23" i="2"/>
  <c r="W42" i="2"/>
  <c r="J796" i="7" s="1"/>
  <c r="J830" i="7" s="1"/>
  <c r="W39" i="2"/>
  <c r="J794" i="7" s="1"/>
  <c r="J828" i="7" s="1"/>
  <c r="U14" i="5"/>
  <c r="T14" i="5"/>
  <c r="E297" i="7"/>
  <c r="E298" i="7" s="1"/>
  <c r="Z19" i="9"/>
  <c r="Z143" i="9" s="1"/>
  <c r="G22" i="10"/>
  <c r="U13" i="1"/>
  <c r="U14" i="1"/>
  <c r="U77" i="1" s="1"/>
  <c r="U17" i="1"/>
  <c r="U312" i="1"/>
  <c r="U339" i="1"/>
  <c r="N19" i="6"/>
  <c r="R696" i="7" l="1"/>
  <c r="R698" i="7" s="1"/>
  <c r="O688" i="7"/>
  <c r="O679" i="7"/>
  <c r="N680" i="7"/>
  <c r="Q67" i="14"/>
  <c r="N701" i="7"/>
  <c r="N703" i="7" s="1"/>
  <c r="DM107" i="3"/>
  <c r="DQ107" i="3"/>
  <c r="BL65" i="3"/>
  <c r="DQ56" i="3"/>
  <c r="DM56" i="3"/>
  <c r="BL70" i="3"/>
  <c r="T85" i="13"/>
  <c r="T33" i="13"/>
  <c r="DM111" i="3"/>
  <c r="T272" i="14" s="1"/>
  <c r="DM114" i="3"/>
  <c r="G152" i="7"/>
  <c r="G174" i="7" s="1"/>
  <c r="W40" i="2"/>
  <c r="U238" i="1"/>
  <c r="S12" i="5"/>
  <c r="S13" i="5"/>
  <c r="Y23" i="2"/>
  <c r="Y42" i="2"/>
  <c r="L796" i="7" s="1"/>
  <c r="Y39" i="2"/>
  <c r="L794" i="7" s="1"/>
  <c r="X23" i="2"/>
  <c r="X42" i="2"/>
  <c r="K796" i="7" s="1"/>
  <c r="K830" i="7" s="1"/>
  <c r="X39" i="2"/>
  <c r="K794" i="7" s="1"/>
  <c r="K828" i="7" s="1"/>
  <c r="W44" i="2"/>
  <c r="W43" i="2"/>
  <c r="E316" i="7"/>
  <c r="DG40" i="3"/>
  <c r="N67" i="13" s="1"/>
  <c r="DG41" i="3"/>
  <c r="N68" i="13" s="1"/>
  <c r="DG42" i="3"/>
  <c r="N69" i="13" s="1"/>
  <c r="U10" i="1"/>
  <c r="P108" i="2"/>
  <c r="DG111" i="3"/>
  <c r="N272" i="14" s="1"/>
  <c r="O680" i="7" l="1"/>
  <c r="DM70" i="3"/>
  <c r="T83" i="13" s="1"/>
  <c r="DQ70" i="3"/>
  <c r="T238" i="14"/>
  <c r="T244" i="14" s="1"/>
  <c r="G153" i="7"/>
  <c r="M796" i="7"/>
  <c r="M830" i="7" s="1"/>
  <c r="L830" i="7"/>
  <c r="M794" i="7"/>
  <c r="M828" i="7" s="1"/>
  <c r="L828" i="7"/>
  <c r="X40" i="2"/>
  <c r="U12" i="5"/>
  <c r="U13" i="5"/>
  <c r="T12" i="5"/>
  <c r="T13" i="5"/>
  <c r="X43" i="2"/>
  <c r="X44" i="2"/>
  <c r="Y40" i="2"/>
  <c r="Y43" i="2"/>
  <c r="Y44" i="2"/>
  <c r="P103" i="2"/>
  <c r="P680" i="7" l="1"/>
  <c r="Y45" i="2"/>
  <c r="P104" i="2"/>
  <c r="P106" i="2"/>
  <c r="Q680" i="7" l="1"/>
  <c r="DG119" i="3"/>
  <c r="BF124" i="3"/>
  <c r="O75" i="13" s="1"/>
  <c r="R680" i="7" l="1"/>
  <c r="DG133" i="3"/>
  <c r="BF172" i="3"/>
  <c r="BF157" i="3"/>
  <c r="N271" i="14" l="1"/>
  <c r="O140" i="13"/>
  <c r="S680" i="7"/>
  <c r="BF173" i="3"/>
  <c r="BG173" i="3"/>
  <c r="BF184" i="3"/>
  <c r="BF160" i="3"/>
  <c r="BF161" i="3" s="1"/>
  <c r="T680" i="7" l="1"/>
  <c r="BF187" i="3"/>
  <c r="BF190" i="3"/>
  <c r="U42" i="1"/>
  <c r="U680" i="7" l="1"/>
  <c r="BF191" i="3"/>
  <c r="U44" i="1"/>
  <c r="U293" i="1" s="1"/>
  <c r="U295" i="1" s="1"/>
  <c r="U50" i="1"/>
  <c r="J58" i="6" s="1"/>
  <c r="J59" i="6" s="1"/>
  <c r="G23" i="10"/>
  <c r="G154" i="7" l="1"/>
  <c r="G155" i="7" s="1"/>
  <c r="G176" i="7" s="1"/>
  <c r="V680" i="7"/>
  <c r="W680" i="7"/>
  <c r="U45" i="1"/>
  <c r="N20" i="6"/>
  <c r="E299" i="7"/>
  <c r="E301" i="7" s="1"/>
  <c r="E318" i="7" s="1"/>
  <c r="K185" i="7"/>
  <c r="K190" i="7" s="1"/>
  <c r="U347" i="1"/>
  <c r="Z22" i="9"/>
  <c r="U47" i="1"/>
  <c r="U52" i="1"/>
  <c r="AE52" i="1" s="1"/>
  <c r="U152" i="1"/>
  <c r="U154" i="1" s="1"/>
  <c r="V112" i="1"/>
  <c r="U65" i="1"/>
  <c r="U192" i="1" s="1"/>
  <c r="U119" i="1"/>
  <c r="G175" i="7" l="1"/>
  <c r="E317" i="7"/>
  <c r="Z150" i="9"/>
  <c r="Z156" i="9" s="1"/>
  <c r="L378" i="14"/>
  <c r="E300" i="7"/>
  <c r="L37" i="5"/>
  <c r="U53" i="1"/>
  <c r="Z23" i="9"/>
  <c r="Z24" i="9" s="1"/>
  <c r="K187" i="7"/>
  <c r="K192" i="7" s="1"/>
  <c r="K197" i="7"/>
  <c r="K207" i="7" s="1"/>
  <c r="K209" i="7" s="1"/>
  <c r="U91" i="1"/>
  <c r="Z33" i="9"/>
  <c r="V239" i="1"/>
  <c r="V313" i="1"/>
  <c r="V345" i="1" s="1"/>
  <c r="K199" i="7" l="1"/>
  <c r="Z109" i="9"/>
  <c r="L383" i="14" s="1"/>
  <c r="V19" i="1"/>
  <c r="AA20" i="9" l="1"/>
  <c r="DG57" i="3"/>
  <c r="BF71" i="3"/>
  <c r="BF99" i="3"/>
  <c r="BF134" i="3" s="1"/>
  <c r="O76" i="13" s="1"/>
  <c r="O141" i="13" s="1"/>
  <c r="BF107" i="3"/>
  <c r="BF112" i="3"/>
  <c r="DG107" i="3" l="1"/>
  <c r="DK107" i="3"/>
  <c r="BJ73" i="3"/>
  <c r="DK71" i="3"/>
  <c r="O74" i="13"/>
  <c r="BG72" i="3"/>
  <c r="DG71" i="3"/>
  <c r="BF73" i="3"/>
  <c r="BF72" i="3"/>
  <c r="BF148" i="3"/>
  <c r="DG103" i="3"/>
  <c r="N33" i="13" l="1"/>
  <c r="N85" i="13"/>
  <c r="DG52" i="3"/>
  <c r="N30" i="13" s="1"/>
  <c r="DG53" i="3"/>
  <c r="N31" i="13" s="1"/>
  <c r="DG54" i="3"/>
  <c r="N32" i="13" s="1"/>
  <c r="BF55" i="3"/>
  <c r="BF104" i="3" s="1"/>
  <c r="BF56" i="3" l="1"/>
  <c r="DK56" i="3" s="1"/>
  <c r="P53" i="2"/>
  <c r="BF113" i="3"/>
  <c r="BF34" i="3"/>
  <c r="BF35" i="3"/>
  <c r="N53" i="13" s="1"/>
  <c r="BF36" i="3"/>
  <c r="BF70" i="3" l="1"/>
  <c r="BF138" i="3" s="1"/>
  <c r="DG56" i="3"/>
  <c r="BF65" i="3"/>
  <c r="P95" i="2"/>
  <c r="P94" i="2" s="1"/>
  <c r="P110" i="2"/>
  <c r="DK70" i="3" l="1"/>
  <c r="R83" i="13" s="1"/>
  <c r="N238" i="14"/>
  <c r="N244" i="14" s="1"/>
  <c r="DG70" i="3"/>
  <c r="N83" i="13" s="1"/>
  <c r="D987" i="7"/>
  <c r="P987" i="7" s="1"/>
  <c r="Q110" i="2"/>
  <c r="E987" i="7"/>
  <c r="Q987" i="7" s="1"/>
  <c r="R244" i="14" l="1"/>
  <c r="R110" i="2"/>
  <c r="S95" i="2"/>
  <c r="S53" i="2" s="1"/>
  <c r="BR55" i="3" s="1"/>
  <c r="S110" i="2" l="1"/>
  <c r="F987" i="7"/>
  <c r="R987" i="7" s="1"/>
  <c r="T95" i="2"/>
  <c r="T53" i="2" s="1"/>
  <c r="T110" i="2" l="1"/>
  <c r="G987" i="7"/>
  <c r="S987" i="7" s="1"/>
  <c r="U95" i="2"/>
  <c r="U53" i="2" s="1"/>
  <c r="U110" i="2" l="1"/>
  <c r="H987" i="7"/>
  <c r="T987" i="7" s="1"/>
  <c r="V95" i="2"/>
  <c r="V53" i="2" s="1"/>
  <c r="V110" i="2" s="1"/>
  <c r="W95" i="2" l="1"/>
  <c r="W53" i="2" s="1"/>
  <c r="W110" i="2" s="1"/>
  <c r="Y95" i="2" l="1"/>
  <c r="Y53" i="2" s="1"/>
  <c r="Y110" i="2" s="1"/>
  <c r="X95" i="2"/>
  <c r="X53" i="2" s="1"/>
  <c r="X110" i="2" s="1"/>
  <c r="N249" i="7"/>
  <c r="N255" i="7" s="1"/>
  <c r="N250" i="7"/>
  <c r="N256" i="7" s="1"/>
  <c r="N251" i="7"/>
  <c r="N257" i="7" s="1"/>
  <c r="P54" i="2"/>
  <c r="P57" i="2" s="1"/>
  <c r="P89" i="2" s="1"/>
  <c r="P75" i="2"/>
  <c r="Q76" i="2" s="1"/>
  <c r="P77" i="2"/>
  <c r="Q78" i="2" s="1"/>
  <c r="P79" i="2"/>
  <c r="G12" i="10"/>
  <c r="G13" i="10"/>
  <c r="G14" i="10"/>
  <c r="P80" i="2" l="1"/>
  <c r="Q80" i="2"/>
  <c r="I13" i="10"/>
  <c r="D984" i="7"/>
  <c r="P984" i="7" s="1"/>
  <c r="G15" i="10"/>
  <c r="G17" i="10" s="1"/>
  <c r="G19" i="10" s="1"/>
  <c r="P72" i="2"/>
  <c r="P76" i="2"/>
  <c r="P59" i="2"/>
  <c r="P111" i="2" s="1"/>
  <c r="P97" i="2"/>
  <c r="P98" i="2" s="1"/>
  <c r="O249" i="7"/>
  <c r="O255" i="7" s="1"/>
  <c r="N252" i="7"/>
  <c r="N258" i="7" s="1"/>
  <c r="P90" i="2"/>
  <c r="P91" i="2"/>
  <c r="H12" i="10"/>
  <c r="P58" i="2"/>
  <c r="P84" i="2"/>
  <c r="P78" i="2"/>
  <c r="S77" i="2" l="1"/>
  <c r="S51" i="2" s="1"/>
  <c r="BR53" i="3" s="1"/>
  <c r="P250" i="7"/>
  <c r="E985" i="7"/>
  <c r="Q985" i="7" s="1"/>
  <c r="D985" i="7"/>
  <c r="P985" i="7" s="1"/>
  <c r="P60" i="2"/>
  <c r="G149" i="7"/>
  <c r="G150" i="7" s="1"/>
  <c r="G172" i="7" s="1"/>
  <c r="P101" i="2"/>
  <c r="P109" i="2"/>
  <c r="P114" i="2"/>
  <c r="N253" i="7"/>
  <c r="U5" i="1"/>
  <c r="L36" i="5"/>
  <c r="P87" i="2"/>
  <c r="P85" i="2"/>
  <c r="O250" i="7"/>
  <c r="H13" i="10"/>
  <c r="S75" i="2"/>
  <c r="DS53" i="3" l="1"/>
  <c r="BR41" i="3"/>
  <c r="F985" i="7"/>
  <c r="R985" i="7" s="1"/>
  <c r="DO53" i="3"/>
  <c r="V31" i="13" s="1"/>
  <c r="T77" i="2"/>
  <c r="T51" i="2" s="1"/>
  <c r="G985" i="7" s="1"/>
  <c r="S985" i="7" s="1"/>
  <c r="Q250" i="7"/>
  <c r="J13" i="10"/>
  <c r="D986" i="7"/>
  <c r="P986" i="7" s="1"/>
  <c r="E984" i="7"/>
  <c r="Q984" i="7" s="1"/>
  <c r="G171" i="7"/>
  <c r="O251" i="7"/>
  <c r="O257" i="7" s="1"/>
  <c r="H14" i="10"/>
  <c r="H15" i="10" s="1"/>
  <c r="H17" i="10" s="1"/>
  <c r="P249" i="7"/>
  <c r="I12" i="10"/>
  <c r="S50" i="2"/>
  <c r="BR52" i="3" s="1"/>
  <c r="T75" i="2"/>
  <c r="O256" i="7"/>
  <c r="P256" i="7" s="1"/>
  <c r="S79" i="2"/>
  <c r="Q54" i="2"/>
  <c r="DO41" i="3" l="1"/>
  <c r="V68" i="13" s="1"/>
  <c r="J27" i="13"/>
  <c r="DS41" i="3"/>
  <c r="BR40" i="3"/>
  <c r="DS52" i="3"/>
  <c r="F984" i="7"/>
  <c r="R984" i="7" s="1"/>
  <c r="R250" i="7"/>
  <c r="S250" i="7" s="1"/>
  <c r="K13" i="10"/>
  <c r="D988" i="7"/>
  <c r="P988" i="7" s="1"/>
  <c r="Q256" i="7"/>
  <c r="DO52" i="3"/>
  <c r="V30" i="13" s="1"/>
  <c r="U77" i="2"/>
  <c r="V77" i="2" s="1"/>
  <c r="W77" i="2" s="1"/>
  <c r="BN43" i="3"/>
  <c r="O701" i="7" s="1"/>
  <c r="O703" i="7" s="1"/>
  <c r="E986" i="7"/>
  <c r="Q986" i="7" s="1"/>
  <c r="O252" i="7"/>
  <c r="O258" i="7" s="1"/>
  <c r="Q59" i="2"/>
  <c r="Q109" i="2" s="1"/>
  <c r="C290" i="14" s="1"/>
  <c r="Q57" i="2"/>
  <c r="Q89" i="2" s="1"/>
  <c r="P251" i="7"/>
  <c r="P257" i="7" s="1"/>
  <c r="I14" i="10"/>
  <c r="I15" i="10" s="1"/>
  <c r="I17" i="10" s="1"/>
  <c r="S52" i="2"/>
  <c r="BR54" i="3" s="1"/>
  <c r="T79" i="2"/>
  <c r="T50" i="2"/>
  <c r="G984" i="7" s="1"/>
  <c r="S984" i="7" s="1"/>
  <c r="U75" i="2"/>
  <c r="P255" i="7"/>
  <c r="Q249" i="7"/>
  <c r="J12" i="10"/>
  <c r="R54" i="2"/>
  <c r="DO40" i="3" l="1"/>
  <c r="V67" i="13" s="1"/>
  <c r="J26" i="13"/>
  <c r="DS40" i="3"/>
  <c r="BR42" i="3"/>
  <c r="R256" i="7"/>
  <c r="S256" i="7" s="1"/>
  <c r="E988" i="7"/>
  <c r="Q988" i="7" s="1"/>
  <c r="V51" i="2"/>
  <c r="DO54" i="3"/>
  <c r="V32" i="13" s="1"/>
  <c r="U51" i="2"/>
  <c r="H985" i="7" s="1"/>
  <c r="T985" i="7" s="1"/>
  <c r="Q90" i="2"/>
  <c r="Q91" i="2"/>
  <c r="DO42" i="3"/>
  <c r="V69" i="13" s="1"/>
  <c r="S54" i="2"/>
  <c r="F986" i="7"/>
  <c r="R986" i="7" s="1"/>
  <c r="O253" i="7"/>
  <c r="P252" i="7"/>
  <c r="P253" i="7" s="1"/>
  <c r="Q251" i="7"/>
  <c r="Q257" i="7" s="1"/>
  <c r="J14" i="10"/>
  <c r="J15" i="10" s="1"/>
  <c r="J17" i="10" s="1"/>
  <c r="X77" i="2"/>
  <c r="W51" i="2"/>
  <c r="U50" i="2"/>
  <c r="H984" i="7" s="1"/>
  <c r="T984" i="7" s="1"/>
  <c r="V75" i="2"/>
  <c r="U79" i="2"/>
  <c r="T52" i="2"/>
  <c r="R249" i="7"/>
  <c r="K12" i="10"/>
  <c r="T250" i="7"/>
  <c r="R57" i="2"/>
  <c r="R89" i="2" s="1"/>
  <c r="R59" i="2"/>
  <c r="R109" i="2" s="1"/>
  <c r="D290" i="14" s="1"/>
  <c r="Q58" i="2"/>
  <c r="Q84" i="2"/>
  <c r="Q97" i="2"/>
  <c r="Q114" i="2" s="1"/>
  <c r="Q72" i="2"/>
  <c r="Q255" i="7"/>
  <c r="H149" i="7"/>
  <c r="H171" i="7" s="1"/>
  <c r="Q60" i="2"/>
  <c r="R91" i="2" l="1"/>
  <c r="R90" i="2"/>
  <c r="DS42" i="3"/>
  <c r="DS54" i="3"/>
  <c r="BR43" i="3"/>
  <c r="S701" i="7" s="1"/>
  <c r="S703" i="7" s="1"/>
  <c r="BR57" i="3"/>
  <c r="I407" i="14" s="1"/>
  <c r="F988" i="7"/>
  <c r="R988" i="7" s="1"/>
  <c r="S89" i="2"/>
  <c r="S57" i="2"/>
  <c r="S72" i="2" s="1"/>
  <c r="S59" i="2"/>
  <c r="S108" i="2" s="1"/>
  <c r="BR111" i="3" s="1"/>
  <c r="T54" i="2"/>
  <c r="G986" i="7"/>
  <c r="S986" i="7" s="1"/>
  <c r="P258" i="7"/>
  <c r="Q252" i="7"/>
  <c r="Q253" i="7" s="1"/>
  <c r="S249" i="7"/>
  <c r="R255" i="7"/>
  <c r="Y77" i="2"/>
  <c r="Y51" i="2" s="1"/>
  <c r="X51" i="2"/>
  <c r="Q87" i="2"/>
  <c r="Q85" i="2"/>
  <c r="R60" i="2"/>
  <c r="R58" i="2"/>
  <c r="R72" i="2"/>
  <c r="R97" i="2"/>
  <c r="R114" i="2" s="1"/>
  <c r="R84" i="2"/>
  <c r="R251" i="7"/>
  <c r="R257" i="7" s="1"/>
  <c r="K14" i="10"/>
  <c r="K15" i="10" s="1"/>
  <c r="K17" i="10" s="1"/>
  <c r="Q111" i="2"/>
  <c r="U250" i="7"/>
  <c r="T256" i="7"/>
  <c r="V79" i="2"/>
  <c r="U52" i="2"/>
  <c r="Q98" i="2"/>
  <c r="V5" i="1"/>
  <c r="D5" i="15" s="1"/>
  <c r="D7" i="15" s="1"/>
  <c r="M36" i="5"/>
  <c r="V50" i="2"/>
  <c r="W75" i="2"/>
  <c r="BR99" i="3" l="1"/>
  <c r="G361" i="14" s="1"/>
  <c r="H361" i="14" s="1"/>
  <c r="S697" i="7"/>
  <c r="BR137" i="3"/>
  <c r="DS137" i="3" s="1"/>
  <c r="BR133" i="3"/>
  <c r="BR135" i="3" s="1"/>
  <c r="BR103" i="3"/>
  <c r="BR71" i="3"/>
  <c r="BR70" i="3"/>
  <c r="G988" i="7"/>
  <c r="S988" i="7" s="1"/>
  <c r="S91" i="2"/>
  <c r="T89" i="2"/>
  <c r="S58" i="2"/>
  <c r="S97" i="2"/>
  <c r="S98" i="2" s="1"/>
  <c r="S84" i="2"/>
  <c r="S85" i="2" s="1"/>
  <c r="S60" i="2"/>
  <c r="D981" i="7"/>
  <c r="P981" i="7" s="1"/>
  <c r="E596" i="7"/>
  <c r="E604" i="7" s="1"/>
  <c r="T57" i="2"/>
  <c r="T97" i="2" s="1"/>
  <c r="T59" i="2"/>
  <c r="T60" i="2" s="1"/>
  <c r="U54" i="2"/>
  <c r="H986" i="7"/>
  <c r="T986" i="7" s="1"/>
  <c r="D792" i="7"/>
  <c r="C20" i="12"/>
  <c r="Q258" i="7"/>
  <c r="R252" i="7"/>
  <c r="Q101" i="2"/>
  <c r="V10" i="1"/>
  <c r="R111" i="2"/>
  <c r="T249" i="7"/>
  <c r="S255" i="7"/>
  <c r="X75" i="2"/>
  <c r="W50" i="2"/>
  <c r="R98" i="2"/>
  <c r="W5" i="1"/>
  <c r="N36" i="5"/>
  <c r="W79" i="2"/>
  <c r="V52" i="2"/>
  <c r="V54" i="2" s="1"/>
  <c r="V250" i="7"/>
  <c r="U256" i="7"/>
  <c r="H147" i="7"/>
  <c r="L180" i="7"/>
  <c r="L182" i="7" s="1"/>
  <c r="E584" i="7"/>
  <c r="AA18" i="9"/>
  <c r="H20" i="10"/>
  <c r="H19" i="10" s="1"/>
  <c r="V8" i="1"/>
  <c r="V212" i="1" s="1"/>
  <c r="X200" i="1"/>
  <c r="X197" i="1"/>
  <c r="X210" i="1"/>
  <c r="X207" i="1"/>
  <c r="S100" i="2"/>
  <c r="S111" i="2"/>
  <c r="V42" i="1"/>
  <c r="D995" i="7" s="1"/>
  <c r="Q115" i="2"/>
  <c r="R85" i="2"/>
  <c r="R87" i="2"/>
  <c r="BR177" i="3" l="1"/>
  <c r="I413" i="14"/>
  <c r="I425" i="14" s="1"/>
  <c r="BR134" i="3"/>
  <c r="BR107" i="3"/>
  <c r="BR113" i="3"/>
  <c r="BR112" i="3"/>
  <c r="BR114" i="3"/>
  <c r="BR72" i="3"/>
  <c r="AA135" i="9"/>
  <c r="M389" i="14"/>
  <c r="M396" i="14" s="1"/>
  <c r="X5" i="1"/>
  <c r="X7" i="1" s="1"/>
  <c r="H988" i="7"/>
  <c r="T988" i="7" s="1"/>
  <c r="O36" i="5"/>
  <c r="S113" i="2"/>
  <c r="S115" i="2" s="1"/>
  <c r="U89" i="2"/>
  <c r="T91" i="2"/>
  <c r="S87" i="2"/>
  <c r="D736" i="7"/>
  <c r="E597" i="7"/>
  <c r="U59" i="2"/>
  <c r="U60" i="2" s="1"/>
  <c r="T58" i="2"/>
  <c r="T84" i="2"/>
  <c r="T87" i="2" s="1"/>
  <c r="T72" i="2"/>
  <c r="U57" i="2"/>
  <c r="U58" i="2" s="1"/>
  <c r="T108" i="2"/>
  <c r="T111" i="2" s="1"/>
  <c r="R258" i="7"/>
  <c r="D997" i="7"/>
  <c r="P995" i="7"/>
  <c r="V44" i="1"/>
  <c r="D19" i="15" s="1"/>
  <c r="D20" i="15" s="1"/>
  <c r="D21" i="15" s="1"/>
  <c r="S252" i="7"/>
  <c r="S251" i="7" s="1"/>
  <c r="S257" i="7" s="1"/>
  <c r="R253" i="7"/>
  <c r="V59" i="2"/>
  <c r="V57" i="2"/>
  <c r="X71" i="1"/>
  <c r="X212" i="1"/>
  <c r="X50" i="2"/>
  <c r="Y75" i="2"/>
  <c r="Y50" i="2" s="1"/>
  <c r="S101" i="2"/>
  <c r="X10" i="1"/>
  <c r="X60" i="1"/>
  <c r="X199" i="1"/>
  <c r="H169" i="7"/>
  <c r="H150" i="7"/>
  <c r="H172" i="7" s="1"/>
  <c r="R115" i="2"/>
  <c r="W42" i="1"/>
  <c r="W44" i="1" s="1"/>
  <c r="F551" i="7" s="1"/>
  <c r="V50" i="1"/>
  <c r="X61" i="1"/>
  <c r="X202" i="1"/>
  <c r="T98" i="2"/>
  <c r="T113" i="2"/>
  <c r="Y5" i="1"/>
  <c r="Y7" i="1" s="1"/>
  <c r="BV57" i="3" s="1"/>
  <c r="P36" i="5"/>
  <c r="X72" i="1"/>
  <c r="X209" i="1"/>
  <c r="W52" i="2"/>
  <c r="W54" i="2" s="1"/>
  <c r="X79" i="2"/>
  <c r="W250" i="7"/>
  <c r="V256" i="7"/>
  <c r="U249" i="7"/>
  <c r="T255" i="7"/>
  <c r="D436" i="14" l="1"/>
  <c r="D431" i="14"/>
  <c r="BV99" i="3"/>
  <c r="W697" i="7"/>
  <c r="F1022" i="7"/>
  <c r="F1034" i="7" s="1"/>
  <c r="Y210" i="1"/>
  <c r="Y212" i="1" s="1"/>
  <c r="E1022" i="7"/>
  <c r="E1034" i="7" s="1"/>
  <c r="J20" i="10"/>
  <c r="J19" i="10" s="1"/>
  <c r="H296" i="7"/>
  <c r="H315" i="7" s="1"/>
  <c r="AC18" i="9"/>
  <c r="F584" i="7"/>
  <c r="E20" i="12"/>
  <c r="Z207" i="1"/>
  <c r="Z72" i="1" s="1"/>
  <c r="Z210" i="1"/>
  <c r="Z197" i="1"/>
  <c r="Z60" i="1" s="1"/>
  <c r="N180" i="7"/>
  <c r="N182" i="7" s="1"/>
  <c r="F792" i="7"/>
  <c r="Z200" i="1"/>
  <c r="Z61" i="1" s="1"/>
  <c r="G596" i="7"/>
  <c r="F981" i="7"/>
  <c r="R981" i="7" s="1"/>
  <c r="M180" i="7"/>
  <c r="M182" i="7" s="1"/>
  <c r="E792" i="7"/>
  <c r="G296" i="7"/>
  <c r="G315" i="7" s="1"/>
  <c r="X8" i="1"/>
  <c r="G597" i="7" s="1"/>
  <c r="X42" i="1"/>
  <c r="F995" i="7" s="1"/>
  <c r="R995" i="7" s="1"/>
  <c r="Y197" i="1"/>
  <c r="Y199" i="1" s="1"/>
  <c r="E995" i="7"/>
  <c r="Q995" i="7" s="1"/>
  <c r="D1024" i="7"/>
  <c r="D1036" i="7" s="1"/>
  <c r="E5" i="15"/>
  <c r="F5" i="15" s="1"/>
  <c r="F7" i="15" s="1"/>
  <c r="G7" i="15" s="1"/>
  <c r="H7" i="15" s="1"/>
  <c r="I7" i="15" s="1"/>
  <c r="J7" i="15" s="1"/>
  <c r="K7" i="15" s="1"/>
  <c r="L7" i="15" s="1"/>
  <c r="D1022" i="7"/>
  <c r="D1034" i="7" s="1"/>
  <c r="V89" i="2"/>
  <c r="U91" i="2"/>
  <c r="AB18" i="9"/>
  <c r="Y207" i="1"/>
  <c r="Y209" i="1" s="1"/>
  <c r="D20" i="12"/>
  <c r="Y200" i="1"/>
  <c r="Y202" i="1" s="1"/>
  <c r="F596" i="7"/>
  <c r="F602" i="7" s="1"/>
  <c r="G602" i="7" s="1"/>
  <c r="W8" i="1"/>
  <c r="F597" i="7" s="1"/>
  <c r="F601" i="7" s="1"/>
  <c r="I20" i="10"/>
  <c r="I19" i="10" s="1"/>
  <c r="E981" i="7"/>
  <c r="Q981" i="7" s="1"/>
  <c r="U97" i="2"/>
  <c r="Q36" i="5" s="1"/>
  <c r="U72" i="2"/>
  <c r="U108" i="2"/>
  <c r="U111" i="2" s="1"/>
  <c r="U84" i="2"/>
  <c r="U87" i="2" s="1"/>
  <c r="T100" i="2"/>
  <c r="T518" i="7"/>
  <c r="E598" i="7"/>
  <c r="E599" i="7" s="1"/>
  <c r="G981" i="7"/>
  <c r="S981" i="7" s="1"/>
  <c r="H596" i="7"/>
  <c r="T85" i="2"/>
  <c r="K58" i="6"/>
  <c r="K59" i="6" s="1"/>
  <c r="D998" i="7"/>
  <c r="D798" i="7"/>
  <c r="D799" i="7" s="1"/>
  <c r="D992" i="7"/>
  <c r="V347" i="1"/>
  <c r="V293" i="1"/>
  <c r="V295" i="1" s="1"/>
  <c r="H23" i="10"/>
  <c r="D801" i="7"/>
  <c r="D803" i="7" s="1"/>
  <c r="S258" i="7"/>
  <c r="V47" i="1"/>
  <c r="V45" i="1"/>
  <c r="E587" i="7"/>
  <c r="E588" i="7" s="1"/>
  <c r="O20" i="6"/>
  <c r="C13" i="12" s="1"/>
  <c r="L185" i="7"/>
  <c r="L190" i="7" s="1"/>
  <c r="V121" i="1"/>
  <c r="AA22" i="9"/>
  <c r="T252" i="7"/>
  <c r="T251" i="7" s="1"/>
  <c r="T257" i="7" s="1"/>
  <c r="H154" i="7"/>
  <c r="H175" i="7" s="1"/>
  <c r="G792" i="7"/>
  <c r="G826" i="7" s="1"/>
  <c r="F20" i="12"/>
  <c r="E19" i="15"/>
  <c r="E20" i="15" s="1"/>
  <c r="W59" i="2"/>
  <c r="W57" i="2"/>
  <c r="G584" i="7"/>
  <c r="AD18" i="9"/>
  <c r="I296" i="7"/>
  <c r="I315" i="7" s="1"/>
  <c r="O180" i="7"/>
  <c r="O182" i="7" s="1"/>
  <c r="K20" i="10"/>
  <c r="K19" i="10" s="1"/>
  <c r="Y8" i="1"/>
  <c r="H597" i="7" s="1"/>
  <c r="AA200" i="1"/>
  <c r="AA197" i="1"/>
  <c r="AA210" i="1"/>
  <c r="AA207" i="1"/>
  <c r="AE7" i="1"/>
  <c r="M584" i="7" s="1"/>
  <c r="M588" i="7" s="1"/>
  <c r="X52" i="2"/>
  <c r="X54" i="2" s="1"/>
  <c r="Y79" i="2"/>
  <c r="Y52" i="2" s="1"/>
  <c r="Y54" i="2" s="1"/>
  <c r="Y42" i="1"/>
  <c r="T115" i="2"/>
  <c r="V249" i="7"/>
  <c r="U255" i="7"/>
  <c r="D737" i="7"/>
  <c r="E585" i="7"/>
  <c r="E586" i="7" s="1"/>
  <c r="AA19" i="9"/>
  <c r="AA143" i="9" s="1"/>
  <c r="H22" i="10"/>
  <c r="V13" i="1"/>
  <c r="C289" i="14" s="1"/>
  <c r="V14" i="1"/>
  <c r="V229" i="1" s="1"/>
  <c r="V52" i="1"/>
  <c r="V17" i="1"/>
  <c r="V312" i="1"/>
  <c r="V339" i="1"/>
  <c r="O19" i="6"/>
  <c r="C12" i="12" s="1"/>
  <c r="X74" i="1"/>
  <c r="X12" i="1"/>
  <c r="G550" i="7" s="1"/>
  <c r="X250" i="7"/>
  <c r="W256" i="7"/>
  <c r="V72" i="2"/>
  <c r="V97" i="2"/>
  <c r="V58" i="2"/>
  <c r="V84" i="2"/>
  <c r="V60" i="2"/>
  <c r="V108" i="2"/>
  <c r="C21" i="12" l="1"/>
  <c r="C22" i="12" s="1"/>
  <c r="Y71" i="1"/>
  <c r="Z212" i="1"/>
  <c r="AD135" i="9"/>
  <c r="P389" i="14"/>
  <c r="AC135" i="9"/>
  <c r="O389" i="14"/>
  <c r="AA150" i="9"/>
  <c r="AA156" i="9" s="1"/>
  <c r="M378" i="14"/>
  <c r="AB135" i="9"/>
  <c r="N389" i="14"/>
  <c r="N396" i="14" s="1"/>
  <c r="F20" i="15"/>
  <c r="E11" i="15"/>
  <c r="E12" i="15" s="1"/>
  <c r="E14" i="15" s="1"/>
  <c r="E24" i="15" s="1"/>
  <c r="Z71" i="1"/>
  <c r="Z74" i="1" s="1"/>
  <c r="AA209" i="1"/>
  <c r="AA202" i="1"/>
  <c r="AA199" i="1"/>
  <c r="T101" i="2"/>
  <c r="X44" i="1"/>
  <c r="BR147" i="3" s="1"/>
  <c r="Z199" i="1"/>
  <c r="Y61" i="1"/>
  <c r="E7" i="15"/>
  <c r="F8" i="15" s="1"/>
  <c r="Z209" i="1"/>
  <c r="X50" i="1"/>
  <c r="M58" i="6" s="1"/>
  <c r="M59" i="6" s="1"/>
  <c r="E6" i="15"/>
  <c r="Y72" i="1"/>
  <c r="E1024" i="7"/>
  <c r="E1036" i="7" s="1"/>
  <c r="Z202" i="1"/>
  <c r="Y60" i="1"/>
  <c r="F604" i="7"/>
  <c r="F997" i="7"/>
  <c r="W89" i="2"/>
  <c r="V91" i="2"/>
  <c r="G995" i="7"/>
  <c r="S995" i="7" s="1"/>
  <c r="F1024" i="7"/>
  <c r="F1036" i="7" s="1"/>
  <c r="E997" i="7"/>
  <c r="U98" i="2"/>
  <c r="Z5" i="1"/>
  <c r="Z7" i="1" s="1"/>
  <c r="U100" i="2"/>
  <c r="Y10" i="1"/>
  <c r="Y12" i="1" s="1"/>
  <c r="H550" i="7" s="1"/>
  <c r="U85" i="2"/>
  <c r="U113" i="2"/>
  <c r="U115" i="2" s="1"/>
  <c r="H602" i="7"/>
  <c r="G604" i="7"/>
  <c r="E801" i="7"/>
  <c r="E803" i="7" s="1"/>
  <c r="F598" i="7"/>
  <c r="V518" i="7"/>
  <c r="P998" i="7"/>
  <c r="D999" i="7"/>
  <c r="F798" i="7"/>
  <c r="F992" i="7"/>
  <c r="D804" i="7"/>
  <c r="D805" i="7" s="1"/>
  <c r="P992" i="7"/>
  <c r="D993" i="7"/>
  <c r="D802" i="7"/>
  <c r="D996" i="7"/>
  <c r="P996" i="7" s="1"/>
  <c r="W347" i="1"/>
  <c r="P20" i="6"/>
  <c r="D13" i="12" s="1"/>
  <c r="W293" i="1"/>
  <c r="W295" i="1" s="1"/>
  <c r="W45" i="1"/>
  <c r="G299" i="7"/>
  <c r="G300" i="7" s="1"/>
  <c r="M185" i="7"/>
  <c r="M187" i="7" s="1"/>
  <c r="AB22" i="9"/>
  <c r="I23" i="10"/>
  <c r="E589" i="7"/>
  <c r="L187" i="7"/>
  <c r="L199" i="7" s="1"/>
  <c r="L197" i="7"/>
  <c r="L207" i="7" s="1"/>
  <c r="L209" i="7" s="1"/>
  <c r="W47" i="1"/>
  <c r="T258" i="7"/>
  <c r="U252" i="7"/>
  <c r="U251" i="7" s="1"/>
  <c r="U257" i="7" s="1"/>
  <c r="V119" i="1"/>
  <c r="Y44" i="1"/>
  <c r="X57" i="2"/>
  <c r="X59" i="2"/>
  <c r="W249" i="7"/>
  <c r="V255" i="7"/>
  <c r="H297" i="7"/>
  <c r="X17" i="1"/>
  <c r="AC19" i="9"/>
  <c r="AC143" i="9" s="1"/>
  <c r="F585" i="7"/>
  <c r="F586" i="7" s="1"/>
  <c r="J22" i="10"/>
  <c r="X13" i="1"/>
  <c r="J162" i="13" s="1"/>
  <c r="X312" i="1"/>
  <c r="Q19" i="6"/>
  <c r="E12" i="12" s="1"/>
  <c r="X339" i="1"/>
  <c r="H152" i="7"/>
  <c r="V238" i="1"/>
  <c r="V22" i="1"/>
  <c r="C23" i="12" s="1"/>
  <c r="AA72" i="1"/>
  <c r="V85" i="2"/>
  <c r="V87" i="2"/>
  <c r="AA23" i="9"/>
  <c r="V91" i="1"/>
  <c r="V53" i="1"/>
  <c r="M37" i="5"/>
  <c r="AA71" i="1"/>
  <c r="Y250" i="7"/>
  <c r="X256" i="7"/>
  <c r="Y57" i="2"/>
  <c r="Y59" i="2"/>
  <c r="V77" i="1"/>
  <c r="AA60" i="1"/>
  <c r="V113" i="2"/>
  <c r="AA5" i="1"/>
  <c r="AA7" i="1" s="1"/>
  <c r="V98" i="2"/>
  <c r="R36" i="5"/>
  <c r="AA61" i="1"/>
  <c r="W84" i="2"/>
  <c r="W72" i="2"/>
  <c r="W97" i="2"/>
  <c r="W58" i="2"/>
  <c r="V100" i="2"/>
  <c r="V111" i="2"/>
  <c r="AA212" i="1"/>
  <c r="W60" i="2"/>
  <c r="W108" i="2"/>
  <c r="Y74" i="1" l="1"/>
  <c r="S690" i="7"/>
  <c r="S699" i="7" s="1"/>
  <c r="AX419" i="14"/>
  <c r="H551" i="7"/>
  <c r="BV147" i="3"/>
  <c r="BR148" i="3"/>
  <c r="G340" i="14" s="1"/>
  <c r="BR151" i="3"/>
  <c r="G347" i="14" s="1"/>
  <c r="BR157" i="3"/>
  <c r="E289" i="14"/>
  <c r="E612" i="7"/>
  <c r="G20" i="12"/>
  <c r="H20" i="12" s="1"/>
  <c r="H1022" i="7"/>
  <c r="H1034" i="7" s="1"/>
  <c r="AF18" i="9"/>
  <c r="C325" i="14"/>
  <c r="D617" i="7"/>
  <c r="G598" i="7"/>
  <c r="G599" i="7" s="1"/>
  <c r="G551" i="7"/>
  <c r="G555" i="7" s="1"/>
  <c r="G559" i="7" s="1"/>
  <c r="P396" i="14"/>
  <c r="O396" i="14"/>
  <c r="AB150" i="9"/>
  <c r="N378" i="14"/>
  <c r="E15" i="15"/>
  <c r="D614" i="7" s="1"/>
  <c r="F11" i="15"/>
  <c r="F12" i="15" s="1"/>
  <c r="F14" i="15" s="1"/>
  <c r="X47" i="1"/>
  <c r="F802" i="7" s="1"/>
  <c r="X293" i="1"/>
  <c r="X295" i="1" s="1"/>
  <c r="X52" i="1"/>
  <c r="H299" i="7"/>
  <c r="H300" i="7" s="1"/>
  <c r="AC22" i="9"/>
  <c r="F801" i="7"/>
  <c r="F803" i="7" s="1"/>
  <c r="Q20" i="6"/>
  <c r="E13" i="12" s="1"/>
  <c r="N185" i="7"/>
  <c r="N187" i="7" s="1"/>
  <c r="N192" i="7" s="1"/>
  <c r="X347" i="1"/>
  <c r="E21" i="15"/>
  <c r="D619" i="7" s="1"/>
  <c r="F587" i="7"/>
  <c r="J23" i="10"/>
  <c r="X45" i="1"/>
  <c r="J163" i="13" s="1"/>
  <c r="J164" i="13" s="1"/>
  <c r="U101" i="2"/>
  <c r="I596" i="7"/>
  <c r="AE18" i="9"/>
  <c r="F998" i="7"/>
  <c r="R998" i="7" s="1"/>
  <c r="AB200" i="1"/>
  <c r="AB202" i="1" s="1"/>
  <c r="Z8" i="1"/>
  <c r="I597" i="7" s="1"/>
  <c r="AB207" i="1"/>
  <c r="AB209" i="1" s="1"/>
  <c r="AB197" i="1"/>
  <c r="AB199" i="1" s="1"/>
  <c r="AB210" i="1"/>
  <c r="AB212" i="1" s="1"/>
  <c r="H981" i="7"/>
  <c r="T981" i="7" s="1"/>
  <c r="G997" i="7"/>
  <c r="H584" i="7"/>
  <c r="E21" i="12"/>
  <c r="E22" i="12" s="1"/>
  <c r="E1023" i="7"/>
  <c r="E1035" i="7" s="1"/>
  <c r="H792" i="7"/>
  <c r="M792" i="7" s="1"/>
  <c r="M826" i="7" s="1"/>
  <c r="G1022" i="7"/>
  <c r="G1034" i="7" s="1"/>
  <c r="W91" i="2"/>
  <c r="X89" i="2"/>
  <c r="Z10" i="1"/>
  <c r="Z12" i="1" s="1"/>
  <c r="I550" i="7" s="1"/>
  <c r="Y50" i="1"/>
  <c r="N58" i="6" s="1"/>
  <c r="N59" i="6" s="1"/>
  <c r="E25" i="15"/>
  <c r="Z42" i="1"/>
  <c r="E835" i="7"/>
  <c r="F599" i="7"/>
  <c r="F606" i="7"/>
  <c r="F607" i="7" s="1"/>
  <c r="AA552" i="7"/>
  <c r="G801" i="7"/>
  <c r="G835" i="7" s="1"/>
  <c r="H598" i="7"/>
  <c r="V545" i="7"/>
  <c r="I602" i="7"/>
  <c r="I604" i="7" s="1"/>
  <c r="H604" i="7"/>
  <c r="F799" i="7"/>
  <c r="M197" i="7"/>
  <c r="M207" i="7" s="1"/>
  <c r="M209" i="7" s="1"/>
  <c r="E802" i="7"/>
  <c r="E996" i="7"/>
  <c r="Q996" i="7" s="1"/>
  <c r="R992" i="7"/>
  <c r="F993" i="7"/>
  <c r="G798" i="7"/>
  <c r="G832" i="7" s="1"/>
  <c r="G992" i="7"/>
  <c r="G317" i="7"/>
  <c r="M190" i="7"/>
  <c r="V252" i="7"/>
  <c r="V251" i="7" s="1"/>
  <c r="V257" i="7" s="1"/>
  <c r="L192" i="7"/>
  <c r="Y45" i="1"/>
  <c r="W112" i="1"/>
  <c r="W313" i="1" s="1"/>
  <c r="W345" i="1" s="1"/>
  <c r="U258" i="7"/>
  <c r="V110" i="1"/>
  <c r="V65" i="1"/>
  <c r="Y347" i="1"/>
  <c r="R20" i="6"/>
  <c r="F13" i="12" s="1"/>
  <c r="Y293" i="1"/>
  <c r="Y295" i="1" s="1"/>
  <c r="O185" i="7"/>
  <c r="O187" i="7" s="1"/>
  <c r="G587" i="7"/>
  <c r="G588" i="7" s="1"/>
  <c r="Y47" i="1"/>
  <c r="Y60" i="2"/>
  <c r="K23" i="10"/>
  <c r="V152" i="1"/>
  <c r="V154" i="1" s="1"/>
  <c r="I299" i="7"/>
  <c r="I300" i="7" s="1"/>
  <c r="AD22" i="9"/>
  <c r="I584" i="7"/>
  <c r="I792" i="7"/>
  <c r="I826" i="7" s="1"/>
  <c r="Y108" i="2"/>
  <c r="Y100" i="2" s="1"/>
  <c r="G585" i="7"/>
  <c r="G586" i="7" s="1"/>
  <c r="AD19" i="9"/>
  <c r="AD143" i="9" s="1"/>
  <c r="I297" i="7"/>
  <c r="Y14" i="1"/>
  <c r="Y52" i="1"/>
  <c r="Y17" i="1"/>
  <c r="AE12" i="1"/>
  <c r="M585" i="7" s="1"/>
  <c r="K22" i="10"/>
  <c r="Y13" i="1"/>
  <c r="Y312" i="1"/>
  <c r="R19" i="6"/>
  <c r="F12" i="12" s="1"/>
  <c r="Y339" i="1"/>
  <c r="AA8" i="1"/>
  <c r="AC207" i="1"/>
  <c r="AC200" i="1"/>
  <c r="AC197" i="1"/>
  <c r="AC210" i="1"/>
  <c r="H298" i="7"/>
  <c r="H316" i="7"/>
  <c r="W113" i="2"/>
  <c r="W98" i="2"/>
  <c r="AB5" i="1"/>
  <c r="AB7" i="1" s="1"/>
  <c r="S36" i="5"/>
  <c r="AA42" i="1"/>
  <c r="V115" i="2"/>
  <c r="W85" i="2"/>
  <c r="W87" i="2"/>
  <c r="W100" i="2"/>
  <c r="W111" i="2"/>
  <c r="Y58" i="2"/>
  <c r="Y84" i="2"/>
  <c r="Y97" i="2"/>
  <c r="Y72" i="2"/>
  <c r="AA74" i="1"/>
  <c r="O28" i="6"/>
  <c r="X60" i="2"/>
  <c r="X108" i="2"/>
  <c r="W255" i="7"/>
  <c r="X249" i="7"/>
  <c r="M199" i="7"/>
  <c r="M192" i="7"/>
  <c r="V101" i="2"/>
  <c r="AA10" i="1"/>
  <c r="Y256" i="7"/>
  <c r="Z250" i="7"/>
  <c r="AA24" i="9"/>
  <c r="AA109" i="9"/>
  <c r="M383" i="14" s="1"/>
  <c r="H155" i="7"/>
  <c r="H176" i="7" s="1"/>
  <c r="H153" i="7"/>
  <c r="H174" i="7"/>
  <c r="X58" i="2"/>
  <c r="X84" i="2"/>
  <c r="X97" i="2"/>
  <c r="X72" i="2"/>
  <c r="X238" i="1"/>
  <c r="X91" i="1" l="1"/>
  <c r="V699" i="7"/>
  <c r="S692" i="7"/>
  <c r="S694" i="7" s="1"/>
  <c r="T695" i="7" s="1"/>
  <c r="U699" i="7"/>
  <c r="T699" i="7"/>
  <c r="BV148" i="3"/>
  <c r="W690" i="7"/>
  <c r="W699" i="7" s="1"/>
  <c r="G606" i="7"/>
  <c r="G607" i="7" s="1"/>
  <c r="AF135" i="9"/>
  <c r="R389" i="14"/>
  <c r="F289" i="14"/>
  <c r="F612" i="7"/>
  <c r="M586" i="7"/>
  <c r="M589" i="7"/>
  <c r="AG18" i="9"/>
  <c r="J584" i="7"/>
  <c r="E325" i="14"/>
  <c r="F617" i="7"/>
  <c r="D325" i="14"/>
  <c r="E617" i="7"/>
  <c r="G556" i="7"/>
  <c r="AC150" i="9"/>
  <c r="AC156" i="9" s="1"/>
  <c r="O378" i="14"/>
  <c r="AE135" i="9"/>
  <c r="Q389" i="14"/>
  <c r="AD150" i="9"/>
  <c r="AD156" i="9" s="1"/>
  <c r="P378" i="14"/>
  <c r="F589" i="7"/>
  <c r="F588" i="7"/>
  <c r="F15" i="15"/>
  <c r="E614" i="7" s="1"/>
  <c r="H20" i="15"/>
  <c r="G20" i="15"/>
  <c r="H555" i="7" s="1"/>
  <c r="F24" i="15"/>
  <c r="AC23" i="9"/>
  <c r="AC24" i="9" s="1"/>
  <c r="F996" i="7"/>
  <c r="R996" i="7" s="1"/>
  <c r="N197" i="7"/>
  <c r="N207" i="7" s="1"/>
  <c r="N209" i="7" s="1"/>
  <c r="O37" i="5"/>
  <c r="AE19" i="9"/>
  <c r="AE143" i="9" s="1"/>
  <c r="X53" i="1"/>
  <c r="AA33" i="9"/>
  <c r="V192" i="1"/>
  <c r="N199" i="7"/>
  <c r="N190" i="7"/>
  <c r="H317" i="7"/>
  <c r="H301" i="7"/>
  <c r="H318" i="7" s="1"/>
  <c r="F835" i="7"/>
  <c r="F804" i="7"/>
  <c r="F805" i="7" s="1"/>
  <c r="AC202" i="1"/>
  <c r="AB61" i="1"/>
  <c r="F999" i="7"/>
  <c r="AC212" i="1"/>
  <c r="AB71" i="1"/>
  <c r="AC209" i="1"/>
  <c r="AB60" i="1"/>
  <c r="AC199" i="1"/>
  <c r="H826" i="7"/>
  <c r="AB72" i="1"/>
  <c r="Z50" i="1"/>
  <c r="O58" i="6" s="1"/>
  <c r="O59" i="6" s="1"/>
  <c r="F21" i="12"/>
  <c r="F1023" i="7"/>
  <c r="F1035" i="7" s="1"/>
  <c r="G998" i="7"/>
  <c r="S998" i="7" s="1"/>
  <c r="Y89" i="2"/>
  <c r="Y91" i="2" s="1"/>
  <c r="X91" i="2"/>
  <c r="J792" i="7"/>
  <c r="J826" i="7" s="1"/>
  <c r="I1022" i="7"/>
  <c r="I1034" i="7" s="1"/>
  <c r="AA44" i="1"/>
  <c r="H1024" i="7"/>
  <c r="H1036" i="7" s="1"/>
  <c r="Z44" i="1"/>
  <c r="I551" i="7" s="1"/>
  <c r="G1024" i="7"/>
  <c r="G1036" i="7" s="1"/>
  <c r="H995" i="7"/>
  <c r="H997" i="7" s="1"/>
  <c r="H992" i="7"/>
  <c r="T992" i="7" s="1"/>
  <c r="G11" i="15"/>
  <c r="G12" i="15" s="1"/>
  <c r="G14" i="15" s="1"/>
  <c r="G803" i="7"/>
  <c r="G836" i="7" s="1"/>
  <c r="H606" i="7"/>
  <c r="H607" i="7" s="1"/>
  <c r="H599" i="7"/>
  <c r="W252" i="7"/>
  <c r="W251" i="7" s="1"/>
  <c r="W257" i="7" s="1"/>
  <c r="G804" i="7"/>
  <c r="G805" i="7" s="1"/>
  <c r="G838" i="7" s="1"/>
  <c r="S992" i="7"/>
  <c r="G993" i="7"/>
  <c r="W109" i="1"/>
  <c r="G799" i="7"/>
  <c r="G833" i="7" s="1"/>
  <c r="G802" i="7"/>
  <c r="G996" i="7"/>
  <c r="S996" i="7" s="1"/>
  <c r="V258" i="7"/>
  <c r="W239" i="1"/>
  <c r="O197" i="7"/>
  <c r="O207" i="7" s="1"/>
  <c r="O209" i="7" s="1"/>
  <c r="Y111" i="2"/>
  <c r="O190" i="7"/>
  <c r="I317" i="7"/>
  <c r="G589" i="7"/>
  <c r="G552" i="7"/>
  <c r="H798" i="7"/>
  <c r="H585" i="7"/>
  <c r="H586" i="7" s="1"/>
  <c r="Y101" i="2"/>
  <c r="AD10" i="1"/>
  <c r="AC71" i="1"/>
  <c r="I316" i="7"/>
  <c r="I298" i="7"/>
  <c r="I301" i="7"/>
  <c r="I318" i="7" s="1"/>
  <c r="Z13" i="1"/>
  <c r="Z14" i="1"/>
  <c r="Z17" i="1"/>
  <c r="Z312" i="1"/>
  <c r="S19" i="6"/>
  <c r="G12" i="12" s="1"/>
  <c r="Z339" i="1"/>
  <c r="X113" i="2"/>
  <c r="X98" i="2"/>
  <c r="AC5" i="1"/>
  <c r="AC7" i="1" s="1"/>
  <c r="T36" i="5"/>
  <c r="Z256" i="7"/>
  <c r="AA250" i="7"/>
  <c r="Y113" i="2"/>
  <c r="Y98" i="2"/>
  <c r="AD5" i="1"/>
  <c r="AD7" i="1" s="1"/>
  <c r="U36" i="5"/>
  <c r="AC60" i="1"/>
  <c r="O192" i="7"/>
  <c r="O199" i="7"/>
  <c r="X87" i="2"/>
  <c r="X85" i="2"/>
  <c r="X255" i="7"/>
  <c r="Y249" i="7"/>
  <c r="Y87" i="2"/>
  <c r="Y85" i="2"/>
  <c r="AB8" i="1"/>
  <c r="AD197" i="1"/>
  <c r="AD60" i="1" s="1"/>
  <c r="AD210" i="1"/>
  <c r="AD71" i="1" s="1"/>
  <c r="AD207" i="1"/>
  <c r="AD72" i="1" s="1"/>
  <c r="AD200" i="1"/>
  <c r="AD61" i="1" s="1"/>
  <c r="AC61" i="1"/>
  <c r="AD23" i="9"/>
  <c r="Y91" i="1"/>
  <c r="Y53" i="1"/>
  <c r="P37" i="5"/>
  <c r="AA50" i="1"/>
  <c r="P58" i="6" s="1"/>
  <c r="P59" i="6" s="1"/>
  <c r="AA12" i="1"/>
  <c r="X111" i="2"/>
  <c r="X100" i="2"/>
  <c r="W101" i="2"/>
  <c r="AB10" i="1"/>
  <c r="AB42" i="1"/>
  <c r="W115" i="2"/>
  <c r="AC72" i="1"/>
  <c r="Y238" i="1"/>
  <c r="S695" i="7" l="1"/>
  <c r="U695" i="7"/>
  <c r="V695" i="7"/>
  <c r="S696" i="7"/>
  <c r="S698" i="7" s="1"/>
  <c r="W692" i="7"/>
  <c r="W694" i="7" s="1"/>
  <c r="G557" i="7"/>
  <c r="AG135" i="9"/>
  <c r="S389" i="14"/>
  <c r="S396" i="14" s="1"/>
  <c r="I801" i="7"/>
  <c r="I803" i="7" s="1"/>
  <c r="AF22" i="9"/>
  <c r="J551" i="7"/>
  <c r="AH18" i="9"/>
  <c r="K584" i="7"/>
  <c r="AI18" i="9"/>
  <c r="L584" i="7"/>
  <c r="G289" i="14"/>
  <c r="G612" i="7"/>
  <c r="AF19" i="9"/>
  <c r="AF143" i="9" s="1"/>
  <c r="H11" i="15"/>
  <c r="H12" i="15" s="1"/>
  <c r="H14" i="15" s="1"/>
  <c r="H15" i="15" s="1"/>
  <c r="J550" i="7"/>
  <c r="I555" i="7"/>
  <c r="I556" i="7" s="1"/>
  <c r="AC109" i="9"/>
  <c r="O383" i="14" s="1"/>
  <c r="Q396" i="14"/>
  <c r="R396" i="14"/>
  <c r="H559" i="7"/>
  <c r="H556" i="7"/>
  <c r="I20" i="15"/>
  <c r="F25" i="15"/>
  <c r="G1023" i="7"/>
  <c r="G1035" i="7" s="1"/>
  <c r="G21" i="12"/>
  <c r="F22" i="12"/>
  <c r="Z45" i="1"/>
  <c r="AE22" i="9"/>
  <c r="AB74" i="1"/>
  <c r="I598" i="7"/>
  <c r="I606" i="7" s="1"/>
  <c r="I607" i="7" s="1"/>
  <c r="F608" i="7" s="1"/>
  <c r="F609" i="7" s="1"/>
  <c r="H587" i="7"/>
  <c r="Z52" i="1"/>
  <c r="Z47" i="1"/>
  <c r="H802" i="7" s="1"/>
  <c r="M802" i="7" s="1"/>
  <c r="Z293" i="1"/>
  <c r="Z295" i="1" s="1"/>
  <c r="T995" i="7"/>
  <c r="G999" i="7"/>
  <c r="H998" i="7"/>
  <c r="H999" i="7" s="1"/>
  <c r="H552" i="7"/>
  <c r="Z347" i="1"/>
  <c r="H801" i="7"/>
  <c r="M801" i="7" s="1"/>
  <c r="S20" i="6"/>
  <c r="G13" i="12" s="1"/>
  <c r="AA347" i="1"/>
  <c r="I587" i="7"/>
  <c r="I588" i="7" s="1"/>
  <c r="AA293" i="1"/>
  <c r="AA295" i="1" s="1"/>
  <c r="AB44" i="1"/>
  <c r="I1024" i="7"/>
  <c r="I1036" i="7" s="1"/>
  <c r="AA45" i="1"/>
  <c r="K163" i="13" s="1"/>
  <c r="K792" i="7"/>
  <c r="K826" i="7" s="1"/>
  <c r="J1022" i="7"/>
  <c r="J1034" i="7" s="1"/>
  <c r="AA47" i="1"/>
  <c r="I802" i="7" s="1"/>
  <c r="L792" i="7"/>
  <c r="L826" i="7" s="1"/>
  <c r="K1022" i="7"/>
  <c r="K1034" i="7" s="1"/>
  <c r="T20" i="6"/>
  <c r="H993" i="7"/>
  <c r="G15" i="15"/>
  <c r="F614" i="7" s="1"/>
  <c r="G24" i="15"/>
  <c r="X252" i="7"/>
  <c r="Y252" i="7" s="1"/>
  <c r="G560" i="7"/>
  <c r="G837" i="7"/>
  <c r="W258" i="7"/>
  <c r="W19" i="1"/>
  <c r="I585" i="7"/>
  <c r="I586" i="7" s="1"/>
  <c r="I798" i="7"/>
  <c r="H799" i="7"/>
  <c r="H833" i="7" s="1"/>
  <c r="AC8" i="1"/>
  <c r="AD209" i="1"/>
  <c r="AD202" i="1"/>
  <c r="AD8" i="1"/>
  <c r="AD212" i="1"/>
  <c r="AD74" i="1"/>
  <c r="Z238" i="1"/>
  <c r="AC74" i="1"/>
  <c r="Y255" i="7"/>
  <c r="Z249" i="7"/>
  <c r="AD42" i="1"/>
  <c r="Y115" i="2"/>
  <c r="X115" i="2"/>
  <c r="AC42" i="1"/>
  <c r="AD12" i="1"/>
  <c r="AA13" i="1"/>
  <c r="K162" i="13" s="1"/>
  <c r="AA14" i="1"/>
  <c r="AA52" i="1"/>
  <c r="AA17" i="1"/>
  <c r="H1023" i="7" s="1"/>
  <c r="H1035" i="7" s="1"/>
  <c r="AA312" i="1"/>
  <c r="T19" i="6"/>
  <c r="AA339" i="1"/>
  <c r="AB12" i="1"/>
  <c r="AB50" i="1"/>
  <c r="Q58" i="6" s="1"/>
  <c r="Q59" i="6" s="1"/>
  <c r="X101" i="2"/>
  <c r="AC10" i="1"/>
  <c r="AD109" i="9"/>
  <c r="P383" i="14" s="1"/>
  <c r="AD24" i="9"/>
  <c r="AD199" i="1"/>
  <c r="AA256" i="7"/>
  <c r="Q37" i="5" l="1"/>
  <c r="AF23" i="9"/>
  <c r="AF109" i="9" s="1"/>
  <c r="R383" i="14" s="1"/>
  <c r="R37" i="5"/>
  <c r="K164" i="13"/>
  <c r="W696" i="7"/>
  <c r="W698" i="7" s="1"/>
  <c r="W695" i="7"/>
  <c r="J555" i="7"/>
  <c r="J559" i="7" s="1"/>
  <c r="J560" i="7" s="1"/>
  <c r="I559" i="7"/>
  <c r="AI19" i="9"/>
  <c r="AI143" i="9" s="1"/>
  <c r="L585" i="7"/>
  <c r="G325" i="14"/>
  <c r="H617" i="7"/>
  <c r="AG19" i="9"/>
  <c r="AG143" i="9" s="1"/>
  <c r="J585" i="7"/>
  <c r="K550" i="7"/>
  <c r="AF150" i="9"/>
  <c r="AF156" i="9" s="1"/>
  <c r="R378" i="14"/>
  <c r="J801" i="7"/>
  <c r="J803" i="7" s="1"/>
  <c r="AG22" i="9"/>
  <c r="J587" i="7"/>
  <c r="J588" i="7" s="1"/>
  <c r="K551" i="7"/>
  <c r="I15" i="15"/>
  <c r="G614" i="7"/>
  <c r="AH135" i="9"/>
  <c r="T389" i="14"/>
  <c r="T396" i="14" s="1"/>
  <c r="M550" i="7"/>
  <c r="U389" i="14"/>
  <c r="AI135" i="9"/>
  <c r="H289" i="14"/>
  <c r="H612" i="7"/>
  <c r="F325" i="14"/>
  <c r="G617" i="7"/>
  <c r="J552" i="7"/>
  <c r="AE150" i="9"/>
  <c r="AE156" i="9" s="1"/>
  <c r="Q378" i="14"/>
  <c r="H589" i="7"/>
  <c r="H588" i="7"/>
  <c r="H557" i="7"/>
  <c r="J20" i="15"/>
  <c r="J798" i="7"/>
  <c r="L798" i="7"/>
  <c r="L799" i="7" s="1"/>
  <c r="L833" i="7" s="1"/>
  <c r="G22" i="12"/>
  <c r="Z53" i="1"/>
  <c r="AE23" i="9"/>
  <c r="Z91" i="1"/>
  <c r="H996" i="7"/>
  <c r="T996" i="7" s="1"/>
  <c r="I599" i="7"/>
  <c r="T998" i="7"/>
  <c r="H804" i="7"/>
  <c r="H805" i="7" s="1"/>
  <c r="I552" i="7"/>
  <c r="H803" i="7"/>
  <c r="H836" i="7" s="1"/>
  <c r="I589" i="7"/>
  <c r="AB45" i="1"/>
  <c r="I617" i="7" s="1"/>
  <c r="U20" i="6"/>
  <c r="AB293" i="1"/>
  <c r="AB295" i="1" s="1"/>
  <c r="AB347" i="1"/>
  <c r="AB47" i="1"/>
  <c r="J802" i="7" s="1"/>
  <c r="AC44" i="1"/>
  <c r="J1024" i="7"/>
  <c r="J1036" i="7" s="1"/>
  <c r="AD44" i="1"/>
  <c r="K1024" i="7"/>
  <c r="K1036" i="7" s="1"/>
  <c r="X251" i="7"/>
  <c r="X257" i="7" s="1"/>
  <c r="G48" i="15"/>
  <c r="G25" i="15"/>
  <c r="H24" i="15"/>
  <c r="X258" i="7"/>
  <c r="Y258" i="7" s="1"/>
  <c r="H560" i="7"/>
  <c r="AB20" i="9"/>
  <c r="W121" i="1"/>
  <c r="I804" i="7"/>
  <c r="I805" i="7" s="1"/>
  <c r="I799" i="7"/>
  <c r="AD50" i="1"/>
  <c r="S58" i="6" s="1"/>
  <c r="S59" i="6" s="1"/>
  <c r="W65" i="1"/>
  <c r="W119" i="1"/>
  <c r="W152" i="1"/>
  <c r="W154" i="1" s="1"/>
  <c r="W110" i="1"/>
  <c r="AD13" i="1"/>
  <c r="K612" i="7" s="1"/>
  <c r="AD17" i="1"/>
  <c r="K1023" i="7" s="1"/>
  <c r="K1035" i="7" s="1"/>
  <c r="AD312" i="1"/>
  <c r="AD339" i="1"/>
  <c r="W19" i="6"/>
  <c r="AA91" i="1"/>
  <c r="AA53" i="1"/>
  <c r="AA249" i="7"/>
  <c r="Z255" i="7"/>
  <c r="AA238" i="1"/>
  <c r="AC12" i="1"/>
  <c r="AC50" i="1"/>
  <c r="R58" i="6" s="1"/>
  <c r="R59" i="6" s="1"/>
  <c r="Z252" i="7"/>
  <c r="Y251" i="7"/>
  <c r="AB13" i="1"/>
  <c r="I612" i="7" s="1"/>
  <c r="AB14" i="1"/>
  <c r="AB52" i="1"/>
  <c r="AB17" i="1"/>
  <c r="I1023" i="7" s="1"/>
  <c r="I1035" i="7" s="1"/>
  <c r="AB312" i="1"/>
  <c r="U19" i="6"/>
  <c r="AB339" i="1"/>
  <c r="AB33" i="9" l="1"/>
  <c r="W192" i="1"/>
  <c r="X192" i="1" s="1"/>
  <c r="Y192" i="1" s="1"/>
  <c r="Z192" i="1" s="1"/>
  <c r="AA192" i="1" s="1"/>
  <c r="AB192" i="1" s="1"/>
  <c r="AC192" i="1" s="1"/>
  <c r="AD192" i="1" s="1"/>
  <c r="AG23" i="9"/>
  <c r="AG24" i="9" s="1"/>
  <c r="S37" i="5"/>
  <c r="AF24" i="9"/>
  <c r="J804" i="7"/>
  <c r="J805" i="7" s="1"/>
  <c r="J556" i="7"/>
  <c r="J557" i="7" s="1"/>
  <c r="K552" i="7"/>
  <c r="I560" i="7"/>
  <c r="K555" i="7"/>
  <c r="K559" i="7" s="1"/>
  <c r="K560" i="7" s="1"/>
  <c r="H614" i="7"/>
  <c r="J15" i="15"/>
  <c r="J586" i="7"/>
  <c r="J589" i="7"/>
  <c r="AH19" i="9"/>
  <c r="AH143" i="9" s="1"/>
  <c r="K585" i="7"/>
  <c r="L550" i="7"/>
  <c r="L801" i="7"/>
  <c r="L803" i="7" s="1"/>
  <c r="AI22" i="9"/>
  <c r="M551" i="7"/>
  <c r="M552" i="7" s="1"/>
  <c r="L587" i="7"/>
  <c r="L588" i="7" s="1"/>
  <c r="U396" i="14"/>
  <c r="AG150" i="9"/>
  <c r="AG156" i="9" s="1"/>
  <c r="S378" i="14"/>
  <c r="L586" i="7"/>
  <c r="K801" i="7"/>
  <c r="K803" i="7" s="1"/>
  <c r="AH22" i="9"/>
  <c r="K587" i="7"/>
  <c r="K588" i="7" s="1"/>
  <c r="L551" i="7"/>
  <c r="J799" i="7"/>
  <c r="J833" i="7" s="1"/>
  <c r="I557" i="7"/>
  <c r="K20" i="15"/>
  <c r="L20" i="15"/>
  <c r="K798" i="7"/>
  <c r="K799" i="7" s="1"/>
  <c r="K833" i="7" s="1"/>
  <c r="C61" i="6"/>
  <c r="AE109" i="9"/>
  <c r="Q383" i="14" s="1"/>
  <c r="AE24" i="9"/>
  <c r="AD52" i="1"/>
  <c r="AD347" i="1"/>
  <c r="V20" i="6"/>
  <c r="AC293" i="1"/>
  <c r="AC295" i="1" s="1"/>
  <c r="AC47" i="1"/>
  <c r="K802" i="7" s="1"/>
  <c r="AC347" i="1"/>
  <c r="AC45" i="1"/>
  <c r="J617" i="7" s="1"/>
  <c r="AD47" i="1"/>
  <c r="L802" i="7" s="1"/>
  <c r="AD45" i="1"/>
  <c r="K617" i="7" s="1"/>
  <c r="W20" i="6"/>
  <c r="AD293" i="1"/>
  <c r="AD295" i="1" s="1"/>
  <c r="Y257" i="7"/>
  <c r="H48" i="15"/>
  <c r="H25" i="15"/>
  <c r="I14" i="15"/>
  <c r="I24" i="15" s="1"/>
  <c r="C65" i="6"/>
  <c r="C66" i="6" s="1"/>
  <c r="I833" i="7"/>
  <c r="AA252" i="7"/>
  <c r="Z251" i="7"/>
  <c r="Z258" i="7"/>
  <c r="AB238" i="1"/>
  <c r="AD238" i="1"/>
  <c r="AB91" i="1"/>
  <c r="AB53" i="1"/>
  <c r="AC13" i="1"/>
  <c r="J612" i="7" s="1"/>
  <c r="AC14" i="1"/>
  <c r="AC52" i="1"/>
  <c r="AC17" i="1"/>
  <c r="J1023" i="7" s="1"/>
  <c r="J1035" i="7" s="1"/>
  <c r="AC312" i="1"/>
  <c r="AC339" i="1"/>
  <c r="V19" i="6"/>
  <c r="AA255" i="7"/>
  <c r="AD14" i="1"/>
  <c r="U37" i="5" l="1"/>
  <c r="AG109" i="9"/>
  <c r="S383" i="14" s="1"/>
  <c r="AH23" i="9"/>
  <c r="AH24" i="9" s="1"/>
  <c r="T37" i="5"/>
  <c r="K556" i="7"/>
  <c r="K557" i="7" s="1"/>
  <c r="L804" i="7"/>
  <c r="L805" i="7" s="1"/>
  <c r="M555" i="7"/>
  <c r="M556" i="7" s="1"/>
  <c r="M557" i="7" s="1"/>
  <c r="L552" i="7"/>
  <c r="L555" i="7"/>
  <c r="L559" i="7" s="1"/>
  <c r="L560" i="7" s="1"/>
  <c r="K589" i="7"/>
  <c r="K586" i="7"/>
  <c r="L589" i="7"/>
  <c r="AI150" i="9"/>
  <c r="AI156" i="9" s="1"/>
  <c r="U378" i="14"/>
  <c r="AH150" i="9"/>
  <c r="AH156" i="9" s="1"/>
  <c r="T378" i="14"/>
  <c r="I614" i="7"/>
  <c r="K15" i="15"/>
  <c r="AD91" i="1"/>
  <c r="AI23" i="9"/>
  <c r="K804" i="7"/>
  <c r="K805" i="7" s="1"/>
  <c r="AD53" i="1"/>
  <c r="Z257" i="7"/>
  <c r="I25" i="15"/>
  <c r="I48" i="15"/>
  <c r="J14" i="15"/>
  <c r="J24" i="15" s="1"/>
  <c r="C68" i="6"/>
  <c r="AA258" i="7"/>
  <c r="AA251" i="7"/>
  <c r="AC238" i="1"/>
  <c r="AC91" i="1"/>
  <c r="AC53" i="1"/>
  <c r="AH109" i="9" l="1"/>
  <c r="T383" i="14" s="1"/>
  <c r="M559" i="7"/>
  <c r="M560" i="7" s="1"/>
  <c r="D563" i="7" s="1"/>
  <c r="D564" i="7" s="1"/>
  <c r="L556" i="7"/>
  <c r="L557" i="7" s="1"/>
  <c r="AI109" i="9"/>
  <c r="U383" i="14" s="1"/>
  <c r="AI24" i="9"/>
  <c r="L15" i="15"/>
  <c r="K614" i="7" s="1"/>
  <c r="J614" i="7"/>
  <c r="C83" i="6"/>
  <c r="C84" i="6" s="1"/>
  <c r="N58" i="15" s="1"/>
  <c r="D58" i="15" s="1"/>
  <c r="F55" i="15"/>
  <c r="H55" i="15" s="1"/>
  <c r="AA257" i="7"/>
  <c r="J25" i="15"/>
  <c r="J48" i="15"/>
  <c r="K14" i="15"/>
  <c r="K24" i="15" s="1"/>
  <c r="D561" i="7" l="1"/>
  <c r="D565" i="7" s="1"/>
  <c r="D566" i="7" s="1"/>
  <c r="D81" i="6"/>
  <c r="L14" i="15"/>
  <c r="L24" i="15" s="1"/>
  <c r="L25" i="15" s="1"/>
  <c r="G9" i="6"/>
  <c r="G13" i="6" s="1"/>
  <c r="G38" i="6" s="1"/>
  <c r="R54" i="15"/>
  <c r="R55" i="15" s="1"/>
  <c r="R61" i="15" s="1"/>
  <c r="K25" i="15"/>
  <c r="K48" i="15"/>
  <c r="G42" i="6" l="1"/>
  <c r="G52" i="6"/>
  <c r="G41" i="6"/>
  <c r="H9" i="6"/>
  <c r="T10" i="9" s="1"/>
  <c r="R57" i="15"/>
  <c r="L48" i="15"/>
  <c r="D53" i="15" s="1"/>
  <c r="D54" i="15" s="1"/>
  <c r="S10" i="9"/>
  <c r="G39" i="6"/>
  <c r="G40" i="6" s="1"/>
  <c r="F9" i="6"/>
  <c r="F13" i="6" s="1"/>
  <c r="F42" i="6" s="1"/>
  <c r="D52" i="15" l="1"/>
  <c r="D55" i="15" s="1"/>
  <c r="I9" i="6"/>
  <c r="J9" i="6" s="1"/>
  <c r="K9" i="6" s="1"/>
  <c r="L9" i="6" s="1"/>
  <c r="H13" i="6"/>
  <c r="H39" i="6" s="1"/>
  <c r="H40" i="6" s="1"/>
  <c r="C117" i="6" s="1"/>
  <c r="N52" i="15"/>
  <c r="N53" i="15"/>
  <c r="N54" i="15" s="1"/>
  <c r="F38" i="6"/>
  <c r="R10" i="9"/>
  <c r="F41" i="6"/>
  <c r="F52" i="6"/>
  <c r="F39" i="6"/>
  <c r="F40" i="6" s="1"/>
  <c r="H38" i="6" l="1"/>
  <c r="C112" i="6" s="1"/>
  <c r="H52" i="6"/>
  <c r="H42" i="6"/>
  <c r="N55" i="15"/>
  <c r="H41" i="6"/>
  <c r="W10" i="9"/>
  <c r="V10" i="9"/>
  <c r="K13" i="6"/>
  <c r="K41" i="6" s="1"/>
  <c r="E123" i="6" s="1"/>
  <c r="J13" i="6"/>
  <c r="J41" i="6" s="1"/>
  <c r="D123" i="6" s="1"/>
  <c r="U10" i="9"/>
  <c r="I13" i="6"/>
  <c r="I39" i="6" s="1"/>
  <c r="I40" i="6" s="1"/>
  <c r="C124" i="6" s="1"/>
  <c r="E56" i="15"/>
  <c r="I55" i="15"/>
  <c r="F56" i="15"/>
  <c r="G56" i="15"/>
  <c r="H56" i="15"/>
  <c r="L13" i="6"/>
  <c r="X10" i="9"/>
  <c r="M9" i="6"/>
  <c r="K39" i="6" l="1"/>
  <c r="K40" i="6" s="1"/>
  <c r="E124" i="6" s="1"/>
  <c r="K42" i="6"/>
  <c r="E125" i="6" s="1"/>
  <c r="I52" i="6"/>
  <c r="I42" i="6"/>
  <c r="C125" i="6" s="1"/>
  <c r="K38" i="6"/>
  <c r="E122" i="6" s="1"/>
  <c r="J39" i="6"/>
  <c r="J40" i="6" s="1"/>
  <c r="D124" i="6" s="1"/>
  <c r="K52" i="6"/>
  <c r="I41" i="6"/>
  <c r="C123" i="6" s="1"/>
  <c r="J52" i="6"/>
  <c r="D117" i="6"/>
  <c r="J42" i="6"/>
  <c r="D125" i="6" s="1"/>
  <c r="J38" i="6"/>
  <c r="D122" i="6" s="1"/>
  <c r="I38" i="6"/>
  <c r="Y10" i="9"/>
  <c r="N9" i="6"/>
  <c r="M13" i="6"/>
  <c r="L52" i="6"/>
  <c r="L41" i="6"/>
  <c r="L42" i="6"/>
  <c r="L39" i="6"/>
  <c r="L40" i="6" s="1"/>
  <c r="L38" i="6"/>
  <c r="D112" i="6" l="1"/>
  <c r="C122" i="6"/>
  <c r="M42" i="6"/>
  <c r="M39" i="6"/>
  <c r="M40" i="6" s="1"/>
  <c r="M52" i="6"/>
  <c r="M38" i="6"/>
  <c r="M41" i="6"/>
  <c r="Z10" i="9"/>
  <c r="O9" i="6"/>
  <c r="C8" i="12" l="1"/>
  <c r="T516" i="7"/>
  <c r="T522" i="7"/>
  <c r="AA10" i="9"/>
  <c r="P9" i="6"/>
  <c r="D8" i="12" s="1"/>
  <c r="Q9" i="6" l="1"/>
  <c r="E8" i="12" s="1"/>
  <c r="AB10" i="9"/>
  <c r="R9" i="6" l="1"/>
  <c r="F8" i="12" s="1"/>
  <c r="AC10" i="9"/>
  <c r="S9" i="6" l="1"/>
  <c r="G8" i="12" s="1"/>
  <c r="AD10" i="9"/>
  <c r="T9" i="6" l="1"/>
  <c r="AE10" i="9"/>
  <c r="U9" i="6" l="1"/>
  <c r="AF10" i="9"/>
  <c r="V9" i="6" l="1"/>
  <c r="AG10" i="9"/>
  <c r="W9" i="6" l="1"/>
  <c r="AI10" i="9" s="1"/>
  <c r="AH10" i="9"/>
  <c r="D833" i="7" l="1"/>
  <c r="D836" i="7"/>
  <c r="E836" i="7"/>
  <c r="D837" i="7"/>
  <c r="D826" i="7"/>
  <c r="E826" i="7"/>
  <c r="F826" i="7"/>
  <c r="D832" i="7"/>
  <c r="F832" i="7"/>
  <c r="D835" i="7"/>
  <c r="D838" i="7" l="1"/>
  <c r="F833" i="7"/>
  <c r="F838" i="7"/>
  <c r="F837" i="7"/>
  <c r="I836" i="7"/>
  <c r="F836" i="7"/>
  <c r="J836" i="7" l="1"/>
  <c r="I835" i="7"/>
  <c r="I832" i="7"/>
  <c r="H832" i="7" l="1"/>
  <c r="M836" i="7"/>
  <c r="H835" i="7"/>
  <c r="J832" i="7"/>
  <c r="I837" i="7"/>
  <c r="K836" i="7"/>
  <c r="J835" i="7"/>
  <c r="H837" i="7"/>
  <c r="M835" i="7"/>
  <c r="L836" i="7" l="1"/>
  <c r="K835" i="7"/>
  <c r="J837" i="7"/>
  <c r="K832" i="7"/>
  <c r="I838" i="7"/>
  <c r="H838" i="7"/>
  <c r="K837" i="7" l="1"/>
  <c r="L832" i="7"/>
  <c r="J838" i="7"/>
  <c r="L835" i="7"/>
  <c r="L837" i="7" l="1"/>
  <c r="K838" i="7"/>
  <c r="L838" i="7" l="1"/>
  <c r="Z28" i="9"/>
  <c r="Z110" i="9" l="1"/>
  <c r="U161" i="1"/>
  <c r="U241" i="1" l="1"/>
  <c r="N21" i="6"/>
  <c r="U162" i="1"/>
  <c r="U315" i="1"/>
  <c r="U31" i="1" l="1"/>
  <c r="U80" i="1" l="1"/>
  <c r="U190" i="1"/>
  <c r="U67" i="1" s="1"/>
  <c r="U82" i="1" l="1"/>
  <c r="Z27" i="9"/>
  <c r="U59" i="1"/>
  <c r="U203" i="1" s="1"/>
  <c r="U62" i="1" s="1"/>
  <c r="U63" i="1" s="1"/>
  <c r="U69" i="1" s="1"/>
  <c r="U205" i="1" l="1"/>
  <c r="U214" i="1" s="1"/>
  <c r="U95" i="1" s="1"/>
  <c r="Z112" i="9" s="1"/>
  <c r="U83" i="1"/>
  <c r="U204" i="1"/>
  <c r="V62" i="1" l="1"/>
  <c r="V205" i="1"/>
  <c r="V214" i="1" s="1"/>
  <c r="V95" i="1" s="1"/>
  <c r="AA112" i="9" s="1"/>
  <c r="W62" i="1" l="1"/>
  <c r="X203" i="1"/>
  <c r="X205" i="1" s="1"/>
  <c r="X214" i="1" s="1"/>
  <c r="Y204" i="1"/>
  <c r="W205" i="1"/>
  <c r="W214" i="1" s="1"/>
  <c r="X95" i="1" l="1"/>
  <c r="AC112" i="9" s="1"/>
  <c r="W95" i="1"/>
  <c r="AB112" i="9" s="1"/>
  <c r="Z204" i="1"/>
  <c r="Y203" i="1"/>
  <c r="Y205" i="1" s="1"/>
  <c r="Y214" i="1" s="1"/>
  <c r="Y95" i="1" s="1"/>
  <c r="AD112" i="9" s="1"/>
  <c r="X62" i="1"/>
  <c r="AA204" i="1" l="1"/>
  <c r="Z203" i="1"/>
  <c r="Z205" i="1" s="1"/>
  <c r="Z214" i="1" s="1"/>
  <c r="Z95" i="1" s="1"/>
  <c r="AE112" i="9" s="1"/>
  <c r="Y62" i="1"/>
  <c r="Z62" i="1" l="1"/>
  <c r="AB204" i="1"/>
  <c r="AA203" i="1"/>
  <c r="AB203" i="1" l="1"/>
  <c r="AB205" i="1" s="1"/>
  <c r="AB214" i="1" s="1"/>
  <c r="AB95" i="1" s="1"/>
  <c r="AG112" i="9" s="1"/>
  <c r="AC204" i="1"/>
  <c r="AA62" i="1"/>
  <c r="AA205" i="1"/>
  <c r="AA214" i="1" s="1"/>
  <c r="AA95" i="1" s="1"/>
  <c r="AF112" i="9" s="1"/>
  <c r="AC203" i="1" l="1"/>
  <c r="AC205" i="1" s="1"/>
  <c r="AC214" i="1" s="1"/>
  <c r="AC95" i="1" s="1"/>
  <c r="AH112" i="9" s="1"/>
  <c r="AD204" i="1"/>
  <c r="AD203" i="1" s="1"/>
  <c r="AD62" i="1" s="1"/>
  <c r="AB62" i="1"/>
  <c r="AC62" i="1" l="1"/>
  <c r="AD205" i="1"/>
  <c r="AD214" i="1" s="1"/>
  <c r="AD95" i="1" s="1"/>
  <c r="AI112" i="9" s="1"/>
  <c r="U102" i="1"/>
  <c r="U85" i="1" s="1"/>
  <c r="U86" i="1" s="1"/>
  <c r="U176" i="1"/>
  <c r="U174" i="1" s="1"/>
  <c r="U175" i="1" s="1"/>
  <c r="U181" i="1"/>
  <c r="N11" i="6" l="1"/>
  <c r="N13" i="6" s="1"/>
  <c r="N38" i="6" s="1"/>
  <c r="Z120" i="9"/>
  <c r="Z119" i="9" s="1"/>
  <c r="Z7" i="9"/>
  <c r="Z25" i="9" s="1"/>
  <c r="N54" i="6" l="1"/>
  <c r="N52" i="6"/>
  <c r="N39" i="6"/>
  <c r="N40" i="6" s="1"/>
  <c r="DI28" i="3" l="1"/>
  <c r="DI42" i="3"/>
  <c r="P69" i="13" s="1"/>
  <c r="DI56" i="3"/>
  <c r="DI60" i="3"/>
  <c r="DI62" i="3"/>
  <c r="DI18" i="3"/>
  <c r="DI40" i="3"/>
  <c r="P67" i="13" s="1"/>
  <c r="DI41" i="3"/>
  <c r="P68" i="13" s="1"/>
  <c r="DI52" i="3"/>
  <c r="P30" i="13" s="1"/>
  <c r="DI53" i="3"/>
  <c r="P31" i="13" s="1"/>
  <c r="DI54" i="3"/>
  <c r="P32" i="13" s="1"/>
  <c r="DI61" i="3"/>
  <c r="DS62" i="3"/>
  <c r="BM67" i="3"/>
  <c r="DO63" i="3" l="1"/>
  <c r="DS63" i="3"/>
  <c r="DO61" i="3"/>
  <c r="DS61" i="3"/>
  <c r="BN67" i="3"/>
  <c r="DO62" i="3"/>
  <c r="BM68" i="3"/>
  <c r="DS64" i="3"/>
  <c r="DO64" i="3" l="1"/>
  <c r="V84" i="13" s="1"/>
  <c r="I4" i="13"/>
  <c r="BM93" i="3"/>
  <c r="U62" i="13" s="1"/>
  <c r="U95" i="13" s="1"/>
  <c r="BN93" i="3"/>
  <c r="V62" i="13" s="1"/>
  <c r="V95" i="13" s="1"/>
  <c r="BN68" i="3"/>
  <c r="DN57" i="3" l="1"/>
  <c r="U235" i="14"/>
  <c r="U243" i="14" s="1"/>
  <c r="I5" i="13"/>
  <c r="I6" i="13" s="1"/>
  <c r="BM99" i="3"/>
  <c r="BM148" i="3" s="1"/>
  <c r="BM71" i="3"/>
  <c r="BN94" i="3"/>
  <c r="V63" i="13" s="1"/>
  <c r="BM94" i="3"/>
  <c r="U63" i="13" s="1"/>
  <c r="BN92" i="3"/>
  <c r="V61" i="13" s="1"/>
  <c r="V91" i="13" s="1"/>
  <c r="BM92" i="3"/>
  <c r="U61" i="13" s="1"/>
  <c r="U91" i="13" s="1"/>
  <c r="I317" i="14" l="1"/>
  <c r="J4" i="13"/>
  <c r="J5" i="13"/>
  <c r="DS57" i="3"/>
  <c r="DR71" i="3"/>
  <c r="BQ73" i="3"/>
  <c r="DN71" i="3"/>
  <c r="BM72" i="3"/>
  <c r="BM73" i="3"/>
  <c r="BM151" i="3"/>
  <c r="I20" i="13"/>
  <c r="DN103" i="3"/>
  <c r="DO57" i="3"/>
  <c r="V235" i="14"/>
  <c r="V243" i="14" s="1"/>
  <c r="BM107" i="3"/>
  <c r="J20" i="13"/>
  <c r="BM95" i="3"/>
  <c r="U64" i="13" s="1"/>
  <c r="BN95" i="3"/>
  <c r="V64" i="13" s="1"/>
  <c r="BN71" i="3"/>
  <c r="BN99" i="3"/>
  <c r="BN148" i="3" s="1"/>
  <c r="U33" i="13" l="1"/>
  <c r="U85" i="13"/>
  <c r="AD20" i="13"/>
  <c r="AH20" i="13"/>
  <c r="AF20" i="13"/>
  <c r="AK20" i="13"/>
  <c r="AJ5" i="13"/>
  <c r="P5" i="13"/>
  <c r="P4" i="13"/>
  <c r="AL20" i="13"/>
  <c r="AJ20" i="13"/>
  <c r="J6" i="13"/>
  <c r="P6" i="13" s="1"/>
  <c r="BN151" i="3"/>
  <c r="D347" i="14" s="1"/>
  <c r="O690" i="7"/>
  <c r="DN107" i="3"/>
  <c r="DR107" i="3"/>
  <c r="DO103" i="3"/>
  <c r="DS103" i="3"/>
  <c r="DS71" i="3"/>
  <c r="BO72" i="3"/>
  <c r="BR73" i="3"/>
  <c r="DO71" i="3"/>
  <c r="BN72" i="3"/>
  <c r="BN73" i="3"/>
  <c r="Q11" i="14"/>
  <c r="Q13" i="14" s="1"/>
  <c r="I9" i="13"/>
  <c r="Q7" i="14"/>
  <c r="AF7" i="14" s="1"/>
  <c r="BM113" i="3"/>
  <c r="C163" i="13"/>
  <c r="BM114" i="3"/>
  <c r="DN111" i="3"/>
  <c r="U272" i="14" s="1"/>
  <c r="BN107" i="3"/>
  <c r="V33" i="13" l="1"/>
  <c r="V85" i="13"/>
  <c r="AF13" i="14"/>
  <c r="Q19" i="14"/>
  <c r="AD4" i="13"/>
  <c r="AH4" i="13"/>
  <c r="AF4" i="13"/>
  <c r="AK4" i="13"/>
  <c r="AD5" i="13"/>
  <c r="AH5" i="13"/>
  <c r="AJ4" i="13"/>
  <c r="AL4" i="13"/>
  <c r="R699" i="7"/>
  <c r="O699" i="7"/>
  <c r="Q699" i="7"/>
  <c r="P699" i="7"/>
  <c r="DS111" i="3"/>
  <c r="J9" i="13"/>
  <c r="O692" i="7"/>
  <c r="O694" i="7" s="1"/>
  <c r="DN114" i="3"/>
  <c r="DR114" i="3"/>
  <c r="DO107" i="3"/>
  <c r="DS107" i="3"/>
  <c r="AF11" i="14"/>
  <c r="Q17" i="14"/>
  <c r="J317" i="14"/>
  <c r="D340" i="14" s="1"/>
  <c r="BN114" i="3"/>
  <c r="DO111" i="3"/>
  <c r="V272" i="14" s="1"/>
  <c r="BN112" i="3"/>
  <c r="BN113" i="3"/>
  <c r="J10" i="13" l="1"/>
  <c r="W74" i="13"/>
  <c r="P9" i="13"/>
  <c r="AJ9" i="13"/>
  <c r="O696" i="7"/>
  <c r="O698" i="7" s="1"/>
  <c r="R695" i="7"/>
  <c r="Q695" i="7"/>
  <c r="P695" i="7"/>
  <c r="O695" i="7"/>
  <c r="DO114" i="3"/>
  <c r="DS114" i="3"/>
  <c r="D516" i="7"/>
  <c r="AD9" i="13" l="1"/>
  <c r="AH9" i="13"/>
  <c r="AD10" i="13"/>
  <c r="AH10" i="13"/>
  <c r="AJ10" i="13"/>
  <c r="D526" i="7"/>
  <c r="D523" i="7"/>
  <c r="D518" i="7"/>
  <c r="D529" i="7" l="1"/>
  <c r="D520" i="7"/>
  <c r="D538" i="7" l="1"/>
  <c r="D530" i="7"/>
  <c r="M591" i="7" s="1"/>
  <c r="M592" i="7" s="1"/>
  <c r="D531" i="7" l="1"/>
  <c r="F534" i="7"/>
  <c r="D539" i="7"/>
  <c r="D542" i="7"/>
  <c r="D543" i="7" s="1"/>
  <c r="G534" i="7" l="1"/>
  <c r="H534" i="7" s="1"/>
  <c r="I534" i="7" s="1"/>
  <c r="F535" i="7"/>
  <c r="D546" i="7"/>
  <c r="E542" i="7" s="1"/>
  <c r="G535" i="7" l="1"/>
  <c r="H535" i="7" s="1"/>
  <c r="I535" i="7" s="1"/>
  <c r="E544" i="7"/>
  <c r="E545" i="7"/>
  <c r="E543" i="7"/>
  <c r="D580" i="7" s="1"/>
  <c r="E580" i="7" s="1"/>
  <c r="D579" i="7" l="1"/>
  <c r="E579" i="7" s="1"/>
  <c r="U520" i="7"/>
  <c r="U527" i="7" s="1"/>
  <c r="U528" i="7" s="1"/>
  <c r="U522" i="7" l="1"/>
  <c r="U523" i="7" l="1"/>
  <c r="U549" i="7" l="1"/>
  <c r="V547" i="7" l="1"/>
  <c r="V551" i="7" s="1"/>
  <c r="T549" i="7"/>
  <c r="T551" i="7"/>
  <c r="V554" i="7" l="1"/>
  <c r="E38" i="15" s="1"/>
  <c r="D38" i="15" s="1"/>
  <c r="V549" i="7"/>
  <c r="V556" i="7" l="1"/>
  <c r="U550" i="7"/>
  <c r="V555" i="7"/>
  <c r="T550" i="7"/>
  <c r="D65" i="15" l="1"/>
  <c r="N64" i="15" s="1"/>
  <c r="D572" i="7"/>
  <c r="D574" i="7" s="1"/>
  <c r="N57" i="15"/>
  <c r="D577" i="7" l="1"/>
  <c r="E577" i="7" s="1"/>
  <c r="E572" i="7"/>
  <c r="E574" i="7" s="1"/>
  <c r="F572" i="7"/>
  <c r="N60" i="15"/>
  <c r="E41" i="15"/>
  <c r="E43" i="15"/>
  <c r="F28" i="15" l="1"/>
  <c r="D41" i="15"/>
  <c r="E28" i="15" s="1"/>
  <c r="N62" i="15"/>
  <c r="N84" i="15"/>
  <c r="N86" i="15" s="1"/>
  <c r="N92" i="15" s="1"/>
  <c r="N93" i="15" s="1"/>
  <c r="N95" i="15" s="1"/>
  <c r="N97" i="15" s="1"/>
  <c r="N66" i="15"/>
  <c r="N68" i="15" s="1"/>
  <c r="N69" i="15" s="1"/>
  <c r="N70" i="15" s="1"/>
  <c r="E32" i="15" l="1"/>
  <c r="E34" i="15" s="1"/>
  <c r="F32" i="15"/>
  <c r="F34" i="15" s="1"/>
  <c r="F38" i="15" s="1"/>
  <c r="D57" i="15" s="1"/>
  <c r="D60" i="15" s="1"/>
  <c r="D82" i="15" l="1"/>
  <c r="D67" i="15"/>
  <c r="D69" i="15" s="1"/>
  <c r="D70" i="15" s="1"/>
  <c r="D71" i="15" s="1"/>
  <c r="D62" i="15"/>
  <c r="D84" i="15"/>
  <c r="D86" i="15" s="1"/>
  <c r="D92" i="15" s="1"/>
  <c r="D93" i="15" s="1"/>
  <c r="D95" i="15" s="1"/>
  <c r="D97" i="15" s="1"/>
  <c r="F43" i="15"/>
  <c r="F41" i="15"/>
  <c r="G28" i="15" s="1"/>
  <c r="D73" i="15" l="1"/>
  <c r="D75" i="15" s="1"/>
  <c r="G32" i="15"/>
  <c r="G34" i="15" s="1"/>
  <c r="G36" i="15" l="1"/>
  <c r="G38" i="15" s="1"/>
  <c r="G41" i="15" l="1"/>
  <c r="H28" i="15" s="1"/>
  <c r="G43" i="15"/>
  <c r="H32" i="15" l="1"/>
  <c r="H34" i="15" s="1"/>
  <c r="H36" i="15" l="1"/>
  <c r="H38" i="15" s="1"/>
  <c r="H41" i="15" l="1"/>
  <c r="I28" i="15" s="1"/>
  <c r="H43" i="15"/>
  <c r="I32" i="15" l="1"/>
  <c r="I34" i="15" s="1"/>
  <c r="I36" i="15" l="1"/>
  <c r="I38" i="15" s="1"/>
  <c r="I43" i="15" l="1"/>
  <c r="I41" i="15"/>
  <c r="J28" i="15" s="1"/>
  <c r="J32" i="15" l="1"/>
  <c r="J34" i="15" s="1"/>
  <c r="J36" i="15" l="1"/>
  <c r="J38" i="15" s="1"/>
  <c r="J43" i="15" l="1"/>
  <c r="J41" i="15"/>
  <c r="K28" i="15" s="1"/>
  <c r="K32" i="15" l="1"/>
  <c r="K34" i="15" s="1"/>
  <c r="K36" i="15" l="1"/>
  <c r="K38" i="15" s="1"/>
  <c r="K43" i="15" l="1"/>
  <c r="K41" i="15"/>
  <c r="L28" i="15" s="1"/>
  <c r="L32" i="15" l="1"/>
  <c r="L34" i="15" s="1"/>
  <c r="L36" i="15" l="1"/>
  <c r="L38" i="15" s="1"/>
  <c r="L43" i="15" l="1"/>
  <c r="L41" i="15"/>
  <c r="V59" i="1"/>
  <c r="V63" i="1" s="1"/>
  <c r="V31" i="1"/>
  <c r="V80" i="1"/>
  <c r="AA27" i="9" s="1"/>
  <c r="V82" i="1" l="1"/>
  <c r="R106" i="2"/>
  <c r="W10" i="1" l="1"/>
  <c r="W50" i="1" s="1"/>
  <c r="R101" i="2"/>
  <c r="F550" i="7" l="1"/>
  <c r="F552" i="7" s="1"/>
  <c r="L58" i="6"/>
  <c r="L59" i="6" s="1"/>
  <c r="E998" i="7"/>
  <c r="W13" i="1" l="1"/>
  <c r="W339" i="1"/>
  <c r="E992" i="7"/>
  <c r="Q992" i="7" s="1"/>
  <c r="I22" i="10"/>
  <c r="E798" i="7"/>
  <c r="E832" i="7" s="1"/>
  <c r="P19" i="6"/>
  <c r="D12" i="12" s="1"/>
  <c r="X14" i="1"/>
  <c r="W14" i="1"/>
  <c r="W52" i="1"/>
  <c r="W53" i="1" s="1"/>
  <c r="G297" i="7"/>
  <c r="G301" i="7" s="1"/>
  <c r="G318" i="7" s="1"/>
  <c r="W312" i="1"/>
  <c r="W17" i="1"/>
  <c r="D1023" i="7" s="1"/>
  <c r="D1035" i="7" s="1"/>
  <c r="D11" i="15"/>
  <c r="D12" i="15" s="1"/>
  <c r="AB19" i="9"/>
  <c r="AB143" i="9" s="1"/>
  <c r="AB156" i="9" s="1"/>
  <c r="Q998" i="7"/>
  <c r="E999" i="7"/>
  <c r="W229" i="1" l="1"/>
  <c r="X229" i="1" s="1"/>
  <c r="Y229" i="1" s="1"/>
  <c r="Z229" i="1" s="1"/>
  <c r="AA229" i="1" s="1"/>
  <c r="AB229" i="1" s="1"/>
  <c r="AC229" i="1" s="1"/>
  <c r="AD229" i="1" s="1"/>
  <c r="D289" i="14"/>
  <c r="D612" i="7"/>
  <c r="D14" i="15"/>
  <c r="D15" i="15" s="1"/>
  <c r="E804" i="7"/>
  <c r="E805" i="7" s="1"/>
  <c r="E838" i="7" s="1"/>
  <c r="M798" i="7"/>
  <c r="M832" i="7" s="1"/>
  <c r="E799" i="7"/>
  <c r="E833" i="7" s="1"/>
  <c r="E993" i="7"/>
  <c r="X226" i="1"/>
  <c r="Y226" i="1" s="1"/>
  <c r="N37" i="5"/>
  <c r="AB23" i="9"/>
  <c r="AB24" i="9" s="1"/>
  <c r="G316" i="7"/>
  <c r="W91" i="1"/>
  <c r="G298" i="7"/>
  <c r="D21" i="12"/>
  <c r="W22" i="1"/>
  <c r="D23" i="12" s="1"/>
  <c r="W238" i="1"/>
  <c r="W77" i="1" l="1"/>
  <c r="E837" i="7"/>
  <c r="D24" i="15"/>
  <c r="D25" i="15" s="1"/>
  <c r="AB109" i="9"/>
  <c r="N383" i="14" s="1"/>
  <c r="X77" i="1"/>
  <c r="P28" i="6"/>
  <c r="D22" i="12"/>
  <c r="H22" i="12" s="1"/>
  <c r="H21" i="12"/>
  <c r="Z226" i="1"/>
  <c r="Y77" i="1"/>
  <c r="AA226" i="1" l="1"/>
  <c r="Z77" i="1"/>
  <c r="AA77" i="1" l="1"/>
  <c r="AB226" i="1"/>
  <c r="AB77" i="1" l="1"/>
  <c r="AC226" i="1"/>
  <c r="AD226" i="1" l="1"/>
  <c r="AD77" i="1" s="1"/>
  <c r="AC77" i="1"/>
  <c r="V190" i="1"/>
  <c r="V67" i="1" s="1"/>
  <c r="V69" i="1" s="1"/>
  <c r="V83" i="1" l="1"/>
  <c r="O51" i="6"/>
  <c r="V161" i="1"/>
  <c r="V180" i="1"/>
  <c r="V181" i="1"/>
  <c r="V241" i="1" l="1"/>
  <c r="O21" i="6"/>
  <c r="C14" i="12" s="1"/>
  <c r="V176" i="1"/>
  <c r="V174" i="1" s="1"/>
  <c r="V175" i="1" s="1"/>
  <c r="V182" i="1"/>
  <c r="V102" i="1"/>
  <c r="V162" i="1"/>
  <c r="V243" i="1"/>
  <c r="V315" i="1"/>
  <c r="V29" i="1" l="1"/>
  <c r="AA28" i="9"/>
  <c r="AA110" i="9"/>
  <c r="V245" i="1"/>
  <c r="V248" i="1"/>
  <c r="V252" i="1" s="1"/>
  <c r="V236" i="1" l="1"/>
  <c r="V317" i="1"/>
  <c r="V319" i="1" s="1"/>
  <c r="V34" i="1"/>
  <c r="C24" i="12"/>
  <c r="V320" i="1" l="1"/>
  <c r="AA30" i="9"/>
  <c r="V344" i="1"/>
  <c r="AA29" i="9"/>
  <c r="C25" i="12"/>
  <c r="V36" i="1"/>
  <c r="V341" i="1"/>
  <c r="V285" i="1"/>
  <c r="O23" i="6"/>
  <c r="V246" i="1"/>
  <c r="V254" i="1" s="1"/>
  <c r="O25" i="6" l="1"/>
  <c r="C18" i="12" s="1"/>
  <c r="C16" i="12"/>
  <c r="V348" i="1"/>
  <c r="V340" i="1"/>
  <c r="V260" i="1"/>
  <c r="V261" i="1" s="1"/>
  <c r="V94" i="1" s="1"/>
  <c r="V256" i="1"/>
  <c r="V37" i="1"/>
  <c r="O45" i="6" l="1"/>
  <c r="K9" i="12" s="1"/>
  <c r="AA31" i="9"/>
  <c r="E417" i="7"/>
  <c r="AA111" i="9"/>
  <c r="V101" i="1"/>
  <c r="V349" i="1"/>
  <c r="V342" i="1"/>
  <c r="C26" i="12"/>
  <c r="O35" i="6"/>
  <c r="O44" i="6" l="1"/>
  <c r="V39" i="1"/>
  <c r="AA15" i="9"/>
  <c r="O49" i="6"/>
  <c r="AA14" i="9"/>
  <c r="V85" i="1" l="1"/>
  <c r="AA7" i="9"/>
  <c r="AA25" i="9" s="1"/>
  <c r="AA120" i="9"/>
  <c r="AA119" i="9" s="1"/>
  <c r="AA118" i="9" s="1"/>
  <c r="O11" i="6"/>
  <c r="E591" i="7" l="1"/>
  <c r="E592" i="7" s="1"/>
  <c r="T521" i="7"/>
  <c r="C7" i="12"/>
  <c r="T515" i="7"/>
  <c r="T517" i="7" s="1"/>
  <c r="T519" i="7" s="1"/>
  <c r="T520" i="7" s="1"/>
  <c r="O13" i="6"/>
  <c r="O54" i="6"/>
  <c r="V86" i="1"/>
  <c r="V103" i="1" s="1"/>
  <c r="O50" i="6"/>
  <c r="C10" i="12" l="1"/>
  <c r="C28" i="12"/>
  <c r="F516" i="7"/>
  <c r="O42" i="6"/>
  <c r="K8" i="12" s="1"/>
  <c r="O38" i="6"/>
  <c r="O41" i="6"/>
  <c r="K7" i="12" s="1"/>
  <c r="O39" i="6"/>
  <c r="O52" i="6"/>
  <c r="V520" i="7"/>
  <c r="T527" i="7"/>
  <c r="T528" i="7" s="1"/>
  <c r="T523" i="7"/>
  <c r="V521" i="7"/>
  <c r="V529" i="7" s="1"/>
  <c r="T529" i="7"/>
  <c r="K5" i="12" l="1"/>
  <c r="O40" i="6"/>
  <c r="K6" i="12" s="1"/>
  <c r="Y38" i="6"/>
  <c r="F515" i="7"/>
  <c r="F523" i="7" s="1"/>
  <c r="K4" i="12"/>
  <c r="V523" i="7"/>
  <c r="U524" i="7" s="1"/>
  <c r="T524" i="7" l="1"/>
  <c r="T531" i="7" s="1"/>
  <c r="U531" i="7" s="1"/>
  <c r="U533" i="7" s="1"/>
  <c r="T532" i="7" l="1"/>
  <c r="K40" i="14" l="1"/>
  <c r="J40" i="14" s="1"/>
  <c r="K43" i="14"/>
  <c r="J41" i="14" l="1"/>
  <c r="J43" i="14" s="1"/>
  <c r="I40" i="14"/>
  <c r="L40" i="14"/>
  <c r="H40" i="14" l="1"/>
  <c r="I41" i="14"/>
  <c r="J42" i="14"/>
  <c r="J45" i="14" s="1"/>
  <c r="L41" i="14"/>
  <c r="M40" i="14"/>
  <c r="K46" i="14" l="1"/>
  <c r="G40" i="14"/>
  <c r="H41" i="14"/>
  <c r="I43" i="14"/>
  <c r="M41" i="14"/>
  <c r="N40" i="14"/>
  <c r="L42" i="14"/>
  <c r="H43" i="14" l="1"/>
  <c r="G41" i="14"/>
  <c r="F40" i="14"/>
  <c r="F41" i="14" s="1"/>
  <c r="I42" i="14"/>
  <c r="I45" i="14" s="1"/>
  <c r="AA41" i="14"/>
  <c r="L45" i="14"/>
  <c r="L46" i="14" s="1"/>
  <c r="M42" i="14"/>
  <c r="M43" i="14" s="1"/>
  <c r="AB43" i="14" s="1"/>
  <c r="N41" i="14"/>
  <c r="O40" i="14"/>
  <c r="L43" i="14"/>
  <c r="AB41" i="14"/>
  <c r="O41" i="14" l="1"/>
  <c r="AD41" i="14" s="1"/>
  <c r="P40" i="14"/>
  <c r="AA43" i="14"/>
  <c r="J46" i="14"/>
  <c r="Z41" i="14"/>
  <c r="G43" i="14"/>
  <c r="H42" i="14"/>
  <c r="AC41" i="14"/>
  <c r="AB42" i="14"/>
  <c r="M45" i="14"/>
  <c r="M46" i="14" s="1"/>
  <c r="N42" i="14"/>
  <c r="P41" i="14" l="1"/>
  <c r="AE41" i="14" s="1"/>
  <c r="Q40" i="14"/>
  <c r="F43" i="14"/>
  <c r="F42" i="14" s="1"/>
  <c r="F45" i="14" s="1"/>
  <c r="Z43" i="14"/>
  <c r="H45" i="14"/>
  <c r="AA42" i="14"/>
  <c r="G42" i="14"/>
  <c r="O42" i="14"/>
  <c r="AC42" i="14"/>
  <c r="N45" i="14"/>
  <c r="N46" i="14" s="1"/>
  <c r="N43" i="14"/>
  <c r="AC43" i="14" s="1"/>
  <c r="Q41" i="14" l="1"/>
  <c r="AF41" i="14" s="1"/>
  <c r="R40" i="14"/>
  <c r="P42" i="14"/>
  <c r="Z42" i="14"/>
  <c r="G45" i="14"/>
  <c r="H46" i="14" s="1"/>
  <c r="I46" i="14"/>
  <c r="AD42" i="14"/>
  <c r="O45" i="14"/>
  <c r="O46" i="14" s="1"/>
  <c r="O43" i="14"/>
  <c r="AD43" i="14" s="1"/>
  <c r="R41" i="14" l="1"/>
  <c r="AG41" i="14" s="1"/>
  <c r="S40" i="14"/>
  <c r="S41" i="14" s="1"/>
  <c r="Q42" i="14"/>
  <c r="AF42" i="14" s="1"/>
  <c r="P43" i="14"/>
  <c r="AE43" i="14" s="1"/>
  <c r="P45" i="14"/>
  <c r="P46" i="14" s="1"/>
  <c r="AE42" i="14"/>
  <c r="G46" i="14"/>
  <c r="BL119" i="3"/>
  <c r="DM133" i="3"/>
  <c r="BL157" i="3"/>
  <c r="AH41" i="14" l="1"/>
  <c r="Q43" i="14"/>
  <c r="AF43" i="14" s="1"/>
  <c r="R42" i="14"/>
  <c r="R43" i="14" s="1"/>
  <c r="AG43" i="14" s="1"/>
  <c r="Q45" i="14"/>
  <c r="Q46" i="14" s="1"/>
  <c r="T271" i="14"/>
  <c r="U140" i="13"/>
  <c r="DM119" i="3"/>
  <c r="DQ119" i="3"/>
  <c r="BL160" i="3"/>
  <c r="BL137" i="3"/>
  <c r="DP137" i="3" s="1"/>
  <c r="BL124" i="3"/>
  <c r="U75" i="13" s="1"/>
  <c r="AG42" i="14" l="1"/>
  <c r="R45" i="14"/>
  <c r="R46" i="14" s="1"/>
  <c r="S42" i="14"/>
  <c r="DM137" i="3"/>
  <c r="BL138" i="3"/>
  <c r="S45" i="14" l="1"/>
  <c r="S46" i="14" s="1"/>
  <c r="AH42" i="14"/>
  <c r="S43" i="14"/>
  <c r="AH43" i="14" s="1"/>
  <c r="BL171" i="3"/>
  <c r="BL172" i="3"/>
  <c r="BL173" i="3" s="1"/>
  <c r="BL161" i="3" l="1"/>
  <c r="I7" i="13"/>
  <c r="I11" i="13" s="1"/>
  <c r="I12" i="13" s="1"/>
  <c r="DN119" i="3"/>
  <c r="DN133" i="3"/>
  <c r="BM134" i="3"/>
  <c r="BM157" i="3"/>
  <c r="BM177" i="3"/>
  <c r="BM179" i="3" s="1"/>
  <c r="BM184" i="3" s="1"/>
  <c r="U271" i="14" l="1"/>
  <c r="V140" i="13"/>
  <c r="V76" i="13"/>
  <c r="V141" i="13" s="1"/>
  <c r="BM190" i="3"/>
  <c r="BM191" i="3" s="1"/>
  <c r="BM187" i="3"/>
  <c r="P7" i="13"/>
  <c r="I14" i="13"/>
  <c r="BM124" i="3"/>
  <c r="V75" i="13" s="1"/>
  <c r="BM137" i="3"/>
  <c r="DQ137" i="3" s="1"/>
  <c r="DS119" i="3"/>
  <c r="I8" i="13"/>
  <c r="DO119" i="3" l="1"/>
  <c r="BN137" i="3"/>
  <c r="DR137" i="3" s="1"/>
  <c r="DN137" i="3"/>
  <c r="I16" i="13"/>
  <c r="DS133" i="3" l="1"/>
  <c r="J7" i="13"/>
  <c r="I19" i="13"/>
  <c r="BM160" i="3"/>
  <c r="I17" i="13"/>
  <c r="BN134" i="3"/>
  <c r="BN157" i="3"/>
  <c r="BN177" i="3"/>
  <c r="BN179" i="3" s="1"/>
  <c r="DO133" i="3"/>
  <c r="DO137" i="3"/>
  <c r="W76" i="13" l="1"/>
  <c r="W141" i="13" s="1"/>
  <c r="C162" i="13"/>
  <c r="C164" i="13" s="1"/>
  <c r="V271" i="14"/>
  <c r="W140" i="13"/>
  <c r="J14" i="13"/>
  <c r="AK14" i="13" s="1"/>
  <c r="BN184" i="3"/>
  <c r="AF7" i="13"/>
  <c r="AD7" i="13"/>
  <c r="AH7" i="13"/>
  <c r="AK7" i="13"/>
  <c r="AL14" i="13"/>
  <c r="J11" i="13"/>
  <c r="P11" i="13" s="1"/>
  <c r="J8" i="13"/>
  <c r="BM172" i="3"/>
  <c r="BM173" i="3" s="1"/>
  <c r="BM171" i="3"/>
  <c r="BM161" i="3" s="1"/>
  <c r="P19" i="13"/>
  <c r="BP190" i="3"/>
  <c r="BP191" i="3" s="1"/>
  <c r="AF14" i="13" l="1"/>
  <c r="AJ14" i="13"/>
  <c r="AD14" i="13"/>
  <c r="AH14" i="13"/>
  <c r="BN190" i="3"/>
  <c r="BN191" i="3" s="1"/>
  <c r="BN187" i="3"/>
  <c r="AL8" i="13"/>
  <c r="AJ7" i="13"/>
  <c r="AL7" i="13"/>
  <c r="J12" i="13"/>
  <c r="AL15" i="13"/>
  <c r="AL16" i="13"/>
  <c r="AL17" i="13"/>
  <c r="AL19" i="13"/>
  <c r="AD8" i="13" l="1"/>
  <c r="AH8" i="13"/>
  <c r="AF8" i="13"/>
  <c r="BO171" i="3"/>
  <c r="BO161" i="3" s="1"/>
  <c r="BR161" i="3" s="1"/>
  <c r="BN171" i="3"/>
  <c r="BN172" i="3"/>
  <c r="BN173" i="3" s="1"/>
  <c r="BO172" i="3" l="1"/>
  <c r="BO173" i="3" l="1"/>
  <c r="BP173" i="3"/>
  <c r="BQ170" i="3"/>
  <c r="BQ172" i="3" s="1"/>
  <c r="BQ173" i="3" l="1"/>
  <c r="BQ171" i="3"/>
  <c r="J15" i="13"/>
  <c r="J16" i="13"/>
  <c r="J17" i="13"/>
  <c r="J19" i="13"/>
  <c r="BN160" i="3"/>
  <c r="BN161" i="3" s="1"/>
  <c r="AJ16" i="13" l="1"/>
  <c r="AH16" i="13"/>
  <c r="AD15" i="13"/>
  <c r="AF15" i="13"/>
  <c r="AJ15" i="13"/>
  <c r="AK15" i="13"/>
  <c r="AK16" i="13"/>
  <c r="AF16" i="13"/>
  <c r="AD16" i="13"/>
  <c r="AD17" i="13"/>
  <c r="AF17" i="13"/>
  <c r="AH17" i="13"/>
  <c r="AJ17" i="13"/>
  <c r="AK17" i="13"/>
  <c r="AH15" i="13"/>
  <c r="W24" i="1"/>
  <c r="AB28" i="9" s="1"/>
  <c r="W92" i="1"/>
  <c r="AB110" i="9" s="1"/>
  <c r="W161" i="1"/>
  <c r="W241" i="1" s="1"/>
  <c r="W243" i="1" s="1"/>
  <c r="W162" i="1" l="1"/>
  <c r="W245" i="1"/>
  <c r="W248" i="1"/>
  <c r="W252" i="1" s="1"/>
  <c r="W315" i="1"/>
  <c r="W29" i="1"/>
  <c r="D24" i="12" s="1"/>
  <c r="P21" i="6"/>
  <c r="D14" i="12" l="1"/>
  <c r="W236" i="1"/>
  <c r="W317" i="1"/>
  <c r="W319" i="1" s="1"/>
  <c r="AB30" i="9" l="1"/>
  <c r="W320" i="1"/>
  <c r="W344" i="1"/>
  <c r="P23" i="6"/>
  <c r="W246" i="1"/>
  <c r="W254" i="1" s="1"/>
  <c r="W260" i="1" l="1"/>
  <c r="W261" i="1" s="1"/>
  <c r="W94" i="1" s="1"/>
  <c r="W256" i="1"/>
  <c r="W190" i="1"/>
  <c r="W67" i="1" s="1"/>
  <c r="W31" i="1"/>
  <c r="W34" i="1" s="1"/>
  <c r="D25" i="12" s="1"/>
  <c r="W340" i="1"/>
  <c r="W348" i="1"/>
  <c r="D16" i="12"/>
  <c r="P25" i="6"/>
  <c r="W37" i="1"/>
  <c r="W321" i="1"/>
  <c r="W36" i="1" l="1"/>
  <c r="AB29" i="9"/>
  <c r="D1025" i="7"/>
  <c r="D1037" i="7" s="1"/>
  <c r="W341" i="1"/>
  <c r="D18" i="12"/>
  <c r="P26" i="6"/>
  <c r="P46" i="6" s="1"/>
  <c r="P45" i="6"/>
  <c r="AB31" i="9"/>
  <c r="G302" i="7"/>
  <c r="G319" i="7" s="1"/>
  <c r="G303" i="7"/>
  <c r="W342" i="1"/>
  <c r="W349" i="1"/>
  <c r="W285" i="1"/>
  <c r="W80" i="1" s="1"/>
  <c r="D26" i="12"/>
  <c r="P35" i="6"/>
  <c r="W101" i="1"/>
  <c r="AB111" i="9"/>
  <c r="P11" i="6" l="1"/>
  <c r="P13" i="6" s="1"/>
  <c r="AB120" i="9"/>
  <c r="AB119" i="9" s="1"/>
  <c r="AB118" i="9" s="1"/>
  <c r="AB7" i="9"/>
  <c r="AB25" i="9" s="1"/>
  <c r="W39" i="1"/>
  <c r="W350" i="1"/>
  <c r="P49" i="6"/>
  <c r="AB14" i="9"/>
  <c r="AB15" i="9"/>
  <c r="P44" i="6"/>
  <c r="L9" i="12"/>
  <c r="W85" i="1"/>
  <c r="W86" i="1" s="1"/>
  <c r="W103" i="1" s="1"/>
  <c r="W176" i="1"/>
  <c r="W174" i="1" s="1"/>
  <c r="W175" i="1" s="1"/>
  <c r="W182" i="1"/>
  <c r="AB27" i="9"/>
  <c r="W82" i="1"/>
  <c r="D7" i="12" l="1"/>
  <c r="D28" i="12" s="1"/>
  <c r="P54" i="6"/>
  <c r="P50" i="6"/>
  <c r="W181" i="1"/>
  <c r="W59" i="1"/>
  <c r="W63" i="1" s="1"/>
  <c r="W69" i="1" s="1"/>
  <c r="P51" i="6" s="1"/>
  <c r="P38" i="6"/>
  <c r="L4" i="12" s="1"/>
  <c r="P39" i="6"/>
  <c r="P41" i="6"/>
  <c r="L7" i="12" s="1"/>
  <c r="P42" i="6"/>
  <c r="L8" i="12" s="1"/>
  <c r="P52" i="6"/>
  <c r="D10" i="12" l="1"/>
  <c r="W83" i="1"/>
  <c r="P40" i="6"/>
  <c r="L6" i="12" s="1"/>
  <c r="L5" i="12"/>
  <c r="X112" i="1"/>
  <c r="X108" i="1" l="1"/>
  <c r="X239" i="1"/>
  <c r="X313" i="1"/>
  <c r="X19" i="1" l="1"/>
  <c r="X109" i="1"/>
  <c r="X345" i="1"/>
  <c r="X22" i="1" l="1"/>
  <c r="BR179" i="3"/>
  <c r="AC20" i="9"/>
  <c r="X121" i="1"/>
  <c r="E23" i="12" l="1"/>
  <c r="Q28" i="6"/>
  <c r="E302" i="7" l="1"/>
  <c r="H302" i="7"/>
  <c r="I302" i="7"/>
  <c r="E303" i="7"/>
  <c r="H303" i="7"/>
  <c r="I303" i="7"/>
  <c r="E319" i="7"/>
  <c r="H319" i="7"/>
  <c r="I319" i="7"/>
  <c r="D417" i="7"/>
  <c r="F591" i="7"/>
  <c r="G591" i="7"/>
  <c r="H591" i="7"/>
  <c r="I591" i="7"/>
  <c r="J591" i="7"/>
  <c r="K591" i="7"/>
  <c r="L591" i="7"/>
  <c r="F592" i="7"/>
  <c r="G592" i="7"/>
  <c r="H592" i="7"/>
  <c r="I592" i="7"/>
  <c r="J592" i="7"/>
  <c r="K592" i="7"/>
  <c r="L592" i="7"/>
  <c r="E1025" i="7"/>
  <c r="F1025" i="7"/>
  <c r="G1025" i="7"/>
  <c r="H1025" i="7"/>
  <c r="I1025" i="7"/>
  <c r="J1025" i="7"/>
  <c r="K1025" i="7"/>
  <c r="E1037" i="7"/>
  <c r="F1037" i="7"/>
  <c r="G1037" i="7"/>
  <c r="H1037" i="7"/>
  <c r="I1037" i="7"/>
  <c r="J1037" i="7"/>
  <c r="K1037" i="7"/>
  <c r="AC7" i="9"/>
  <c r="AD7" i="9"/>
  <c r="AE7" i="9"/>
  <c r="AF7" i="9"/>
  <c r="AG7" i="9"/>
  <c r="AH7" i="9"/>
  <c r="AI7" i="9"/>
  <c r="Z14" i="9"/>
  <c r="AC14" i="9"/>
  <c r="AD14" i="9"/>
  <c r="AE14" i="9"/>
  <c r="AF14" i="9"/>
  <c r="AG14" i="9"/>
  <c r="AH14" i="9"/>
  <c r="AI14" i="9"/>
  <c r="Z15" i="9"/>
  <c r="AC15" i="9"/>
  <c r="AD15" i="9"/>
  <c r="AE15" i="9"/>
  <c r="AF15" i="9"/>
  <c r="AG15" i="9"/>
  <c r="AH15" i="9"/>
  <c r="AI15" i="9"/>
  <c r="Z20" i="9"/>
  <c r="AD20" i="9"/>
  <c r="AE20" i="9"/>
  <c r="AF20" i="9"/>
  <c r="AG20" i="9"/>
  <c r="AH20" i="9"/>
  <c r="AI20" i="9"/>
  <c r="Z21" i="9"/>
  <c r="AC25" i="9"/>
  <c r="AD25" i="9"/>
  <c r="AE25" i="9"/>
  <c r="AF25" i="9"/>
  <c r="AG25" i="9"/>
  <c r="AH25" i="9"/>
  <c r="AI25" i="9"/>
  <c r="AC27" i="9"/>
  <c r="AD27" i="9"/>
  <c r="AE27" i="9"/>
  <c r="AF27" i="9"/>
  <c r="AG27" i="9"/>
  <c r="AH27" i="9"/>
  <c r="AI27" i="9"/>
  <c r="AC28" i="9"/>
  <c r="AD28" i="9"/>
  <c r="AE28" i="9"/>
  <c r="AF28" i="9"/>
  <c r="AG28" i="9"/>
  <c r="AH28" i="9"/>
  <c r="AI28" i="9"/>
  <c r="Z29" i="9"/>
  <c r="AC29" i="9"/>
  <c r="AD29" i="9"/>
  <c r="AE29" i="9"/>
  <c r="AF29" i="9"/>
  <c r="AG29" i="9"/>
  <c r="AH29" i="9"/>
  <c r="AI29" i="9"/>
  <c r="Z30" i="9"/>
  <c r="AC30" i="9"/>
  <c r="AD30" i="9"/>
  <c r="AE30" i="9"/>
  <c r="AF30" i="9"/>
  <c r="AG30" i="9"/>
  <c r="AH30" i="9"/>
  <c r="AI30" i="9"/>
  <c r="Z31" i="9"/>
  <c r="AC31" i="9"/>
  <c r="AD31" i="9"/>
  <c r="AE31" i="9"/>
  <c r="AF31" i="9"/>
  <c r="AG31" i="9"/>
  <c r="AH31" i="9"/>
  <c r="AI31" i="9"/>
  <c r="AC33" i="9"/>
  <c r="AD33" i="9"/>
  <c r="AE33" i="9"/>
  <c r="AF33" i="9"/>
  <c r="AG33" i="9"/>
  <c r="AH33" i="9"/>
  <c r="AI33" i="9"/>
  <c r="AC110" i="9"/>
  <c r="AD110" i="9"/>
  <c r="AE110" i="9"/>
  <c r="AF110" i="9"/>
  <c r="AG110" i="9"/>
  <c r="AH110" i="9"/>
  <c r="AI110" i="9"/>
  <c r="Z111" i="9"/>
  <c r="AC111" i="9"/>
  <c r="AD111" i="9"/>
  <c r="AE111" i="9"/>
  <c r="AF111" i="9"/>
  <c r="AG111" i="9"/>
  <c r="AH111" i="9"/>
  <c r="AI111" i="9"/>
  <c r="Z118" i="9"/>
  <c r="AC118" i="9"/>
  <c r="AD118" i="9"/>
  <c r="AE118" i="9"/>
  <c r="AF118" i="9"/>
  <c r="AG118" i="9"/>
  <c r="AH118" i="9"/>
  <c r="AI118" i="9"/>
  <c r="AC119" i="9"/>
  <c r="AD119" i="9"/>
  <c r="AE119" i="9"/>
  <c r="AF119" i="9"/>
  <c r="AG119" i="9"/>
  <c r="AH119" i="9"/>
  <c r="AI119" i="9"/>
  <c r="AC120" i="9"/>
  <c r="AD120" i="9"/>
  <c r="AE120" i="9"/>
  <c r="AF120" i="9"/>
  <c r="AG120" i="9"/>
  <c r="AH120" i="9"/>
  <c r="AI120" i="9"/>
  <c r="K19" i="13"/>
  <c r="AB19" i="13"/>
  <c r="AD19" i="13"/>
  <c r="AF19" i="13"/>
  <c r="AH19" i="13"/>
  <c r="AJ19" i="13"/>
  <c r="AK19" i="13"/>
  <c r="U83" i="13"/>
  <c r="V83" i="13"/>
  <c r="H53" i="2"/>
  <c r="H54" i="2"/>
  <c r="H56" i="2"/>
  <c r="H59" i="2"/>
  <c r="I60" i="2"/>
  <c r="H67" i="2"/>
  <c r="I68" i="2"/>
  <c r="H72" i="2"/>
  <c r="H81" i="2"/>
  <c r="H82" i="2"/>
  <c r="I82" i="2"/>
  <c r="H104" i="2"/>
  <c r="H109" i="2"/>
  <c r="U238" i="14"/>
  <c r="V238" i="14"/>
  <c r="U244" i="14"/>
  <c r="V244" i="14"/>
  <c r="U19" i="1"/>
  <c r="Y19" i="1"/>
  <c r="Z19" i="1"/>
  <c r="AA19" i="1"/>
  <c r="AB19" i="1"/>
  <c r="AC19" i="1"/>
  <c r="AD19" i="1"/>
  <c r="U20" i="1"/>
  <c r="U22" i="1"/>
  <c r="Y22" i="1"/>
  <c r="Z22" i="1"/>
  <c r="AA22" i="1"/>
  <c r="AB22" i="1"/>
  <c r="AC22" i="1"/>
  <c r="AD22" i="1"/>
  <c r="X24" i="1"/>
  <c r="Y24" i="1"/>
  <c r="Z24" i="1"/>
  <c r="AA24" i="1"/>
  <c r="AB24" i="1"/>
  <c r="AC24" i="1"/>
  <c r="AD24" i="1"/>
  <c r="U29" i="1"/>
  <c r="X29" i="1"/>
  <c r="Y29" i="1"/>
  <c r="Z29" i="1"/>
  <c r="AA29" i="1"/>
  <c r="AB29" i="1"/>
  <c r="AC29" i="1"/>
  <c r="AD29" i="1"/>
  <c r="X31" i="1"/>
  <c r="Y31" i="1"/>
  <c r="Z31" i="1"/>
  <c r="AA31" i="1"/>
  <c r="AB31" i="1"/>
  <c r="AC31" i="1"/>
  <c r="AD31" i="1"/>
  <c r="U34" i="1"/>
  <c r="X34" i="1"/>
  <c r="Y34" i="1"/>
  <c r="Z34" i="1"/>
  <c r="AA34" i="1"/>
  <c r="AB34" i="1"/>
  <c r="AC34" i="1"/>
  <c r="AD34" i="1"/>
  <c r="AE34" i="1"/>
  <c r="U36" i="1"/>
  <c r="X36" i="1"/>
  <c r="Y36" i="1"/>
  <c r="Z36" i="1"/>
  <c r="AA36" i="1"/>
  <c r="AB36" i="1"/>
  <c r="AC36" i="1"/>
  <c r="AD36" i="1"/>
  <c r="U37" i="1"/>
  <c r="X37" i="1"/>
  <c r="Y37" i="1"/>
  <c r="Z37" i="1"/>
  <c r="AA37" i="1"/>
  <c r="AB37" i="1"/>
  <c r="AC37" i="1"/>
  <c r="AD37" i="1"/>
  <c r="U39" i="1"/>
  <c r="X39" i="1"/>
  <c r="Y39" i="1"/>
  <c r="Z39" i="1"/>
  <c r="AA39" i="1"/>
  <c r="AB39" i="1"/>
  <c r="AC39" i="1"/>
  <c r="AD39" i="1"/>
  <c r="X59" i="1"/>
  <c r="Y59" i="1"/>
  <c r="Z59" i="1"/>
  <c r="AA59" i="1"/>
  <c r="AB59" i="1"/>
  <c r="AC59" i="1"/>
  <c r="AD59" i="1"/>
  <c r="X63" i="1"/>
  <c r="Y63" i="1"/>
  <c r="Z63" i="1"/>
  <c r="AA63" i="1"/>
  <c r="AB63" i="1"/>
  <c r="AC63" i="1"/>
  <c r="AD63" i="1"/>
  <c r="X65" i="1"/>
  <c r="Y65" i="1"/>
  <c r="Z65" i="1"/>
  <c r="AA65" i="1"/>
  <c r="AB65" i="1"/>
  <c r="AC65" i="1"/>
  <c r="AD65" i="1"/>
  <c r="X67" i="1"/>
  <c r="Y67" i="1"/>
  <c r="Z67" i="1"/>
  <c r="AA67" i="1"/>
  <c r="AB67" i="1"/>
  <c r="AC67" i="1"/>
  <c r="AD67" i="1"/>
  <c r="X69" i="1"/>
  <c r="Y69" i="1"/>
  <c r="Z69" i="1"/>
  <c r="AA69" i="1"/>
  <c r="AB69" i="1"/>
  <c r="AC69" i="1"/>
  <c r="AD69" i="1"/>
  <c r="X80" i="1"/>
  <c r="Y80" i="1"/>
  <c r="Z80" i="1"/>
  <c r="AA80" i="1"/>
  <c r="AB80" i="1"/>
  <c r="AC80" i="1"/>
  <c r="AD80" i="1"/>
  <c r="X82" i="1"/>
  <c r="Y82" i="1"/>
  <c r="Z82" i="1"/>
  <c r="AA82" i="1"/>
  <c r="AB82" i="1"/>
  <c r="AC82" i="1"/>
  <c r="AD82" i="1"/>
  <c r="X83" i="1"/>
  <c r="Y83" i="1"/>
  <c r="Z83" i="1"/>
  <c r="AA83" i="1"/>
  <c r="AB83" i="1"/>
  <c r="AC83" i="1"/>
  <c r="AD83" i="1"/>
  <c r="X85" i="1"/>
  <c r="Y85" i="1"/>
  <c r="Z85" i="1"/>
  <c r="AA85" i="1"/>
  <c r="AB85" i="1"/>
  <c r="AC85" i="1"/>
  <c r="AD85" i="1"/>
  <c r="X86" i="1"/>
  <c r="Y86" i="1"/>
  <c r="Z86" i="1"/>
  <c r="AA86" i="1"/>
  <c r="AB86" i="1"/>
  <c r="AC86" i="1"/>
  <c r="AD86" i="1"/>
  <c r="X92" i="1"/>
  <c r="Y92" i="1"/>
  <c r="Z92" i="1"/>
  <c r="AA92" i="1"/>
  <c r="AB92" i="1"/>
  <c r="AC92" i="1"/>
  <c r="AD92" i="1"/>
  <c r="U94" i="1"/>
  <c r="X94" i="1"/>
  <c r="Y94" i="1"/>
  <c r="Z94" i="1"/>
  <c r="AA94" i="1"/>
  <c r="AB94" i="1"/>
  <c r="AC94" i="1"/>
  <c r="AD94" i="1"/>
  <c r="U101" i="1"/>
  <c r="X101" i="1"/>
  <c r="Y101" i="1"/>
  <c r="Z101" i="1"/>
  <c r="AA101" i="1"/>
  <c r="AB101" i="1"/>
  <c r="AC101" i="1"/>
  <c r="AD101" i="1"/>
  <c r="X102" i="1"/>
  <c r="Y102" i="1"/>
  <c r="Z102" i="1"/>
  <c r="AA102" i="1"/>
  <c r="AB102" i="1"/>
  <c r="AC102" i="1"/>
  <c r="AD102" i="1"/>
  <c r="U103" i="1"/>
  <c r="X103" i="1"/>
  <c r="Y103" i="1"/>
  <c r="Z103" i="1"/>
  <c r="AA103" i="1"/>
  <c r="AB103" i="1"/>
  <c r="AC103" i="1"/>
  <c r="AD103" i="1"/>
  <c r="U108" i="1"/>
  <c r="Y108" i="1"/>
  <c r="Z108" i="1"/>
  <c r="AA108" i="1"/>
  <c r="AB108" i="1"/>
  <c r="AC108" i="1"/>
  <c r="AD108" i="1"/>
  <c r="U109" i="1"/>
  <c r="V109" i="1"/>
  <c r="Y109" i="1"/>
  <c r="Z109" i="1"/>
  <c r="AA109" i="1"/>
  <c r="AB109" i="1"/>
  <c r="AC109" i="1"/>
  <c r="AD109" i="1"/>
  <c r="U110" i="1"/>
  <c r="X110" i="1"/>
  <c r="Y110" i="1"/>
  <c r="Z110" i="1"/>
  <c r="AA110" i="1"/>
  <c r="AB110" i="1"/>
  <c r="AC110" i="1"/>
  <c r="AD110" i="1"/>
  <c r="Y112" i="1"/>
  <c r="Z112" i="1"/>
  <c r="AA112" i="1"/>
  <c r="AB112" i="1"/>
  <c r="AC112" i="1"/>
  <c r="AD112" i="1"/>
  <c r="U116" i="1"/>
  <c r="V116" i="1"/>
  <c r="W116" i="1"/>
  <c r="X116" i="1"/>
  <c r="Y116" i="1"/>
  <c r="Z116" i="1"/>
  <c r="AA116" i="1"/>
  <c r="AB116" i="1"/>
  <c r="AC116" i="1"/>
  <c r="AD116" i="1"/>
  <c r="U117" i="1"/>
  <c r="V117" i="1"/>
  <c r="W117" i="1"/>
  <c r="X117" i="1"/>
  <c r="Y117" i="1"/>
  <c r="Z117" i="1"/>
  <c r="AA117" i="1"/>
  <c r="AB117" i="1"/>
  <c r="AC117" i="1"/>
  <c r="AD117" i="1"/>
  <c r="X118" i="1"/>
  <c r="Y118" i="1"/>
  <c r="Z118" i="1"/>
  <c r="AA118" i="1"/>
  <c r="AB118" i="1"/>
  <c r="AC118" i="1"/>
  <c r="AD118" i="1"/>
  <c r="X119" i="1"/>
  <c r="Y119" i="1"/>
  <c r="Z119" i="1"/>
  <c r="AA119" i="1"/>
  <c r="AB119" i="1"/>
  <c r="AC119" i="1"/>
  <c r="AD119" i="1"/>
  <c r="U121" i="1"/>
  <c r="Y121" i="1"/>
  <c r="Z121" i="1"/>
  <c r="AA121" i="1"/>
  <c r="AB121" i="1"/>
  <c r="AC121" i="1"/>
  <c r="AD121" i="1"/>
  <c r="U132" i="1"/>
  <c r="U134" i="1"/>
  <c r="X152" i="1"/>
  <c r="Y152" i="1"/>
  <c r="Z152" i="1"/>
  <c r="AA152" i="1"/>
  <c r="AB152" i="1"/>
  <c r="AC152" i="1"/>
  <c r="AD152" i="1"/>
  <c r="X154" i="1"/>
  <c r="Y154" i="1"/>
  <c r="Z154" i="1"/>
  <c r="AA154" i="1"/>
  <c r="AB154" i="1"/>
  <c r="AC154" i="1"/>
  <c r="AD154" i="1"/>
  <c r="X159" i="1"/>
  <c r="Y159" i="1"/>
  <c r="Z159" i="1"/>
  <c r="AA159" i="1"/>
  <c r="AB159" i="1"/>
  <c r="AC159" i="1"/>
  <c r="AD159" i="1"/>
  <c r="X161" i="1"/>
  <c r="Y161" i="1"/>
  <c r="Z161" i="1"/>
  <c r="AA161" i="1"/>
  <c r="AB161" i="1"/>
  <c r="AC161" i="1"/>
  <c r="AD161" i="1"/>
  <c r="X162" i="1"/>
  <c r="Y162" i="1"/>
  <c r="Z162" i="1"/>
  <c r="AA162" i="1"/>
  <c r="AB162" i="1"/>
  <c r="AC162" i="1"/>
  <c r="AD162" i="1"/>
  <c r="X164" i="1"/>
  <c r="Y164" i="1"/>
  <c r="Z164" i="1"/>
  <c r="AA164" i="1"/>
  <c r="AB164" i="1"/>
  <c r="AC164" i="1"/>
  <c r="AD164" i="1"/>
  <c r="X174" i="1"/>
  <c r="Y174" i="1"/>
  <c r="Z174" i="1"/>
  <c r="AA174" i="1"/>
  <c r="AB174" i="1"/>
  <c r="AC174" i="1"/>
  <c r="AD174" i="1"/>
  <c r="X175" i="1"/>
  <c r="Y175" i="1"/>
  <c r="Z175" i="1"/>
  <c r="AA175" i="1"/>
  <c r="AB175" i="1"/>
  <c r="AC175" i="1"/>
  <c r="AD175" i="1"/>
  <c r="X176" i="1"/>
  <c r="Y176" i="1"/>
  <c r="Z176" i="1"/>
  <c r="AA176" i="1"/>
  <c r="AB176" i="1"/>
  <c r="AC176" i="1"/>
  <c r="AD176" i="1"/>
  <c r="X179" i="1"/>
  <c r="Y179" i="1"/>
  <c r="Z179" i="1"/>
  <c r="AA179" i="1"/>
  <c r="AB179" i="1"/>
  <c r="AC179" i="1"/>
  <c r="AD179" i="1"/>
  <c r="X180" i="1"/>
  <c r="Y180" i="1"/>
  <c r="Z180" i="1"/>
  <c r="AA180" i="1"/>
  <c r="AB180" i="1"/>
  <c r="AC180" i="1"/>
  <c r="AD180" i="1"/>
  <c r="X181" i="1"/>
  <c r="Y181" i="1"/>
  <c r="Z181" i="1"/>
  <c r="AA181" i="1"/>
  <c r="AB181" i="1"/>
  <c r="AC181" i="1"/>
  <c r="AD181" i="1"/>
  <c r="X182" i="1"/>
  <c r="Y182" i="1"/>
  <c r="Z182" i="1"/>
  <c r="AA182" i="1"/>
  <c r="AB182" i="1"/>
  <c r="AC182" i="1"/>
  <c r="AD182" i="1"/>
  <c r="X188" i="1"/>
  <c r="Y188" i="1"/>
  <c r="Z188" i="1"/>
  <c r="AA188" i="1"/>
  <c r="AB188" i="1"/>
  <c r="AC188" i="1"/>
  <c r="AD188" i="1"/>
  <c r="X190" i="1"/>
  <c r="Y190" i="1"/>
  <c r="Z190" i="1"/>
  <c r="AA190" i="1"/>
  <c r="AB190" i="1"/>
  <c r="AC190" i="1"/>
  <c r="AD190" i="1"/>
  <c r="X191" i="1"/>
  <c r="Y191" i="1"/>
  <c r="Z191" i="1"/>
  <c r="AA191" i="1"/>
  <c r="AB191" i="1"/>
  <c r="AC191" i="1"/>
  <c r="AD191" i="1"/>
  <c r="X234" i="1"/>
  <c r="Y234" i="1"/>
  <c r="Z234" i="1"/>
  <c r="AA234" i="1"/>
  <c r="AB234" i="1"/>
  <c r="AC234" i="1"/>
  <c r="AD234" i="1"/>
  <c r="U236" i="1"/>
  <c r="X236" i="1"/>
  <c r="Y236" i="1"/>
  <c r="Z236" i="1"/>
  <c r="AA236" i="1"/>
  <c r="AB236" i="1"/>
  <c r="AC236" i="1"/>
  <c r="AD236" i="1"/>
  <c r="Y239" i="1"/>
  <c r="Z239" i="1"/>
  <c r="AA239" i="1"/>
  <c r="AB239" i="1"/>
  <c r="AC239" i="1"/>
  <c r="AD239" i="1"/>
  <c r="U240" i="1"/>
  <c r="X241" i="1"/>
  <c r="Y241" i="1"/>
  <c r="Z241" i="1"/>
  <c r="AA241" i="1"/>
  <c r="AB241" i="1"/>
  <c r="AC241" i="1"/>
  <c r="AD241" i="1"/>
  <c r="U243" i="1"/>
  <c r="X243" i="1"/>
  <c r="Y243" i="1"/>
  <c r="Z243" i="1"/>
  <c r="AA243" i="1"/>
  <c r="AB243" i="1"/>
  <c r="AC243" i="1"/>
  <c r="AD243" i="1"/>
  <c r="U245" i="1"/>
  <c r="X245" i="1"/>
  <c r="Y245" i="1"/>
  <c r="Z245" i="1"/>
  <c r="AA245" i="1"/>
  <c r="AB245" i="1"/>
  <c r="AC245" i="1"/>
  <c r="AD245" i="1"/>
  <c r="U246" i="1"/>
  <c r="X246" i="1"/>
  <c r="Y246" i="1"/>
  <c r="Z246" i="1"/>
  <c r="AA246" i="1"/>
  <c r="AB246" i="1"/>
  <c r="AC246" i="1"/>
  <c r="AD246" i="1"/>
  <c r="U248" i="1"/>
  <c r="X248" i="1"/>
  <c r="Y248" i="1"/>
  <c r="Z248" i="1"/>
  <c r="AA248" i="1"/>
  <c r="AB248" i="1"/>
  <c r="AC248" i="1"/>
  <c r="AD248" i="1"/>
  <c r="U252" i="1"/>
  <c r="X252" i="1"/>
  <c r="Y252" i="1"/>
  <c r="Z252" i="1"/>
  <c r="AA252" i="1"/>
  <c r="AB252" i="1"/>
  <c r="AC252" i="1"/>
  <c r="AD252" i="1"/>
  <c r="U254" i="1"/>
  <c r="X254" i="1"/>
  <c r="Y254" i="1"/>
  <c r="Z254" i="1"/>
  <c r="AA254" i="1"/>
  <c r="AB254" i="1"/>
  <c r="AC254" i="1"/>
  <c r="AD254" i="1"/>
  <c r="U256" i="1"/>
  <c r="X256" i="1"/>
  <c r="Y256" i="1"/>
  <c r="Z256" i="1"/>
  <c r="AA256" i="1"/>
  <c r="AB256" i="1"/>
  <c r="AC256" i="1"/>
  <c r="AD256" i="1"/>
  <c r="L257" i="1"/>
  <c r="M257" i="1"/>
  <c r="N257" i="1"/>
  <c r="O257" i="1"/>
  <c r="P257" i="1"/>
  <c r="Q257" i="1"/>
  <c r="R257" i="1"/>
  <c r="S257" i="1"/>
  <c r="T257" i="1"/>
  <c r="U257" i="1"/>
  <c r="V257" i="1"/>
  <c r="W257" i="1"/>
  <c r="X257" i="1"/>
  <c r="Y257" i="1"/>
  <c r="Z257" i="1"/>
  <c r="AA257" i="1"/>
  <c r="AB257" i="1"/>
  <c r="AC257" i="1"/>
  <c r="AD257" i="1"/>
  <c r="U260" i="1"/>
  <c r="X260" i="1"/>
  <c r="Y260" i="1"/>
  <c r="Z260" i="1"/>
  <c r="AA260" i="1"/>
  <c r="AB260" i="1"/>
  <c r="AC260" i="1"/>
  <c r="AD260" i="1"/>
  <c r="U261" i="1"/>
  <c r="X261" i="1"/>
  <c r="Y261" i="1"/>
  <c r="Z261" i="1"/>
  <c r="AA261" i="1"/>
  <c r="AB261" i="1"/>
  <c r="AC261" i="1"/>
  <c r="AD261" i="1"/>
  <c r="X284" i="1"/>
  <c r="Y284" i="1"/>
  <c r="Z284" i="1"/>
  <c r="AA284" i="1"/>
  <c r="AB284" i="1"/>
  <c r="AC284" i="1"/>
  <c r="AD284" i="1"/>
  <c r="U285" i="1"/>
  <c r="X285" i="1"/>
  <c r="Y285" i="1"/>
  <c r="Z285" i="1"/>
  <c r="AA285" i="1"/>
  <c r="AB285" i="1"/>
  <c r="AC285" i="1"/>
  <c r="AD285" i="1"/>
  <c r="Y313" i="1"/>
  <c r="Z313" i="1"/>
  <c r="AA313" i="1"/>
  <c r="AB313" i="1"/>
  <c r="AC313" i="1"/>
  <c r="AD313" i="1"/>
  <c r="U314" i="1"/>
  <c r="X315" i="1"/>
  <c r="Y315" i="1"/>
  <c r="Z315" i="1"/>
  <c r="AA315" i="1"/>
  <c r="AB315" i="1"/>
  <c r="AC315" i="1"/>
  <c r="AD315" i="1"/>
  <c r="U317" i="1"/>
  <c r="X317" i="1"/>
  <c r="Y317" i="1"/>
  <c r="Z317" i="1"/>
  <c r="AA317" i="1"/>
  <c r="AB317" i="1"/>
  <c r="AC317" i="1"/>
  <c r="AD317" i="1"/>
  <c r="U319" i="1"/>
  <c r="X319" i="1"/>
  <c r="Y319" i="1"/>
  <c r="Z319" i="1"/>
  <c r="AA319" i="1"/>
  <c r="AB319" i="1"/>
  <c r="AC319" i="1"/>
  <c r="AD319" i="1"/>
  <c r="U320" i="1"/>
  <c r="X320" i="1"/>
  <c r="Y320" i="1"/>
  <c r="Z320" i="1"/>
  <c r="AA320" i="1"/>
  <c r="AB320" i="1"/>
  <c r="AC320" i="1"/>
  <c r="AD320" i="1"/>
  <c r="U321" i="1"/>
  <c r="V321" i="1"/>
  <c r="X321" i="1"/>
  <c r="Y321" i="1"/>
  <c r="Z321" i="1"/>
  <c r="AA321" i="1"/>
  <c r="AB321" i="1"/>
  <c r="AC321" i="1"/>
  <c r="AD321" i="1"/>
  <c r="U340" i="1"/>
  <c r="X340" i="1"/>
  <c r="Y340" i="1"/>
  <c r="Z340" i="1"/>
  <c r="AA340" i="1"/>
  <c r="AB340" i="1"/>
  <c r="AC340" i="1"/>
  <c r="AD340" i="1"/>
  <c r="U341" i="1"/>
  <c r="X341" i="1"/>
  <c r="Y341" i="1"/>
  <c r="Z341" i="1"/>
  <c r="AA341" i="1"/>
  <c r="AB341" i="1"/>
  <c r="AC341" i="1"/>
  <c r="AD341" i="1"/>
  <c r="U342" i="1"/>
  <c r="X342" i="1"/>
  <c r="Y342" i="1"/>
  <c r="Z342" i="1"/>
  <c r="AA342" i="1"/>
  <c r="AB342" i="1"/>
  <c r="AC342" i="1"/>
  <c r="AD342" i="1"/>
  <c r="U344" i="1"/>
  <c r="X344" i="1"/>
  <c r="Y344" i="1"/>
  <c r="Z344" i="1"/>
  <c r="AA344" i="1"/>
  <c r="AB344" i="1"/>
  <c r="AC344" i="1"/>
  <c r="AD344" i="1"/>
  <c r="Y345" i="1"/>
  <c r="Z345" i="1"/>
  <c r="AA345" i="1"/>
  <c r="AB345" i="1"/>
  <c r="AC345" i="1"/>
  <c r="AD345" i="1"/>
  <c r="U346" i="1"/>
  <c r="U348" i="1"/>
  <c r="X348" i="1"/>
  <c r="Y348" i="1"/>
  <c r="Z348" i="1"/>
  <c r="AA348" i="1"/>
  <c r="AB348" i="1"/>
  <c r="AC348" i="1"/>
  <c r="AD348" i="1"/>
  <c r="U349" i="1"/>
  <c r="X349" i="1"/>
  <c r="Y349" i="1"/>
  <c r="Z349" i="1"/>
  <c r="AA349" i="1"/>
  <c r="AB349" i="1"/>
  <c r="AC349" i="1"/>
  <c r="AD349" i="1"/>
  <c r="U350" i="1"/>
  <c r="V350" i="1"/>
  <c r="X350" i="1"/>
  <c r="Y350" i="1"/>
  <c r="Z350" i="1"/>
  <c r="AA350" i="1"/>
  <c r="AB350" i="1"/>
  <c r="AC350" i="1"/>
  <c r="AD350" i="1"/>
  <c r="N72" i="15"/>
  <c r="F73" i="15"/>
  <c r="H73" i="15"/>
  <c r="N73" i="15"/>
  <c r="F74" i="15"/>
  <c r="G74" i="15"/>
  <c r="N74" i="15"/>
  <c r="N76" i="15"/>
  <c r="Z55" i="3"/>
  <c r="Z56" i="3"/>
  <c r="BM56" i="3"/>
  <c r="BN56" i="3"/>
  <c r="CA56" i="3"/>
  <c r="CE56" i="3"/>
  <c r="DN56" i="3"/>
  <c r="DO56" i="3"/>
  <c r="DR56" i="3"/>
  <c r="DS56" i="3"/>
  <c r="Z57" i="3"/>
  <c r="CA57" i="3"/>
  <c r="CE57" i="3"/>
  <c r="Z65" i="3"/>
  <c r="BM65" i="3"/>
  <c r="BN65" i="3"/>
  <c r="Z70" i="3"/>
  <c r="BM70" i="3"/>
  <c r="BN70" i="3"/>
  <c r="CA70" i="3"/>
  <c r="CE70" i="3"/>
  <c r="DN70" i="3"/>
  <c r="DO70" i="3"/>
  <c r="DR70" i="3"/>
  <c r="DS70" i="3"/>
  <c r="Z71" i="3"/>
  <c r="CE71" i="3"/>
  <c r="Z103" i="3"/>
  <c r="Z104" i="3"/>
  <c r="Z105" i="3"/>
  <c r="Z106" i="3"/>
  <c r="Z129" i="3"/>
  <c r="CA129" i="3"/>
  <c r="CE129" i="3"/>
  <c r="Z130" i="3"/>
  <c r="CA130" i="3"/>
  <c r="CE130" i="3"/>
  <c r="Z131" i="3"/>
  <c r="CA131" i="3"/>
  <c r="CE131" i="3"/>
  <c r="BM138" i="3"/>
  <c r="BN138" i="3"/>
  <c r="BR160" i="3"/>
  <c r="BR170" i="3"/>
  <c r="BW170" i="3"/>
  <c r="BR171" i="3"/>
  <c r="BR172" i="3"/>
  <c r="BR173" i="3"/>
  <c r="BR182" i="3"/>
  <c r="BR184" i="3"/>
  <c r="BR186" i="3"/>
  <c r="BR187" i="3"/>
  <c r="BO190" i="3"/>
  <c r="BR190" i="3"/>
  <c r="BO191" i="3"/>
  <c r="BR191" i="3"/>
  <c r="M4" i="12"/>
  <c r="N4" i="12"/>
  <c r="O4" i="12"/>
  <c r="M5" i="12"/>
  <c r="N5" i="12"/>
  <c r="O5" i="12"/>
  <c r="M6" i="12"/>
  <c r="N6" i="12"/>
  <c r="O6" i="12"/>
  <c r="E7" i="12"/>
  <c r="F7" i="12"/>
  <c r="G7" i="12"/>
  <c r="M7" i="12"/>
  <c r="N7" i="12"/>
  <c r="O7" i="12"/>
  <c r="M8" i="12"/>
  <c r="N8" i="12"/>
  <c r="O8" i="12"/>
  <c r="M9" i="12"/>
  <c r="N9" i="12"/>
  <c r="O9" i="12"/>
  <c r="E10" i="12"/>
  <c r="F10" i="12"/>
  <c r="G10" i="12"/>
  <c r="E14" i="12"/>
  <c r="F14" i="12"/>
  <c r="G14" i="12"/>
  <c r="E16" i="12"/>
  <c r="F16" i="12"/>
  <c r="G16" i="12"/>
  <c r="E18" i="12"/>
  <c r="F18" i="12"/>
  <c r="G18" i="12"/>
  <c r="F23" i="12"/>
  <c r="G23" i="12"/>
  <c r="H23" i="12"/>
  <c r="E24" i="12"/>
  <c r="F24" i="12"/>
  <c r="G24" i="12"/>
  <c r="H24" i="12"/>
  <c r="E25" i="12"/>
  <c r="F25" i="12"/>
  <c r="G25" i="12"/>
  <c r="H25" i="12"/>
  <c r="E26" i="12"/>
  <c r="F26" i="12"/>
  <c r="G26" i="12"/>
  <c r="H26" i="12"/>
  <c r="E28" i="12"/>
  <c r="F28" i="12"/>
  <c r="G28" i="12"/>
  <c r="Q11" i="6"/>
  <c r="R11" i="6"/>
  <c r="S11" i="6"/>
  <c r="T11" i="6"/>
  <c r="U11" i="6"/>
  <c r="V11" i="6"/>
  <c r="W11" i="6"/>
  <c r="Q13" i="6"/>
  <c r="R13" i="6"/>
  <c r="S13" i="6"/>
  <c r="T13" i="6"/>
  <c r="U13" i="6"/>
  <c r="V13" i="6"/>
  <c r="W13" i="6"/>
  <c r="Q21" i="6"/>
  <c r="R21" i="6"/>
  <c r="S21" i="6"/>
  <c r="T21" i="6"/>
  <c r="U21" i="6"/>
  <c r="V21" i="6"/>
  <c r="W21" i="6"/>
  <c r="X21" i="6"/>
  <c r="N23" i="6"/>
  <c r="Q23" i="6"/>
  <c r="R23" i="6"/>
  <c r="S23" i="6"/>
  <c r="T23" i="6"/>
  <c r="U23" i="6"/>
  <c r="V23" i="6"/>
  <c r="W23" i="6"/>
  <c r="X23" i="6"/>
  <c r="N25" i="6"/>
  <c r="Q25" i="6"/>
  <c r="R25" i="6"/>
  <c r="S25" i="6"/>
  <c r="T25" i="6"/>
  <c r="U25" i="6"/>
  <c r="V25" i="6"/>
  <c r="W25" i="6"/>
  <c r="X25" i="6"/>
  <c r="Q26" i="6"/>
  <c r="R26" i="6"/>
  <c r="S26" i="6"/>
  <c r="T26" i="6"/>
  <c r="U26" i="6"/>
  <c r="V26" i="6"/>
  <c r="W26" i="6"/>
  <c r="N28" i="6"/>
  <c r="R28" i="6"/>
  <c r="S28" i="6"/>
  <c r="T28" i="6"/>
  <c r="U28" i="6"/>
  <c r="V28" i="6"/>
  <c r="W28" i="6"/>
  <c r="N35" i="6"/>
  <c r="Q35" i="6"/>
  <c r="R35" i="6"/>
  <c r="S35" i="6"/>
  <c r="T35" i="6"/>
  <c r="U35" i="6"/>
  <c r="V35" i="6"/>
  <c r="W35" i="6"/>
  <c r="Q38" i="6"/>
  <c r="R38" i="6"/>
  <c r="S38" i="6"/>
  <c r="T38" i="6"/>
  <c r="U38" i="6"/>
  <c r="V38" i="6"/>
  <c r="W38" i="6"/>
  <c r="Q39" i="6"/>
  <c r="R39" i="6"/>
  <c r="S39" i="6"/>
  <c r="T39" i="6"/>
  <c r="U39" i="6"/>
  <c r="V39" i="6"/>
  <c r="W39" i="6"/>
  <c r="Q40" i="6"/>
  <c r="R40" i="6"/>
  <c r="S40" i="6"/>
  <c r="T40" i="6"/>
  <c r="U40" i="6"/>
  <c r="V40" i="6"/>
  <c r="W40" i="6"/>
  <c r="N41" i="6"/>
  <c r="Q41" i="6"/>
  <c r="R41" i="6"/>
  <c r="S41" i="6"/>
  <c r="T41" i="6"/>
  <c r="U41" i="6"/>
  <c r="V41" i="6"/>
  <c r="W41" i="6"/>
  <c r="N42" i="6"/>
  <c r="Q42" i="6"/>
  <c r="R42" i="6"/>
  <c r="S42" i="6"/>
  <c r="T42" i="6"/>
  <c r="U42" i="6"/>
  <c r="V42" i="6"/>
  <c r="W42" i="6"/>
  <c r="N44" i="6"/>
  <c r="Q44" i="6"/>
  <c r="R44" i="6"/>
  <c r="S44" i="6"/>
  <c r="T44" i="6"/>
  <c r="U44" i="6"/>
  <c r="V44" i="6"/>
  <c r="W44" i="6"/>
  <c r="N45" i="6"/>
  <c r="Q45" i="6"/>
  <c r="R45" i="6"/>
  <c r="S45" i="6"/>
  <c r="T45" i="6"/>
  <c r="U45" i="6"/>
  <c r="V45" i="6"/>
  <c r="W45" i="6"/>
  <c r="Q46" i="6"/>
  <c r="R46" i="6"/>
  <c r="S46" i="6"/>
  <c r="T46" i="6"/>
  <c r="U46" i="6"/>
  <c r="V46" i="6"/>
  <c r="W46" i="6"/>
  <c r="N49" i="6"/>
  <c r="Q49" i="6"/>
  <c r="R49" i="6"/>
  <c r="S49" i="6"/>
  <c r="T49" i="6"/>
  <c r="U49" i="6"/>
  <c r="V49" i="6"/>
  <c r="W49" i="6"/>
  <c r="N50" i="6"/>
  <c r="Q50" i="6"/>
  <c r="R50" i="6"/>
  <c r="S50" i="6"/>
  <c r="T50" i="6"/>
  <c r="U50" i="6"/>
  <c r="V50" i="6"/>
  <c r="W50" i="6"/>
  <c r="N51" i="6"/>
  <c r="Q51" i="6"/>
  <c r="R51" i="6"/>
  <c r="S51" i="6"/>
  <c r="T51" i="6"/>
  <c r="U51" i="6"/>
  <c r="V51" i="6"/>
  <c r="W51" i="6"/>
  <c r="Q52" i="6"/>
  <c r="R52" i="6"/>
  <c r="S52" i="6"/>
  <c r="T52" i="6"/>
  <c r="U52" i="6"/>
  <c r="V52" i="6"/>
  <c r="W52" i="6"/>
  <c r="Q54" i="6"/>
  <c r="R54" i="6"/>
  <c r="S54" i="6"/>
  <c r="T54" i="6"/>
  <c r="U54" i="6"/>
  <c r="V54" i="6"/>
  <c r="W54" i="6"/>
  <c r="C86" i="6"/>
  <c r="C88" i="6"/>
  <c r="C92" i="6"/>
  <c r="C94" i="6"/>
  <c r="C9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Soomit Datta</author>
    <author>David</author>
  </authors>
  <commentList>
    <comment ref="N97" authorId="0" shapeId="0" xr:uid="{00000000-0006-0000-0000-000001000000}">
      <text>
        <r>
          <rPr>
            <b/>
            <sz val="9"/>
            <color indexed="81"/>
            <rFont val="Tahoma"/>
            <family val="2"/>
          </rPr>
          <t>Soomit Datta:</t>
        </r>
        <r>
          <rPr>
            <sz val="9"/>
            <color indexed="81"/>
            <rFont val="Tahoma"/>
            <family val="2"/>
          </rPr>
          <t xml:space="preserve">
paid the 14 div in the following year</t>
        </r>
      </text>
    </comment>
    <comment ref="W164" authorId="1" shapeId="0" xr:uid="{DA003C78-C20A-4B20-B27E-94579D21AC67}">
      <text>
        <r>
          <rPr>
            <b/>
            <sz val="9"/>
            <color indexed="81"/>
            <rFont val="Tahoma"/>
            <family val="2"/>
          </rPr>
          <t>David:</t>
        </r>
        <r>
          <rPr>
            <sz val="9"/>
            <color indexed="81"/>
            <rFont val="Tahoma"/>
            <family val="2"/>
          </rPr>
          <t xml:space="preserve">
Need AR</t>
        </r>
      </text>
    </comment>
    <comment ref="W335" authorId="1" shapeId="0" xr:uid="{E8B87881-9547-4E87-AF17-4C051B445935}">
      <text>
        <r>
          <rPr>
            <b/>
            <sz val="9"/>
            <color indexed="81"/>
            <rFont val="Tahoma"/>
            <family val="2"/>
          </rPr>
          <t>David:</t>
        </r>
        <r>
          <rPr>
            <sz val="9"/>
            <color indexed="81"/>
            <rFont val="Tahoma"/>
            <family val="2"/>
          </rPr>
          <t xml:space="preserve">
TBC</t>
        </r>
      </text>
    </comment>
    <comment ref="B339" authorId="0" shapeId="0" xr:uid="{00000000-0006-0000-0000-000002000000}">
      <text>
        <r>
          <rPr>
            <b/>
            <sz val="9"/>
            <color indexed="81"/>
            <rFont val="Tahoma"/>
            <family val="2"/>
          </rPr>
          <t>Soomit Datta:</t>
        </r>
        <r>
          <rPr>
            <sz val="9"/>
            <color indexed="81"/>
            <rFont val="Tahoma"/>
            <family val="2"/>
          </rPr>
          <t xml:space="preserve">
Policy is up to 25% of EBITDA (stated last at Q4 15 results call)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I66" authorId="0" shapeId="0" xr:uid="{00000000-0006-0000-0200-000001000000}">
      <text>
        <r>
          <rPr>
            <b/>
            <sz val="9"/>
            <color indexed="81"/>
            <rFont val="Tahoma"/>
            <family val="2"/>
          </rPr>
          <t>Soomit Datta:</t>
        </r>
        <r>
          <rPr>
            <sz val="9"/>
            <color indexed="81"/>
            <rFont val="Tahoma"/>
            <family val="2"/>
          </rPr>
          <t xml:space="preserve">
2 months impact in 2014</t>
        </r>
      </text>
    </comment>
    <comment ref="M100" authorId="0" shapeId="0" xr:uid="{0D8444D1-9170-4C87-82E3-9DFB8C00A5E3}">
      <text>
        <r>
          <rPr>
            <b/>
            <sz val="9"/>
            <color indexed="81"/>
            <rFont val="Tahoma"/>
            <family val="2"/>
          </rPr>
          <t>Soomit Datta:</t>
        </r>
        <r>
          <rPr>
            <sz val="9"/>
            <color indexed="81"/>
            <rFont val="Tahoma"/>
            <family val="2"/>
          </rPr>
          <t xml:space="preserve">
change of accounting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Z40" authorId="0" shapeId="0" xr:uid="{00000000-0006-0000-0100-000001000000}">
      <text>
        <r>
          <rPr>
            <b/>
            <sz val="9"/>
            <color indexed="81"/>
            <rFont val="Tahoma"/>
            <family val="2"/>
          </rPr>
          <t>Soomit Datta:</t>
        </r>
        <r>
          <rPr>
            <sz val="9"/>
            <color indexed="81"/>
            <rFont val="Tahoma"/>
            <family val="2"/>
          </rPr>
          <t xml:space="preserve">
non-recurring revs increased</t>
        </r>
      </text>
    </comment>
    <comment ref="W43" authorId="0" shapeId="0" xr:uid="{00000000-0006-0000-0100-000002000000}">
      <text>
        <r>
          <rPr>
            <b/>
            <sz val="9"/>
            <color indexed="81"/>
            <rFont val="Tahoma"/>
            <family val="2"/>
          </rPr>
          <t>Soomit Datta:</t>
        </r>
        <r>
          <rPr>
            <sz val="9"/>
            <color indexed="81"/>
            <rFont val="Tahoma"/>
            <family val="2"/>
          </rPr>
          <t xml:space="preserve">
estimate</t>
        </r>
      </text>
    </comment>
    <comment ref="X43" authorId="0" shapeId="0" xr:uid="{00000000-0006-0000-0100-000003000000}">
      <text>
        <r>
          <rPr>
            <b/>
            <sz val="9"/>
            <color indexed="81"/>
            <rFont val="Tahoma"/>
            <family val="2"/>
          </rPr>
          <t>Soomit Datta:</t>
        </r>
        <r>
          <rPr>
            <sz val="9"/>
            <color indexed="81"/>
            <rFont val="Tahoma"/>
            <family val="2"/>
          </rPr>
          <t xml:space="preserve">
estimate</t>
        </r>
      </text>
    </comment>
    <comment ref="AA43" authorId="0" shapeId="0" xr:uid="{00000000-0006-0000-0100-000004000000}">
      <text>
        <r>
          <rPr>
            <b/>
            <sz val="9"/>
            <color indexed="81"/>
            <rFont val="Tahoma"/>
            <family val="2"/>
          </rPr>
          <t>Soomit Datta:</t>
        </r>
        <r>
          <rPr>
            <sz val="9"/>
            <color indexed="81"/>
            <rFont val="Tahoma"/>
            <family val="2"/>
          </rPr>
          <t xml:space="preserve">
estimate</t>
        </r>
      </text>
    </comment>
    <comment ref="AB43" authorId="0" shapeId="0" xr:uid="{00000000-0006-0000-0100-000005000000}">
      <text>
        <r>
          <rPr>
            <b/>
            <sz val="9"/>
            <color indexed="81"/>
            <rFont val="Tahoma"/>
            <family val="2"/>
          </rPr>
          <t>Soomit Datta:</t>
        </r>
        <r>
          <rPr>
            <sz val="9"/>
            <color indexed="81"/>
            <rFont val="Tahoma"/>
            <family val="2"/>
          </rPr>
          <t xml:space="preserve">
estimate</t>
        </r>
      </text>
    </comment>
    <comment ref="AC43" authorId="0" shapeId="0" xr:uid="{00000000-0006-0000-0100-000006000000}">
      <text>
        <r>
          <rPr>
            <b/>
            <sz val="9"/>
            <color indexed="81"/>
            <rFont val="Tahoma"/>
            <family val="2"/>
          </rPr>
          <t>Soomit Datta:</t>
        </r>
        <r>
          <rPr>
            <sz val="9"/>
            <color indexed="81"/>
            <rFont val="Tahoma"/>
            <family val="2"/>
          </rPr>
          <t xml:space="preserve">
estimate</t>
        </r>
      </text>
    </comment>
    <comment ref="B56" authorId="0" shapeId="0" xr:uid="{00000000-0006-0000-0100-000007000000}">
      <text>
        <r>
          <rPr>
            <b/>
            <sz val="9"/>
            <color indexed="81"/>
            <rFont val="Tahoma"/>
            <family val="2"/>
          </rPr>
          <t>Soomit Datta:</t>
        </r>
        <r>
          <rPr>
            <sz val="9"/>
            <color indexed="81"/>
            <rFont val="Tahoma"/>
            <family val="2"/>
          </rPr>
          <t xml:space="preserve">
Includes revenues generated from MCM, Videorola, Metrocarrier, MMDS, Ho1a and the channels produced by 
Megacable</t>
        </r>
      </text>
    </comment>
    <comment ref="B60" authorId="0" shapeId="0" xr:uid="{00000000-0006-0000-0100-000008000000}">
      <text>
        <r>
          <rPr>
            <b/>
            <sz val="9"/>
            <color indexed="81"/>
            <rFont val="Tahoma"/>
            <family val="2"/>
          </rPr>
          <t>Soomit Datta:</t>
        </r>
        <r>
          <rPr>
            <sz val="9"/>
            <color indexed="81"/>
            <rFont val="Tahoma"/>
            <family val="2"/>
          </rPr>
          <t xml:space="preserve">
telecoms and internet to enterprise, corporate, publoc. Incs wholesale and Red Compartida revs</t>
        </r>
      </text>
    </comment>
    <comment ref="B61" authorId="0" shapeId="0" xr:uid="{00000000-0006-0000-0100-000009000000}">
      <text>
        <r>
          <rPr>
            <b/>
            <sz val="9"/>
            <color indexed="81"/>
            <rFont val="Tahoma"/>
            <family val="2"/>
          </rPr>
          <t>Soomit Datta:</t>
        </r>
        <r>
          <rPr>
            <sz val="9"/>
            <color indexed="81"/>
            <rFont val="Tahoma"/>
            <family val="2"/>
          </rPr>
          <t xml:space="preserve">
Telecoms, IT to corporate</t>
        </r>
      </text>
    </comment>
    <comment ref="AR111" authorId="0" shapeId="0" xr:uid="{0BF9459A-8A7E-4549-9E81-870A7C8F0AF2}">
      <text>
        <r>
          <rPr>
            <b/>
            <sz val="9"/>
            <color indexed="81"/>
            <rFont val="Tahoma"/>
            <family val="2"/>
          </rPr>
          <t>Soomit Datta:</t>
        </r>
        <r>
          <rPr>
            <sz val="9"/>
            <color indexed="81"/>
            <rFont val="Tahoma"/>
            <family val="2"/>
          </rPr>
          <t xml:space="preserve">
Adj</t>
        </r>
      </text>
    </comment>
    <comment ref="AV111" authorId="0" shapeId="0" xr:uid="{A29CC9FA-7990-4D95-ABD9-9EFAE45E890F}">
      <text>
        <r>
          <rPr>
            <b/>
            <sz val="9"/>
            <color indexed="81"/>
            <rFont val="Tahoma"/>
            <family val="2"/>
          </rPr>
          <t>Soomit Datta:</t>
        </r>
        <r>
          <rPr>
            <sz val="9"/>
            <color indexed="81"/>
            <rFont val="Tahoma"/>
            <family val="2"/>
          </rPr>
          <t xml:space="preserve">
Adj for AMX payment</t>
        </r>
      </text>
    </comment>
    <comment ref="AR133" authorId="0" shapeId="0" xr:uid="{837CA9C5-22A0-4DDD-A570-5AE0EB88AAA8}">
      <text>
        <r>
          <rPr>
            <b/>
            <sz val="9"/>
            <color indexed="81"/>
            <rFont val="Tahoma"/>
            <family val="2"/>
          </rPr>
          <t>Soomit Datta:</t>
        </r>
        <r>
          <rPr>
            <sz val="9"/>
            <color indexed="81"/>
            <rFont val="Tahoma"/>
            <family val="2"/>
          </rPr>
          <t xml:space="preserve">
Adj</t>
        </r>
      </text>
    </comment>
    <comment ref="AV133" authorId="0" shapeId="0" xr:uid="{54C1B3E4-DB1D-40B3-9FEA-D964EA329527}">
      <text>
        <r>
          <rPr>
            <b/>
            <sz val="9"/>
            <color indexed="81"/>
            <rFont val="Tahoma"/>
            <family val="2"/>
          </rPr>
          <t>Soomit Datta:</t>
        </r>
        <r>
          <rPr>
            <sz val="9"/>
            <color indexed="81"/>
            <rFont val="Tahoma"/>
            <family val="2"/>
          </rPr>
          <t xml:space="preserve">
AMX rev adj</t>
        </r>
      </text>
    </comment>
    <comment ref="AR181" authorId="0" shapeId="0" xr:uid="{47BF5917-2BB4-447E-A54D-CF1EDC7855B6}">
      <text>
        <r>
          <rPr>
            <b/>
            <sz val="9"/>
            <color indexed="81"/>
            <rFont val="Tahoma"/>
            <family val="2"/>
          </rPr>
          <t>Soomit Datta:</t>
        </r>
        <r>
          <rPr>
            <sz val="9"/>
            <color indexed="81"/>
            <rFont val="Tahoma"/>
            <family val="2"/>
          </rPr>
          <t xml:space="preserve">
one-off</t>
        </r>
      </text>
    </comment>
  </commentList>
</comments>
</file>

<file path=xl/sharedStrings.xml><?xml version="1.0" encoding="utf-8"?>
<sst xmlns="http://schemas.openxmlformats.org/spreadsheetml/2006/main" count="4346" uniqueCount="3245">
  <si>
    <t>P&amp;L, R$</t>
  </si>
  <si>
    <t>Reported revenues</t>
  </si>
  <si>
    <t>% change</t>
  </si>
  <si>
    <t>Clean EBITDA</t>
  </si>
  <si>
    <t>Reported EBITDA</t>
  </si>
  <si>
    <t xml:space="preserve"> </t>
  </si>
  <si>
    <t>Depreciation</t>
  </si>
  <si>
    <t>Amortisation</t>
  </si>
  <si>
    <t>EBIT</t>
  </si>
  <si>
    <t>Financial income and expense</t>
  </si>
  <si>
    <t>FX gains/losses</t>
  </si>
  <si>
    <t>Other expenses</t>
  </si>
  <si>
    <t>Income from affiliates/other</t>
  </si>
  <si>
    <t>PBT</t>
  </si>
  <si>
    <t>Tax</t>
  </si>
  <si>
    <t>Minority interest</t>
  </si>
  <si>
    <t>EBITDA</t>
  </si>
  <si>
    <t>Net income</t>
  </si>
  <si>
    <t>Clean EPS</t>
  </si>
  <si>
    <t>DPS</t>
  </si>
  <si>
    <t>EFCF/ share</t>
  </si>
  <si>
    <t>Total</t>
  </si>
  <si>
    <t>Capex</t>
  </si>
  <si>
    <t>as % sales</t>
  </si>
  <si>
    <t>OpFCF</t>
  </si>
  <si>
    <t>Balance sheet</t>
  </si>
  <si>
    <t>Cash/ marketable securities</t>
  </si>
  <si>
    <t>Inventory</t>
  </si>
  <si>
    <t>Receivables</t>
  </si>
  <si>
    <t>Current assets</t>
  </si>
  <si>
    <t>Net PP&amp;E</t>
  </si>
  <si>
    <t>Net intangible assets</t>
  </si>
  <si>
    <t>Non-current other assets</t>
  </si>
  <si>
    <t>Total assets</t>
  </si>
  <si>
    <t>Other current liabilities</t>
  </si>
  <si>
    <t>Accounts payable</t>
  </si>
  <si>
    <t>ST interest-bearing debt</t>
  </si>
  <si>
    <t>Current liabilites</t>
  </si>
  <si>
    <t>LT interest-bearing debt</t>
  </si>
  <si>
    <t>Other long-term liabilities</t>
  </si>
  <si>
    <t>Minority interests</t>
  </si>
  <si>
    <t>Book equity</t>
  </si>
  <si>
    <t>Total liabilities and book equity</t>
  </si>
  <si>
    <t>Check</t>
  </si>
  <si>
    <t>Net debt</t>
  </si>
  <si>
    <t>Change in net debt</t>
  </si>
  <si>
    <t>Cash flow statement</t>
  </si>
  <si>
    <t>Less: Interest payments</t>
  </si>
  <si>
    <t>Less: Tax</t>
  </si>
  <si>
    <t>Less: Working capital movements</t>
  </si>
  <si>
    <t>Less: Restructuring payments</t>
  </si>
  <si>
    <t>Less: Dividends paid</t>
  </si>
  <si>
    <t>Less: Share buyback/ special dividend</t>
  </si>
  <si>
    <t>Less: licence payments</t>
  </si>
  <si>
    <t>Plus: M&amp;A/ other</t>
  </si>
  <si>
    <t>Difference</t>
  </si>
  <si>
    <t>as % of Net PP&amp;E</t>
  </si>
  <si>
    <t>Less: extraordinary depreciation</t>
  </si>
  <si>
    <t>Clean depreciation</t>
  </si>
  <si>
    <t>Av. asset life</t>
  </si>
  <si>
    <t>Gross PP&amp;E</t>
  </si>
  <si>
    <t>Acc. Depreciation</t>
  </si>
  <si>
    <t>Capex/ depreciation</t>
  </si>
  <si>
    <t>Less: extraordinary amortisation</t>
  </si>
  <si>
    <t>Clean amortisation</t>
  </si>
  <si>
    <t>as % of net intangibles</t>
  </si>
  <si>
    <t>Gross intangible assets</t>
  </si>
  <si>
    <t>Accumulated amortisation</t>
  </si>
  <si>
    <t>Acquisition of intangibles</t>
  </si>
  <si>
    <t>Other</t>
  </si>
  <si>
    <t>Gross goodwill</t>
  </si>
  <si>
    <t>Accumulated goodwill amort</t>
  </si>
  <si>
    <t>Net goodwill</t>
  </si>
  <si>
    <t>Acquisition of goodwill</t>
  </si>
  <si>
    <t>Write-down of goodwill</t>
  </si>
  <si>
    <t>Asset breakdown</t>
  </si>
  <si>
    <t>NFA</t>
  </si>
  <si>
    <t>Intangible assets</t>
  </si>
  <si>
    <t>Interest/ debt</t>
  </si>
  <si>
    <t>Interest payments</t>
  </si>
  <si>
    <t>Exceptional interest charges</t>
  </si>
  <si>
    <t>Clean interest payments</t>
  </si>
  <si>
    <t>Interest income</t>
  </si>
  <si>
    <t>Other financial income</t>
  </si>
  <si>
    <t>Average interest rate on cash</t>
  </si>
  <si>
    <t>Change</t>
  </si>
  <si>
    <t>Interest expense</t>
  </si>
  <si>
    <t>Other financial expenses</t>
  </si>
  <si>
    <t>Average interest rate on debt</t>
  </si>
  <si>
    <t>Average interest rate</t>
  </si>
  <si>
    <t>Average debt</t>
  </si>
  <si>
    <t>Gross debt</t>
  </si>
  <si>
    <t xml:space="preserve">Net cash </t>
  </si>
  <si>
    <t>Cash as % of sales</t>
  </si>
  <si>
    <t xml:space="preserve"> - of which short-term debt</t>
  </si>
  <si>
    <t xml:space="preserve"> - of which long-term debt</t>
  </si>
  <si>
    <t xml:space="preserve"> - of which interest bearing long-term</t>
  </si>
  <si>
    <t>Net cash</t>
  </si>
  <si>
    <t>Non-current financial assets</t>
  </si>
  <si>
    <t>Deferred tax assets</t>
  </si>
  <si>
    <t>Working capital analysis</t>
  </si>
  <si>
    <t>% of sales</t>
  </si>
  <si>
    <t>Change in inventory</t>
  </si>
  <si>
    <t>Change in receivables</t>
  </si>
  <si>
    <t>Other current assets</t>
  </si>
  <si>
    <t>Change in other assets</t>
  </si>
  <si>
    <t>Change in payables</t>
  </si>
  <si>
    <t>Change in other liabilities</t>
  </si>
  <si>
    <t>Change in working capital</t>
  </si>
  <si>
    <t>Pension provisions</t>
  </si>
  <si>
    <t>Release</t>
  </si>
  <si>
    <t>Pension and post-employment benefits</t>
  </si>
  <si>
    <t>Cash outflow</t>
  </si>
  <si>
    <t>Provisions</t>
  </si>
  <si>
    <t>Restructuring release</t>
  </si>
  <si>
    <t>Exceptional items</t>
  </si>
  <si>
    <t>Clean tax</t>
  </si>
  <si>
    <t>Less: clean depreciation</t>
  </si>
  <si>
    <t>Less: amortisation</t>
  </si>
  <si>
    <t>Less: interest</t>
  </si>
  <si>
    <t>Adjustments</t>
  </si>
  <si>
    <t>Clean PBT</t>
  </si>
  <si>
    <t>Corporate tax rate</t>
  </si>
  <si>
    <t>Effective tax rate</t>
  </si>
  <si>
    <t>Group PBT</t>
  </si>
  <si>
    <t xml:space="preserve">Tax loss carryforwards </t>
  </si>
  <si>
    <t>Amount used in year</t>
  </si>
  <si>
    <t>Taxable PBT</t>
  </si>
  <si>
    <t>Cash tax paid</t>
  </si>
  <si>
    <t>Tax credit remaining</t>
  </si>
  <si>
    <t>Difference with normalised tax</t>
  </si>
  <si>
    <t>NPV</t>
  </si>
  <si>
    <t>Cash tax</t>
  </si>
  <si>
    <t xml:space="preserve">Cash tax </t>
  </si>
  <si>
    <t>Total cash tax</t>
  </si>
  <si>
    <t>Income from affiliates</t>
  </si>
  <si>
    <t>Clean income from affiliates</t>
  </si>
  <si>
    <t>Financial investments</t>
  </si>
  <si>
    <t>Clean minority interests</t>
  </si>
  <si>
    <t xml:space="preserve">Balance sheet </t>
  </si>
  <si>
    <t>Dividends</t>
  </si>
  <si>
    <t>Share buyback</t>
  </si>
  <si>
    <t>change</t>
  </si>
  <si>
    <t>Exceptional cash-flow items</t>
  </si>
  <si>
    <t>Minority disposal</t>
  </si>
  <si>
    <t>Licences</t>
  </si>
  <si>
    <t>Special dividend</t>
  </si>
  <si>
    <t>Pension top-up</t>
  </si>
  <si>
    <t>Acquisitions</t>
  </si>
  <si>
    <t>Exceptional cash flow items</t>
  </si>
  <si>
    <t>Per share analysis</t>
  </si>
  <si>
    <t>Less: depreciation</t>
  </si>
  <si>
    <t>Less: clean interest</t>
  </si>
  <si>
    <t>Less: associates charges</t>
  </si>
  <si>
    <t>Less: clean tax</t>
  </si>
  <si>
    <t>Less: minority interests</t>
  </si>
  <si>
    <t>Clean earnings</t>
  </si>
  <si>
    <t>Average shares in issue</t>
  </si>
  <si>
    <t>Dividend payments</t>
  </si>
  <si>
    <t>as % of clean EPS</t>
  </si>
  <si>
    <t>as % of reported EPS</t>
  </si>
  <si>
    <t>as % of EFCF</t>
  </si>
  <si>
    <t>Add: depreciation</t>
  </si>
  <si>
    <t>Add: amortisation</t>
  </si>
  <si>
    <t>Less: capex</t>
  </si>
  <si>
    <t>Clean EFCF</t>
  </si>
  <si>
    <t>Clean EFCF/ share</t>
  </si>
  <si>
    <t xml:space="preserve">Debt </t>
  </si>
  <si>
    <t>Repayments</t>
  </si>
  <si>
    <t>Homes passed</t>
  </si>
  <si>
    <t>TV subs</t>
  </si>
  <si>
    <t xml:space="preserve"> of which digital</t>
  </si>
  <si>
    <t>Internet</t>
  </si>
  <si>
    <t>Voice subs</t>
  </si>
  <si>
    <t>Internet subs</t>
  </si>
  <si>
    <t>Unique subs</t>
  </si>
  <si>
    <t>RGU per unique subs</t>
  </si>
  <si>
    <t>Service revenue</t>
  </si>
  <si>
    <t>as % Mexican homes</t>
  </si>
  <si>
    <t>HH</t>
  </si>
  <si>
    <t>Total homes passed Mexico</t>
  </si>
  <si>
    <t>MEGA as %</t>
  </si>
  <si>
    <t>Total pay TV</t>
  </si>
  <si>
    <t>as % total</t>
  </si>
  <si>
    <t>Total BB market</t>
  </si>
  <si>
    <t>Total voice lines</t>
  </si>
  <si>
    <t>Incremental homes passed</t>
  </si>
  <si>
    <t>Unique subs added</t>
  </si>
  <si>
    <t>Total revenue</t>
  </si>
  <si>
    <t>MXN/$</t>
  </si>
  <si>
    <t>Service revs, $</t>
  </si>
  <si>
    <t>Service revenue per unique sub</t>
  </si>
  <si>
    <t>Total RGUs</t>
  </si>
  <si>
    <t>Average revs per RGU, MXN</t>
  </si>
  <si>
    <t>Average revs per RGU, $</t>
  </si>
  <si>
    <t>MXN m</t>
  </si>
  <si>
    <t>Sinaloa and Sonora before expanding along the Pacific coast</t>
  </si>
  <si>
    <t>Voice</t>
  </si>
  <si>
    <t>RGU per unique sub</t>
  </si>
  <si>
    <t>Ps</t>
  </si>
  <si>
    <t>% margin</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</si>
  <si>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</si>
  <si>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</si>
  <si>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</si>
  <si>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</si>
  <si>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</si>
  <si>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</si>
  <si>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</si>
  <si>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</si>
  <si>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</si>
  <si>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</si>
  <si>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</si>
  <si>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</si>
  <si>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</si>
  <si>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</si>
  <si>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</si>
  <si>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</si>
  <si>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</si>
  <si>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</si>
  <si>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</si>
  <si>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</si>
  <si>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</si>
  <si>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</si>
  <si>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</si>
  <si>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Megacable, MXN</t>
  </si>
  <si>
    <t>Q3 14</t>
  </si>
  <si>
    <t>added</t>
  </si>
  <si>
    <t>net adds</t>
  </si>
  <si>
    <t>Financials</t>
  </si>
  <si>
    <t>KPIs</t>
  </si>
  <si>
    <t>ARPU</t>
  </si>
  <si>
    <t>Video</t>
  </si>
  <si>
    <t>Subs</t>
  </si>
  <si>
    <t>Churn</t>
  </si>
  <si>
    <t>Other income (included in unique subs ARPU)</t>
  </si>
  <si>
    <t>Core service revs</t>
  </si>
  <si>
    <t>Other (of Unique subs)</t>
  </si>
  <si>
    <t>ARPU by product</t>
  </si>
  <si>
    <t>Revenue split by product</t>
  </si>
  <si>
    <t>Net adds</t>
  </si>
  <si>
    <t>Tax/other</t>
  </si>
  <si>
    <t>RGU adds</t>
  </si>
  <si>
    <t xml:space="preserve"> of which</t>
  </si>
  <si>
    <t xml:space="preserve"> - Metrocarrier</t>
  </si>
  <si>
    <t xml:space="preserve"> - MCM</t>
  </si>
  <si>
    <t>Total Corporate/carrier</t>
  </si>
  <si>
    <t>Corporate within core</t>
  </si>
  <si>
    <t>Residential within core</t>
  </si>
  <si>
    <t>CPOs</t>
  </si>
  <si>
    <t>Series As (2 for each CPO)</t>
  </si>
  <si>
    <t>Change in Series As</t>
  </si>
  <si>
    <t>Change in CPOs</t>
  </si>
  <si>
    <t>Share count</t>
  </si>
  <si>
    <t>CPO component of shares</t>
  </si>
  <si>
    <t>DPS per CPO</t>
  </si>
  <si>
    <t>dividends declared paid in same year</t>
  </si>
  <si>
    <t>Reported EPS (per CPO)</t>
  </si>
  <si>
    <t>Clean EPS (per CPO)</t>
  </si>
  <si>
    <t>2013 revenue of vs Ps10068 from Q4 release different to annual report (Ps10279)</t>
  </si>
  <si>
    <t xml:space="preserve"> - Ho1a</t>
  </si>
  <si>
    <t>Households target in the longer term?</t>
  </si>
  <si>
    <t>Market share in region</t>
  </si>
  <si>
    <t>Why subs strong in 2014, but arpu weak - targeting different customers</t>
  </si>
  <si>
    <t>Talk through mobile strategy</t>
  </si>
  <si>
    <t>What are the minority interests?</t>
  </si>
  <si>
    <t>Split of fibre and co-ax</t>
  </si>
  <si>
    <t>Network</t>
  </si>
  <si>
    <t>What are the investments being spent on?</t>
  </si>
  <si>
    <t>two thirds of TV subs are digital</t>
  </si>
  <si>
    <t>how much more to spend on digitalisation. What % today?</t>
  </si>
  <si>
    <t>DOCSIS 3.0 throughout the network?</t>
  </si>
  <si>
    <t>Penetration</t>
  </si>
  <si>
    <t>Market share</t>
  </si>
  <si>
    <t>As % unique users</t>
  </si>
  <si>
    <t>Why are unique subs growing so quickly?</t>
  </si>
  <si>
    <t>AMX ARPU</t>
  </si>
  <si>
    <t>Cablecom ARPU</t>
  </si>
  <si>
    <t>Traffic on MVNO</t>
  </si>
  <si>
    <t>Fixed</t>
  </si>
  <si>
    <t>Mobile</t>
  </si>
  <si>
    <t>EBITDA margin</t>
  </si>
  <si>
    <t xml:space="preserve">EBITDA </t>
  </si>
  <si>
    <t>One-offs</t>
  </si>
  <si>
    <t>FCF</t>
  </si>
  <si>
    <t>Risk free rate</t>
  </si>
  <si>
    <t>Spread</t>
  </si>
  <si>
    <t>Cost of debt</t>
  </si>
  <si>
    <t>Post-tax</t>
  </si>
  <si>
    <t>ERP</t>
  </si>
  <si>
    <t>Beta</t>
  </si>
  <si>
    <t>Cost of equity</t>
  </si>
  <si>
    <t>Debt to equity</t>
  </si>
  <si>
    <t>WACC</t>
  </si>
  <si>
    <t>NPV cash flows</t>
  </si>
  <si>
    <t>Growth</t>
  </si>
  <si>
    <t>Terminal multiple</t>
  </si>
  <si>
    <t>Terminal value</t>
  </si>
  <si>
    <t>PV of terminal value</t>
  </si>
  <si>
    <t>EV fixed</t>
  </si>
  <si>
    <t>EV mobile</t>
  </si>
  <si>
    <t>Group EV</t>
  </si>
  <si>
    <t>Equity</t>
  </si>
  <si>
    <t>No of shares</t>
  </si>
  <si>
    <t>Fair value/share</t>
  </si>
  <si>
    <t>adds</t>
  </si>
  <si>
    <t>Other as % total</t>
  </si>
  <si>
    <t>Adj cable EBITDA</t>
  </si>
  <si>
    <t>Consolidated EBITDA</t>
  </si>
  <si>
    <t>difference between consolidated and adj ebitda</t>
  </si>
  <si>
    <t>Fixed, MXN m</t>
  </si>
  <si>
    <t>Current price</t>
  </si>
  <si>
    <t>% upside</t>
  </si>
  <si>
    <t>Mobile, MXN m</t>
  </si>
  <si>
    <t>as % homes passed</t>
  </si>
  <si>
    <t>PCTV - content production co in Mexico, or Central America?</t>
  </si>
  <si>
    <t>paid MXN150m? For the equity….? Any debt consolidated</t>
  </si>
  <si>
    <t>Yoo Zone</t>
  </si>
  <si>
    <t>Market Cap (fully diluted)</t>
  </si>
  <si>
    <t>Less: associates</t>
  </si>
  <si>
    <t>Plus: NPV of future licence costs</t>
  </si>
  <si>
    <t>Plus: Value of minorities</t>
  </si>
  <si>
    <t>Plus: Other liabilities</t>
  </si>
  <si>
    <t xml:space="preserve">Plus: Net debt </t>
  </si>
  <si>
    <t>Less: Accumulated dividend</t>
  </si>
  <si>
    <t>Enterprise value</t>
  </si>
  <si>
    <t>EFCF</t>
  </si>
  <si>
    <t>Adjusted EBITDA</t>
  </si>
  <si>
    <t xml:space="preserve">Less Capex </t>
  </si>
  <si>
    <t xml:space="preserve">Clean Net Interest </t>
  </si>
  <si>
    <t xml:space="preserve">Less clean tax (P&amp;L) </t>
  </si>
  <si>
    <t>Less clean minorities (P&amp;L)</t>
  </si>
  <si>
    <t>Market Cap</t>
  </si>
  <si>
    <t>Less: Value of associates</t>
  </si>
  <si>
    <t>Plus liabilities</t>
  </si>
  <si>
    <t>Adjusted Market Cap</t>
  </si>
  <si>
    <t>Adjusted EPS</t>
  </si>
  <si>
    <t>EV/EBITDA</t>
  </si>
  <si>
    <t>EV/OpFCF</t>
  </si>
  <si>
    <t>EV/FCF</t>
  </si>
  <si>
    <t>P/EFCF</t>
  </si>
  <si>
    <t>Equity FCF yield</t>
  </si>
  <si>
    <t>Dividend yield</t>
  </si>
  <si>
    <t>Buy-back</t>
  </si>
  <si>
    <t>P/E adj</t>
  </si>
  <si>
    <t>MEGACPO</t>
  </si>
  <si>
    <t>Mkt cap, US$</t>
  </si>
  <si>
    <t>EV calculation</t>
  </si>
  <si>
    <t>MEGA unique users</t>
  </si>
  <si>
    <t>c.7500 hotspots today. Where is this going?</t>
  </si>
  <si>
    <t>how is it financed between the operators?</t>
  </si>
  <si>
    <t>TV</t>
  </si>
  <si>
    <t>basic plus</t>
  </si>
  <si>
    <t>unlimited local, 100 local mobile</t>
  </si>
  <si>
    <t>Internet, Mbps</t>
  </si>
  <si>
    <t xml:space="preserve">basic </t>
  </si>
  <si>
    <t>connect digital</t>
  </si>
  <si>
    <t>unlimited local, 50 local mobile</t>
  </si>
  <si>
    <t>Price ex-voice</t>
  </si>
  <si>
    <t>Implied voice</t>
  </si>
  <si>
    <t>Standalone</t>
  </si>
  <si>
    <t>What was wrong with the Moviles MVNO?</t>
  </si>
  <si>
    <t>Plans for wifi</t>
  </si>
  <si>
    <t>locked into this contract?</t>
  </si>
  <si>
    <t>Q&amp;A</t>
  </si>
  <si>
    <t>Televisa - new marketing campaign</t>
  </si>
  <si>
    <t>all will be Izzi</t>
  </si>
  <si>
    <t>Compete in the big cities</t>
  </si>
  <si>
    <t>MEGA</t>
  </si>
  <si>
    <t>DTH being pushed in rural areas</t>
  </si>
  <si>
    <t>No overlap in the cities. 250 cities. Only 2 spots is there overlap</t>
  </si>
  <si>
    <t>No interest in acquiring assets</t>
  </si>
  <si>
    <t>acquired some fibre from electricity co. GTAC</t>
  </si>
  <si>
    <t>Only using 8% of GTAC</t>
  </si>
  <si>
    <t>MVNO with TEF</t>
  </si>
  <si>
    <t>not a good time to do it</t>
  </si>
  <si>
    <t>more focused on broadband</t>
  </si>
  <si>
    <t>not investing time/money or capex. Likely to be the same for the next year or so</t>
  </si>
  <si>
    <t>WiFi</t>
  </si>
  <si>
    <t>people not paying for mobile BB. And just buy minutes</t>
  </si>
  <si>
    <t>Mobiles - data service declining</t>
  </si>
  <si>
    <t>only time no wifi - between job and home, 30 minutes</t>
  </si>
  <si>
    <t>Working on mobile voice side</t>
  </si>
  <si>
    <t>IMS</t>
  </si>
  <si>
    <t xml:space="preserve">Long distance </t>
  </si>
  <si>
    <t>not material. Low single digits</t>
  </si>
  <si>
    <t>"our business is not mobile phones"</t>
  </si>
  <si>
    <t>focus is on broadband, and increasingly video</t>
  </si>
  <si>
    <t>historically, constructing 3-4000 kms per year</t>
  </si>
  <si>
    <t>bad hurricane</t>
  </si>
  <si>
    <t>2000km this year</t>
  </si>
  <si>
    <t>ongoing coverage</t>
  </si>
  <si>
    <t>digitalised: 60% of network. Slow process</t>
  </si>
  <si>
    <t>been changing technology. Back to CISCO - none are the best</t>
  </si>
  <si>
    <t>tried huawei</t>
  </si>
  <si>
    <t>80-90% by end of 2015</t>
  </si>
  <si>
    <t>100% (ish) by 2016</t>
  </si>
  <si>
    <t>speeds from 10 Mbps to 200 Mbps</t>
  </si>
  <si>
    <t>50 to 200 is more SME, corporate</t>
  </si>
  <si>
    <t>20-40 Mbps the more popular level</t>
  </si>
  <si>
    <t>Moving all 5 Mbps to 10 Mbps - keeping pricing the same</t>
  </si>
  <si>
    <t>Naked BB with speeds of 3 Mbps - low income, very cheap</t>
  </si>
  <si>
    <t>Ps150 per month. Tablets or computers also</t>
  </si>
  <si>
    <t>In a contract</t>
  </si>
  <si>
    <t xml:space="preserve">Government giving tablets, to schools </t>
  </si>
  <si>
    <t>% of kids will then look for broadband service</t>
  </si>
  <si>
    <t>In MEGA zones (ex Mexico City, Monterrey)</t>
  </si>
  <si>
    <t>40% of broadband share</t>
  </si>
  <si>
    <t>70%of TV share</t>
  </si>
  <si>
    <t>ULL - possibly in the rural areas</t>
  </si>
  <si>
    <t>very strong backbone with GTAC</t>
  </si>
  <si>
    <t>Details</t>
  </si>
  <si>
    <t>Revenue</t>
  </si>
  <si>
    <t>Audit adjustments explain the difference</t>
  </si>
  <si>
    <t>revs and EBITDA also…</t>
  </si>
  <si>
    <t>ebitda definition</t>
  </si>
  <si>
    <t>cable only</t>
  </si>
  <si>
    <t>business in mexico city + corporate operations</t>
  </si>
  <si>
    <t>51% of Hola</t>
  </si>
  <si>
    <t>TCO also, 51%</t>
  </si>
  <si>
    <t>A and CPOs</t>
  </si>
  <si>
    <t>1 CPO is 2 A stocks</t>
  </si>
  <si>
    <t>A to CPOs and put into the free float</t>
  </si>
  <si>
    <t xml:space="preserve">Owners converted </t>
  </si>
  <si>
    <t>Owners have 65%</t>
  </si>
  <si>
    <t>2 main familes</t>
  </si>
  <si>
    <t>as % homes</t>
  </si>
  <si>
    <t>RGUs per sub</t>
  </si>
  <si>
    <t>Corporate/carrier revs</t>
  </si>
  <si>
    <t>Subs, 000s</t>
  </si>
  <si>
    <t>Market subs, m</t>
  </si>
  <si>
    <t>POPs, m</t>
  </si>
  <si>
    <t>Revs as % gp</t>
  </si>
  <si>
    <t>OpFCF as % gp</t>
  </si>
  <si>
    <t>Blended EBITDA %</t>
  </si>
  <si>
    <t>WiFi EBITDA margin</t>
  </si>
  <si>
    <t>MVNO EBITDA margin</t>
  </si>
  <si>
    <t>AMX</t>
  </si>
  <si>
    <t>2015-20 CAGR</t>
  </si>
  <si>
    <t>Valuation</t>
  </si>
  <si>
    <t>Number of shares, ords</t>
  </si>
  <si>
    <t>Average number of shares, ords</t>
  </si>
  <si>
    <t>Number of shares, Savs</t>
  </si>
  <si>
    <t>Average number of shares, Savs</t>
  </si>
  <si>
    <t>Consolidated Net debt</t>
  </si>
  <si>
    <t>Other financial liabilities</t>
  </si>
  <si>
    <t>Associates (for EV calc)</t>
  </si>
  <si>
    <t>Minorities (for EV calc)</t>
  </si>
  <si>
    <t>Cumulative dividends</t>
  </si>
  <si>
    <t>Tax credit</t>
  </si>
  <si>
    <t>Reported EPS</t>
  </si>
  <si>
    <t>Group forecasts</t>
  </si>
  <si>
    <t>Consolidated Revenues</t>
  </si>
  <si>
    <t>Consolidated Depreciation</t>
  </si>
  <si>
    <t>Consolidated Amortisation</t>
  </si>
  <si>
    <t>Consolidated Capex</t>
  </si>
  <si>
    <t>Consolidated OpFCF</t>
  </si>
  <si>
    <t>Consolidated FCF (OpFCF * (1-tax rate))</t>
  </si>
  <si>
    <t>Minority interests (b/s)</t>
  </si>
  <si>
    <t>Net interest</t>
  </si>
  <si>
    <t>Reported earnings</t>
  </si>
  <si>
    <t>Equity free cash flow</t>
  </si>
  <si>
    <t>Employees</t>
  </si>
  <si>
    <t>Net fixed assets</t>
  </si>
  <si>
    <t>Group Consolidated SACs</t>
  </si>
  <si>
    <t>Group consolidated SRCs</t>
  </si>
  <si>
    <t>Group Prop. SACs</t>
  </si>
  <si>
    <t>Group Prop. SRCs</t>
  </si>
  <si>
    <t>Prop. Revenues</t>
  </si>
  <si>
    <t>Prop. EBITDA</t>
  </si>
  <si>
    <t>Prop. Depreciation</t>
  </si>
  <si>
    <t>Prop. Amortisation</t>
  </si>
  <si>
    <t>Prop. Capex</t>
  </si>
  <si>
    <t>Prop. OpFCF</t>
  </si>
  <si>
    <t>Prop. FCF (OpFCF * (1-tax rate))</t>
  </si>
  <si>
    <t>Prop. Net debt</t>
  </si>
  <si>
    <t>Consolidated service revenue</t>
  </si>
  <si>
    <t>Prop. Service revenue</t>
  </si>
  <si>
    <t>Prop. Subscribers</t>
  </si>
  <si>
    <t>Prop. Pre-pay subs</t>
  </si>
  <si>
    <t>Prop. Contract subs</t>
  </si>
  <si>
    <t>Consolidated subscribers</t>
  </si>
  <si>
    <t>Consolidated Contract subs</t>
  </si>
  <si>
    <t>Consolidated pre-pay subs</t>
  </si>
  <si>
    <t>Prop. Pops</t>
  </si>
  <si>
    <t>Consolidated Pops</t>
  </si>
  <si>
    <t>Domestic Pops</t>
  </si>
  <si>
    <t>Domestic prepay subs</t>
  </si>
  <si>
    <t>Domestic contract subs</t>
  </si>
  <si>
    <t>Domestic mkt share</t>
  </si>
  <si>
    <t>Domestic voice ARPU</t>
  </si>
  <si>
    <t>Domestic data ARPU</t>
  </si>
  <si>
    <t>Domestic MOU</t>
  </si>
  <si>
    <t>Domestic revenue</t>
  </si>
  <si>
    <t>Domestic service revenue</t>
  </si>
  <si>
    <t>Domestic EBITDA</t>
  </si>
  <si>
    <t>Domestic capex</t>
  </si>
  <si>
    <t>Domestic FCF</t>
  </si>
  <si>
    <t>Cumulative Gp consolidated capex</t>
  </si>
  <si>
    <t>Cumulative Gp prop. capex</t>
  </si>
  <si>
    <t>Debt analysis</t>
  </si>
  <si>
    <t>Cash flow</t>
  </si>
  <si>
    <t>Less: Tax paid</t>
  </si>
  <si>
    <t>Less: Change in WC</t>
  </si>
  <si>
    <t>Less: Disposals/acquis.</t>
  </si>
  <si>
    <t>Less: Minority dividends</t>
  </si>
  <si>
    <t>Less: Other</t>
  </si>
  <si>
    <t>EFCF adjustments</t>
  </si>
  <si>
    <t>Adj 1</t>
  </si>
  <si>
    <t>Adj 2</t>
  </si>
  <si>
    <t>Adj 3</t>
  </si>
  <si>
    <t>Adj 4</t>
  </si>
  <si>
    <t>Adj 5</t>
  </si>
  <si>
    <t>Adj 6</t>
  </si>
  <si>
    <t>Divisional (from 2009 onwards)</t>
  </si>
  <si>
    <t>Revenues</t>
  </si>
  <si>
    <t>Content/other</t>
  </si>
  <si>
    <t>Sky</t>
  </si>
  <si>
    <t>Cable</t>
  </si>
  <si>
    <t>Sum of the parts</t>
  </si>
  <si>
    <t>EBITDA 2012</t>
  </si>
  <si>
    <t>EBITDA 2013</t>
  </si>
  <si>
    <t>EBITDA 2014</t>
  </si>
  <si>
    <t>OpFCF 2012</t>
  </si>
  <si>
    <t>OpFCF 2013</t>
  </si>
  <si>
    <t>OpFCF 2014</t>
  </si>
  <si>
    <t>Dividend payment</t>
  </si>
  <si>
    <t>Construction</t>
  </si>
  <si>
    <t>Upgrades</t>
  </si>
  <si>
    <t>CTC, equip</t>
  </si>
  <si>
    <t>Office, IT</t>
  </si>
  <si>
    <t>CPE</t>
  </si>
  <si>
    <t>Data network</t>
  </si>
  <si>
    <t>Metrocarrier</t>
  </si>
  <si>
    <t>Q4 14</t>
  </si>
  <si>
    <t xml:space="preserve"> - PCTV</t>
  </si>
  <si>
    <t>Core margin</t>
  </si>
  <si>
    <t>D&amp;A</t>
  </si>
  <si>
    <t>Minorities</t>
  </si>
  <si>
    <t>Financial net</t>
  </si>
  <si>
    <t>Taxes</t>
  </si>
  <si>
    <t>Associates</t>
  </si>
  <si>
    <t>For snaps</t>
  </si>
  <si>
    <t>Operating income</t>
  </si>
  <si>
    <t>y/y</t>
  </si>
  <si>
    <t>Fin expenses</t>
  </si>
  <si>
    <t>Other (Ho1a, PCTV, Metrocarrier)</t>
  </si>
  <si>
    <t>Net adds, 000s</t>
  </si>
  <si>
    <t>ARPU, MXN</t>
  </si>
  <si>
    <t>RGUs per unique sub</t>
  </si>
  <si>
    <t>Core/cable</t>
  </si>
  <si>
    <t>Carrier/corporate</t>
  </si>
  <si>
    <t>Group</t>
  </si>
  <si>
    <t>Cable opex</t>
  </si>
  <si>
    <t>Corporate/carrier opex</t>
  </si>
  <si>
    <t>Group opex</t>
  </si>
  <si>
    <t>Gross adds</t>
  </si>
  <si>
    <t>Gross RGUs</t>
  </si>
  <si>
    <t>Core/cable opex</t>
  </si>
  <si>
    <t>Gross adds, 000s</t>
  </si>
  <si>
    <t>Total RGUs added</t>
  </si>
  <si>
    <t>Corporate/carrier</t>
  </si>
  <si>
    <t>Step up in core revenue growth sustainable?</t>
  </si>
  <si>
    <t>Capex for 2015?</t>
  </si>
  <si>
    <t>Dividend prospects?</t>
  </si>
  <si>
    <t>Accounts payable in net cash calculation?</t>
  </si>
  <si>
    <t>Homes passed stepped up?  Where going to in 2015</t>
  </si>
  <si>
    <t>How much of incremental opex related to growth</t>
  </si>
  <si>
    <t>Call</t>
  </si>
  <si>
    <t>2014 results exceeded expectations and guidance</t>
  </si>
  <si>
    <t>despite sluggish economy</t>
  </si>
  <si>
    <t>increased competition</t>
  </si>
  <si>
    <t>10 Mb minimum speeds in all markets</t>
  </si>
  <si>
    <t>20, 50, 100 available in many markets</t>
  </si>
  <si>
    <t>new voice platform for telephony</t>
  </si>
  <si>
    <t>aggressive campaigns to target new subs here</t>
  </si>
  <si>
    <t>lower churn in BB and TV</t>
  </si>
  <si>
    <t>less so on voice</t>
  </si>
  <si>
    <t>Operating cost reduction in xx and Guadalajara by YE 2015</t>
  </si>
  <si>
    <t>check</t>
  </si>
  <si>
    <t>by 2% at the revenue level</t>
  </si>
  <si>
    <t>MXN36m accrual due to IFETEL fine</t>
  </si>
  <si>
    <t>PCTV was for 2 months. EBITDA of 8%</t>
  </si>
  <si>
    <t>Q4 13 include an adjustment from auditors</t>
  </si>
  <si>
    <t>Check...MXN36m accrual in EBITDA?</t>
  </si>
  <si>
    <t>Charge at the interest line</t>
  </si>
  <si>
    <t>TV acquisition is geographical proximate to Hevi</t>
  </si>
  <si>
    <t>process was very chaotic, suddenly decided to sell</t>
  </si>
  <si>
    <t>not clear what motivated this</t>
  </si>
  <si>
    <t>Previously, Grupo Hevi was the focus</t>
  </si>
  <si>
    <t>Now…Board and owners will decide. April 24th AGM.</t>
  </si>
  <si>
    <t>dividend policy likely to continue</t>
  </si>
  <si>
    <t>Acquiring very small ops in surrounding area… but they don't move the needle</t>
  </si>
  <si>
    <t>Marketing expenses</t>
  </si>
  <si>
    <t>any guidance here for 2015?</t>
  </si>
  <si>
    <t>**</t>
  </si>
  <si>
    <t>cancelled Yoo campaign when TV went with Izzy</t>
  </si>
  <si>
    <t>using MEGA brand</t>
  </si>
  <si>
    <t>keeps expenses c.2.5% of revs. Likely to continue</t>
  </si>
  <si>
    <t>sales and commissions have increased</t>
  </si>
  <si>
    <t>30-34% increase in sales commissions. So far paying back</t>
  </si>
  <si>
    <t>who is the distribution?</t>
  </si>
  <si>
    <t>some growth, but less than 2014</t>
  </si>
  <si>
    <t>Corporate business?</t>
  </si>
  <si>
    <t>68% (6-8??) growth in corporate/carrier (non-cable)</t>
  </si>
  <si>
    <t>60% in 2015?</t>
  </si>
  <si>
    <t>Telmex</t>
  </si>
  <si>
    <t>1 Jan new tariffs, Claro video</t>
  </si>
  <si>
    <t>OTT to replace pay TV</t>
  </si>
  <si>
    <t>FX</t>
  </si>
  <si>
    <t>Hedged strategy with content providers</t>
  </si>
  <si>
    <t>impact on EBITDA margin</t>
  </si>
  <si>
    <t>new plans this week at the low end. MXN330?</t>
  </si>
  <si>
    <t>MEGA remains 10% cheaper than Telmex, better speeds?</t>
  </si>
  <si>
    <t xml:space="preserve">Evolution (next gen services) </t>
  </si>
  <si>
    <t>60 channels in HD to most subs available</t>
  </si>
  <si>
    <t>time shifted video…due to be launched</t>
  </si>
  <si>
    <t>Megacable play…OTT portal. Best of pay TV, linear, VOD</t>
  </si>
  <si>
    <t>included for FX in 2015</t>
  </si>
  <si>
    <t>7% impact on programming costs</t>
  </si>
  <si>
    <t>capex more than opex</t>
  </si>
  <si>
    <t>Guidance</t>
  </si>
  <si>
    <t>19% revs growth</t>
  </si>
  <si>
    <t>15% EBITDA growth</t>
  </si>
  <si>
    <t>capex</t>
  </si>
  <si>
    <t>$195-200m</t>
  </si>
  <si>
    <t>internet</t>
  </si>
  <si>
    <t>rgus</t>
  </si>
  <si>
    <t>small decline on ARPUs</t>
  </si>
  <si>
    <t>10 on TV, 10 on BB, 13 on telephony (pesos)</t>
  </si>
  <si>
    <t>PCTV</t>
  </si>
  <si>
    <t>revs and margin stable here? Or fairly stable</t>
  </si>
  <si>
    <t>8/9% EBITDA margins will be fairly stable</t>
  </si>
  <si>
    <t>some km on network activated. All organic</t>
  </si>
  <si>
    <t>14% from mass market</t>
  </si>
  <si>
    <t>looking at options</t>
  </si>
  <si>
    <t>MEGA knows the infrastructure being unbundled</t>
  </si>
  <si>
    <t>but don't know the prices</t>
  </si>
  <si>
    <t>long times for agreements to be set, 120 days or so</t>
  </si>
  <si>
    <t>Must offer, carry</t>
  </si>
  <si>
    <t>Share gains?</t>
  </si>
  <si>
    <t>Price increases one year on. Baked into guidance?</t>
  </si>
  <si>
    <t>some new, some from other mobile/fixed. Cable in some areas, Telmex, Axtel</t>
  </si>
  <si>
    <t>a little bit from all operators</t>
  </si>
  <si>
    <t>capillarity is very impressive. Almost everywhere in their service area</t>
  </si>
  <si>
    <t>gain to make PCTV a better program</t>
  </si>
  <si>
    <t>leasing facilities to anyone who wants to make to order new content</t>
  </si>
  <si>
    <t>TV used to be a customer, but no longer in all companies</t>
  </si>
  <si>
    <t>prepared to continue with the company on its own</t>
  </si>
  <si>
    <t>multi-year agreement, some price increases…as part of the business plan</t>
  </si>
  <si>
    <t>all different content providers have contracts - some with price increases, some not</t>
  </si>
  <si>
    <t>Content inflation</t>
  </si>
  <si>
    <t>less pressure recently on content?</t>
  </si>
  <si>
    <t>12% subs in 2015… the least you can expect is a 12% increase in costs?</t>
  </si>
  <si>
    <t>some will be above 12%</t>
  </si>
  <si>
    <t>public offer from Telcel</t>
  </si>
  <si>
    <t>Ex PCTV corporate fell 9% y/y…</t>
  </si>
  <si>
    <t>ex PCTV expect growth of 40% in 2015?</t>
  </si>
  <si>
    <t>Ho1a had a strange quarter in Q3. 50% of FY came in Q3, 70% of EBITDA in Q3</t>
  </si>
  <si>
    <t>that's why corporate looks weaker</t>
  </si>
  <si>
    <t>plus expectations on contract wins with TFE</t>
  </si>
  <si>
    <t>Metrocarrier Q4 13 was very strong, hence Q4 14 a little weaker</t>
  </si>
  <si>
    <t>MXN110m in 2 months</t>
  </si>
  <si>
    <t>MXN680-700m for the FY</t>
  </si>
  <si>
    <t>Corporate/carrier &amp; other</t>
  </si>
  <si>
    <t>MCM</t>
  </si>
  <si>
    <t>Ho1a</t>
  </si>
  <si>
    <t>Corporate/carre &amp; other</t>
  </si>
  <si>
    <t>margin</t>
  </si>
  <si>
    <t>PCTV EBITDA</t>
  </si>
  <si>
    <t>ex-PCTV margin</t>
  </si>
  <si>
    <t>New, MXN m</t>
  </si>
  <si>
    <t>Old</t>
  </si>
  <si>
    <t>Q1 15</t>
  </si>
  <si>
    <t>Revenue less corporate</t>
  </si>
  <si>
    <t>Equipment/other</t>
  </si>
  <si>
    <t>MEGA reported "cable"</t>
  </si>
  <si>
    <t>Clean net income</t>
  </si>
  <si>
    <t>Q2 15</t>
  </si>
  <si>
    <t>Other EBITDA</t>
  </si>
  <si>
    <t>Other EBITDA margin</t>
  </si>
  <si>
    <t>7000 wifi hotspots by YE 15</t>
  </si>
  <si>
    <t>at least 10 Mbps for consumers</t>
  </si>
  <si>
    <t xml:space="preserve"> of which utility contract</t>
  </si>
  <si>
    <t>underlying Ho1a</t>
  </si>
  <si>
    <t>Q2 2015</t>
  </si>
  <si>
    <t>spread of CFP contract</t>
  </si>
  <si>
    <t>why metrocarrier so strong</t>
  </si>
  <si>
    <t>margin development in CFP/Ho1a</t>
  </si>
  <si>
    <t>Change in debt</t>
  </si>
  <si>
    <t>Q3 15</t>
  </si>
  <si>
    <t>Chat with Saul, Dec-15</t>
  </si>
  <si>
    <t>All budget lines closed in November</t>
  </si>
  <si>
    <t>Q4 will be lower</t>
  </si>
  <si>
    <t>2016: 23-25% of sales</t>
  </si>
  <si>
    <t>90% of capex is USD</t>
  </si>
  <si>
    <t>1. very fast pace on corporate segment</t>
  </si>
  <si>
    <t>2. core business</t>
  </si>
  <si>
    <t>2 families…</t>
  </si>
  <si>
    <t>separate</t>
  </si>
  <si>
    <t>Family Buss, Vachoco</t>
  </si>
  <si>
    <t>very conservative</t>
  </si>
  <si>
    <t>not involved in the day to day</t>
  </si>
  <si>
    <t>CEO runs the business</t>
  </si>
  <si>
    <t>Board representation</t>
  </si>
  <si>
    <t>11 people</t>
  </si>
  <si>
    <t>5/6 Family Buss</t>
  </si>
  <si>
    <t>5/6 Part Family Mason, part independent</t>
  </si>
  <si>
    <t>strong numbers</t>
  </si>
  <si>
    <t>solid structure for BB</t>
  </si>
  <si>
    <t>Min speeds of 10MB</t>
  </si>
  <si>
    <t>SKY and Dish are struggling with satellite-only</t>
  </si>
  <si>
    <t>Analogue shut down</t>
  </si>
  <si>
    <t>CRT TV…no signal</t>
  </si>
  <si>
    <t>get a set top box and digital antenna</t>
  </si>
  <si>
    <t>or go to cable.. This is happening</t>
  </si>
  <si>
    <t>one month…x2 sales in single city</t>
  </si>
  <si>
    <t>big cities</t>
  </si>
  <si>
    <t>Dec 31 of this year…move to 2016</t>
  </si>
  <si>
    <t>M&amp;A</t>
  </si>
  <si>
    <t>Board is involved in this</t>
  </si>
  <si>
    <t>Corporate segment…anything in the market</t>
  </si>
  <si>
    <t>Q4 15</t>
  </si>
  <si>
    <t>FY 15a</t>
  </si>
  <si>
    <t>Total revs</t>
  </si>
  <si>
    <t>Core revs</t>
  </si>
  <si>
    <t>Cable EBITDA</t>
  </si>
  <si>
    <t>Total EBITDA</t>
  </si>
  <si>
    <t>2016e</t>
  </si>
  <si>
    <t>% growth</t>
  </si>
  <si>
    <t>Megacable</t>
  </si>
  <si>
    <t>as % EBITDA</t>
  </si>
  <si>
    <t>Q1 16</t>
  </si>
  <si>
    <t>New framework for delivery of TV</t>
  </si>
  <si>
    <t>higher interactivity</t>
  </si>
  <si>
    <t>completely new video experience</t>
  </si>
  <si>
    <t>MEGA Q1 16 (26 April 2016)</t>
  </si>
  <si>
    <t>Will continue to deliver strong figures in 2016</t>
  </si>
  <si>
    <t>3.1 about to be launched</t>
  </si>
  <si>
    <t>trials</t>
  </si>
  <si>
    <t>80% customers are &gt;10MB</t>
  </si>
  <si>
    <t>lower sales to grupo hevi</t>
  </si>
  <si>
    <t>Telephony net adds?</t>
  </si>
  <si>
    <t>added unlimited calls to cellular</t>
  </si>
  <si>
    <t>seen a good response so far</t>
  </si>
  <si>
    <t>focus is mainly video and BB, telephony will be driven by these 2 services`</t>
  </si>
  <si>
    <t>contrast with TV</t>
  </si>
  <si>
    <t>increased commercial credits slightly</t>
  </si>
  <si>
    <t>capex lower</t>
  </si>
  <si>
    <t>net debt</t>
  </si>
  <si>
    <t>CFE credit impacts</t>
  </si>
  <si>
    <t>&gt;MXN1bn in the calculation</t>
  </si>
  <si>
    <t>too early to update guidance</t>
  </si>
  <si>
    <t>video</t>
  </si>
  <si>
    <t>11% growth</t>
  </si>
  <si>
    <t>BB</t>
  </si>
  <si>
    <t>16-17%</t>
  </si>
  <si>
    <t>18-19%</t>
  </si>
  <si>
    <t>gp revs</t>
  </si>
  <si>
    <t>gp EBITDA</t>
  </si>
  <si>
    <t>US$260m</t>
  </si>
  <si>
    <t>BB market</t>
  </si>
  <si>
    <t>adds slightly lower - AMX response?</t>
  </si>
  <si>
    <t>no, continue to grow market share</t>
  </si>
  <si>
    <t>27-28%</t>
  </si>
  <si>
    <t>running slightly below guidance</t>
  </si>
  <si>
    <t>2nd part of March holidays impacted by Easter</t>
  </si>
  <si>
    <t>10MB in almost all markets is the target</t>
  </si>
  <si>
    <t>trying to support 50-100 MB where customers want this</t>
  </si>
  <si>
    <t>Working capital change</t>
  </si>
  <si>
    <t>MXN1.3bn outflow?</t>
  </si>
  <si>
    <t>increase in commercial credits</t>
  </si>
  <si>
    <t>nothing to say</t>
  </si>
  <si>
    <t>no discussions with anyone</t>
  </si>
  <si>
    <t>4-5% homes passed</t>
  </si>
  <si>
    <t>another 3/4 years to go from this</t>
  </si>
  <si>
    <t>capex comes from other areas</t>
  </si>
  <si>
    <t>will remain at the same level of sales??</t>
  </si>
  <si>
    <t>won't dramatically drop in the future…perhaps somewhat</t>
  </si>
  <si>
    <t>went up due to MXN/$</t>
  </si>
  <si>
    <t>Capex, US$</t>
  </si>
  <si>
    <t>challenge is to keep with the needs of subs (speeds)</t>
  </si>
  <si>
    <t>Price rises</t>
  </si>
  <si>
    <t>generally try to keep up with the market in order to meet revs goals</t>
  </si>
  <si>
    <t>normally once a year, varies from region to region</t>
  </si>
  <si>
    <t xml:space="preserve">2-2.5% on average </t>
  </si>
  <si>
    <t>all captured in guidance</t>
  </si>
  <si>
    <t>offering 10 MB - first time they are matching MEGA</t>
  </si>
  <si>
    <t>any implications of this?</t>
  </si>
  <si>
    <t>Star TV</t>
  </si>
  <si>
    <t>MXN149 per month</t>
  </si>
  <si>
    <t>New DTH - any competition?</t>
  </si>
  <si>
    <t>offering is much better than Telmex - higher speeds</t>
  </si>
  <si>
    <t>5/10/20 in almost all areas</t>
  </si>
  <si>
    <t>50/100 in many areas</t>
  </si>
  <si>
    <t>CEO is former CEO of PVTC</t>
  </si>
  <si>
    <t>Any unbundling today or plans?</t>
  </si>
  <si>
    <t>looking at it. prices are not low enough yet</t>
  </si>
  <si>
    <t>strategy is to upgrade customers to higher speeds</t>
  </si>
  <si>
    <t>not really that interested in LLU</t>
  </si>
  <si>
    <t>poles, ducts, rights of use</t>
  </si>
  <si>
    <t>Wholesale provider</t>
  </si>
  <si>
    <t>looking at it…looks potentially interesting</t>
  </si>
  <si>
    <t>this is the most important issue</t>
  </si>
  <si>
    <t>bidding to be a supplier to the wholesale business</t>
  </si>
  <si>
    <t>90 MHz on 700 MHz is the main asset</t>
  </si>
  <si>
    <t>for the last mile</t>
  </si>
  <si>
    <t>want to be a carrier of capacity</t>
  </si>
  <si>
    <t>90-95% of territory covered within existing licence areas</t>
  </si>
  <si>
    <t>not far from this</t>
  </si>
  <si>
    <t>pops growth is 1% or so</t>
  </si>
  <si>
    <t>52km of network, all bi-directional</t>
  </si>
  <si>
    <t>penetration of 50% homes passed today</t>
  </si>
  <si>
    <t>25 states so far</t>
  </si>
  <si>
    <t xml:space="preserve">every type of city </t>
  </si>
  <si>
    <t>Q2 16</t>
  </si>
  <si>
    <t>Cash</t>
  </si>
  <si>
    <t>Dividend</t>
  </si>
  <si>
    <t>Q2 16 results call</t>
  </si>
  <si>
    <t>Penetration of homes passed</t>
  </si>
  <si>
    <t>MXN1,169m dividend in May 16</t>
  </si>
  <si>
    <t>June churn is now comparable with levels prior to the analogue shutdown</t>
  </si>
  <si>
    <t>CFE 60% down, to be done by YE</t>
  </si>
  <si>
    <t>H2 capex will be higher than Q1</t>
  </si>
  <si>
    <t>Price increases</t>
  </si>
  <si>
    <t>April price increase</t>
  </si>
  <si>
    <t>10/15/20 MB price increases in April</t>
  </si>
  <si>
    <t>upside risk to guidance</t>
  </si>
  <si>
    <t>remain conservative</t>
  </si>
  <si>
    <t>not changing at this stage</t>
  </si>
  <si>
    <t>cut internet and telephony adds…guidance 7% on internet, TV no change,  telephony slowdown in the country (25% to 18-20%)</t>
  </si>
  <si>
    <t>Ho1a has healthier margins and better revenue</t>
  </si>
  <si>
    <t>this will not impact revenue materially, ARPU to offset?</t>
  </si>
  <si>
    <t>Budget cuts from the government, impact on corporate?</t>
  </si>
  <si>
    <t>MXN1bn on capex, cash flow statement is at MXN1.4bn</t>
  </si>
  <si>
    <t>Ho1a continues to bring better revs</t>
  </si>
  <si>
    <t>cash versus accrued</t>
  </si>
  <si>
    <t>guidance of 25% of sales remains. $250/260m for the year</t>
  </si>
  <si>
    <t>ARPU uplift from Xview service</t>
  </si>
  <si>
    <t>CFE how much booked?</t>
  </si>
  <si>
    <t>included in guidance</t>
  </si>
  <si>
    <t>customer has to activate service, pay 60 pesos if they want (HD) + other</t>
  </si>
  <si>
    <t>doing demonstration at the moment. Launched only a couple of offers</t>
  </si>
  <si>
    <t>63% of CFE booked</t>
  </si>
  <si>
    <t>addition MXN860m revenue</t>
  </si>
  <si>
    <t>Margin - staying around 44% underlying</t>
  </si>
  <si>
    <t>CFE is 10/12/14% margin</t>
  </si>
  <si>
    <t>Local loop plans</t>
  </si>
  <si>
    <t>looking at MVNO…not sure whether they want to</t>
  </si>
  <si>
    <t>concentrating on corporate and business market</t>
  </si>
  <si>
    <t>prices are coming down, but still x15 more expensive than anyone else</t>
  </si>
  <si>
    <t>Telling Telmex why would they want to lease when they have a better network</t>
  </si>
  <si>
    <t>might work for certain projects</t>
  </si>
  <si>
    <t>but would rather use microwaves</t>
  </si>
  <si>
    <t>IFT has not been effective in setting prices</t>
  </si>
  <si>
    <t>By YE, will be debt free</t>
  </si>
  <si>
    <t>if nothing there, will continue with dividend policy</t>
  </si>
  <si>
    <t>open to acquistion, but no big merger or acquisition plans</t>
  </si>
  <si>
    <t>200,000 for BB in H2 implied?</t>
  </si>
  <si>
    <t>100-150k adds for telephony</t>
  </si>
  <si>
    <t>internet 25% higher in 2016</t>
  </si>
  <si>
    <t>massive ramp up in expectations</t>
  </si>
  <si>
    <t xml:space="preserve">100k from analogue, lost 40k </t>
  </si>
  <si>
    <t>ADDS</t>
  </si>
  <si>
    <t>most of the churn were people who only had video</t>
  </si>
  <si>
    <t>still very strong structural growth</t>
  </si>
  <si>
    <t>11% in video guidance remains</t>
  </si>
  <si>
    <t>Content</t>
  </si>
  <si>
    <t>Strong structural growth on video in Mexico</t>
  </si>
  <si>
    <t>churn is mainly an economic issue</t>
  </si>
  <si>
    <t>A lot of programming rights on OTT which is included in existing subscription price. OTT content is amazing now</t>
  </si>
  <si>
    <t>Always fighting with content providers over better Content</t>
  </si>
  <si>
    <t>Calculated ARPU/RGU</t>
  </si>
  <si>
    <t>ROIC</t>
  </si>
  <si>
    <t>EV/IC</t>
  </si>
  <si>
    <t>ROCE</t>
  </si>
  <si>
    <t>Q3 16</t>
  </si>
  <si>
    <t>Replaced 14 channels from TV and added another 6 - so 20 in total</t>
  </si>
  <si>
    <t>investment of 25-26% of revenue by YE</t>
  </si>
  <si>
    <t>Digitalisation project, + bandwidth supported by this</t>
  </si>
  <si>
    <t>Proud of balance sheet</t>
  </si>
  <si>
    <t>Project will end</t>
  </si>
  <si>
    <t>Q3 16 call</t>
  </si>
  <si>
    <t>Higher churn impacted margins</t>
  </si>
  <si>
    <t>$175m of capex first nine months. $245-250m for FY</t>
  </si>
  <si>
    <t>139k BB</t>
  </si>
  <si>
    <t>130k voice</t>
  </si>
  <si>
    <t>6.2m RGUs, 1.87x</t>
  </si>
  <si>
    <t>bundling and discounts</t>
  </si>
  <si>
    <t>9% of subs have x3 play</t>
  </si>
  <si>
    <t>Subs acquired from Maxcom impacted ARPU?</t>
  </si>
  <si>
    <t>end of Q</t>
  </si>
  <si>
    <t>Termination impacted voice ARPU</t>
  </si>
  <si>
    <t>Bidding on wholesale network?</t>
  </si>
  <si>
    <t>Red Compartida</t>
  </si>
  <si>
    <t>Advantages from being part of group as supplier</t>
  </si>
  <si>
    <t>Wireless, one foot inside the network</t>
  </si>
  <si>
    <t xml:space="preserve">Will not take significant capex </t>
  </si>
  <si>
    <t>will provided infrastructure</t>
  </si>
  <si>
    <t>will be a service provider</t>
  </si>
  <si>
    <t>Consortium has an official spokesman</t>
  </si>
  <si>
    <t>Net adds in video weak</t>
  </si>
  <si>
    <t>economic, analogue switch off</t>
  </si>
  <si>
    <t>include numbers from Maxcom?</t>
  </si>
  <si>
    <t>seasonality of churn</t>
  </si>
  <si>
    <t>20k subs from dropping channels</t>
  </si>
  <si>
    <t>retention plans, back on track</t>
  </si>
  <si>
    <t>added new channels</t>
  </si>
  <si>
    <t>expect to lower churn</t>
  </si>
  <si>
    <t>Q4 should be better</t>
  </si>
  <si>
    <t>impacts ARPU, couldn't recognise revs</t>
  </si>
  <si>
    <t>completely broken off discussions with TV</t>
  </si>
  <si>
    <t>continue to experience growth</t>
  </si>
  <si>
    <t>56-57% pay TV pen…</t>
  </si>
  <si>
    <t>BB similar level also</t>
  </si>
  <si>
    <t>growth also</t>
  </si>
  <si>
    <t>double digit video, BB and telephony to continue for subs in 2017</t>
  </si>
  <si>
    <t>NGV products?</t>
  </si>
  <si>
    <t>fully applied in Q1 17</t>
  </si>
  <si>
    <t>higher markets</t>
  </si>
  <si>
    <t>better programming</t>
  </si>
  <si>
    <t>lower end markets</t>
  </si>
  <si>
    <t>video is a much more mature market</t>
  </si>
  <si>
    <t>BUT, expect to take share from DTH due to x-view</t>
  </si>
  <si>
    <t>seasonality issues</t>
  </si>
  <si>
    <t>Broadband weaker revs sequentially?</t>
  </si>
  <si>
    <t>additions this Q will bring revs in Q4. growth to normalise in q4</t>
  </si>
  <si>
    <t>think will hit 2016 guidance</t>
  </si>
  <si>
    <t>Maxcom subs</t>
  </si>
  <si>
    <t>120 RGUs, some billing problems with the subs</t>
  </si>
  <si>
    <t>definitional issues, didn't buy 100% of subs base</t>
  </si>
  <si>
    <t>40k</t>
  </si>
  <si>
    <t>18k</t>
  </si>
  <si>
    <t>bb</t>
  </si>
  <si>
    <t>telephony</t>
  </si>
  <si>
    <t>Yes, from Maxcom, 18k video in the numbers</t>
  </si>
  <si>
    <t>98k</t>
  </si>
  <si>
    <t>active subs from maxcom</t>
  </si>
  <si>
    <t>TV channels</t>
  </si>
  <si>
    <t>save money from Televisa channels?</t>
  </si>
  <si>
    <t>expect to save, net, some money</t>
  </si>
  <si>
    <t>believe MEGA has acquired "much better" channels</t>
  </si>
  <si>
    <t>will be seen in Q4</t>
  </si>
  <si>
    <t>revenue</t>
  </si>
  <si>
    <t>16-17% growth remains. Completion of Hola project.</t>
  </si>
  <si>
    <t>ebitda</t>
  </si>
  <si>
    <t>from 18% to 17%, lower by MXN100m</t>
  </si>
  <si>
    <t>41% down to &gt;40%</t>
  </si>
  <si>
    <t>churn will come down, need more comms, acquisition costs</t>
  </si>
  <si>
    <t>plan to lower it</t>
  </si>
  <si>
    <t>better exchange rate will support numbers in Q4</t>
  </si>
  <si>
    <t>corporate continues to support good numbers</t>
  </si>
  <si>
    <t>Guidance for 2016</t>
  </si>
  <si>
    <t>11% closer to 9%</t>
  </si>
  <si>
    <t>voice 18% to 25-26%</t>
  </si>
  <si>
    <t>$260m. Going to be $240-245m</t>
  </si>
  <si>
    <t>better cash position, accounts payable</t>
  </si>
  <si>
    <t>Maxcom</t>
  </si>
  <si>
    <t>payment not in capex</t>
  </si>
  <si>
    <t>intangible assets, need to install CPEs</t>
  </si>
  <si>
    <t>cash outflow has been recognised (mostly)</t>
  </si>
  <si>
    <t>Government contracts are how much?</t>
  </si>
  <si>
    <t>very small amount</t>
  </si>
  <si>
    <t>if anything, might be better?</t>
  </si>
  <si>
    <t>CFE has come to an end</t>
  </si>
  <si>
    <t>net cash by YE?</t>
  </si>
  <si>
    <t>exps to be awarded part of CFE in the future</t>
  </si>
  <si>
    <t>new project interested in</t>
  </si>
  <si>
    <t>start at beginning of the year</t>
  </si>
  <si>
    <t>MXN1.1bn will result. This will go out</t>
  </si>
  <si>
    <t>lower q4 capex investment</t>
  </si>
  <si>
    <t>might not be positive net cash for YE</t>
  </si>
  <si>
    <t>there is a new CFE project which might impact YE numbers</t>
  </si>
  <si>
    <t>expect regular churn for these subs</t>
  </si>
  <si>
    <t>$12.9m?</t>
  </si>
  <si>
    <t>Exchange rate</t>
  </si>
  <si>
    <t>5% dollar move</t>
  </si>
  <si>
    <t>1-1.5pp of margin impact over Q3</t>
  </si>
  <si>
    <t>95% of capex is dollar denominated</t>
  </si>
  <si>
    <t>did not lower volumes at all</t>
  </si>
  <si>
    <t>negotiated with vendors</t>
  </si>
  <si>
    <t>10-20 Mbps upgrades</t>
  </si>
  <si>
    <t>BUT</t>
  </si>
  <si>
    <t>MEGA impact in October?</t>
  </si>
  <si>
    <t>90k growth, offset by 30k lost. So 60k target for Q4</t>
  </si>
  <si>
    <t>expect this to be recovered</t>
  </si>
  <si>
    <t>total of 50k vs 3m active video subs, so modest overall</t>
  </si>
  <si>
    <t>x-view experience, ngv experience</t>
  </si>
  <si>
    <t>non linear experience on upper package</t>
  </si>
  <si>
    <t>better speeds on bb</t>
  </si>
  <si>
    <t>wifone service. Fixed phone on mobile, on all hotspots and 4G</t>
  </si>
  <si>
    <t>Costs in USD in programming with new mix?</t>
  </si>
  <si>
    <t>don't have just yet</t>
  </si>
  <si>
    <t>internet 22-22.5% (from 25% previously)</t>
  </si>
  <si>
    <t>IFT provision was MXN24m</t>
  </si>
  <si>
    <t>clean</t>
  </si>
  <si>
    <t>Outstanding questions</t>
  </si>
  <si>
    <t>CFE project still MXN1.8bn?</t>
  </si>
  <si>
    <t>Capex, USD</t>
  </si>
  <si>
    <t xml:space="preserve"> Core business</t>
  </si>
  <si>
    <t xml:space="preserve"> Corporate/other</t>
  </si>
  <si>
    <t xml:space="preserve"> - of which</t>
  </si>
  <si>
    <t>Post Trump</t>
  </si>
  <si>
    <t>NOPLAT</t>
  </si>
  <si>
    <t>EV/EBIT</t>
  </si>
  <si>
    <t>EV/NOPLAT</t>
  </si>
  <si>
    <t>16-18 CAGR</t>
  </si>
  <si>
    <t>EFCF yield</t>
  </si>
  <si>
    <t>Call with Saul, Dec 13th</t>
  </si>
  <si>
    <t>took out televisa contract</t>
  </si>
  <si>
    <t>programming costs. Mix is 75% peso, 25% is dollars</t>
  </si>
  <si>
    <t>peso/$</t>
  </si>
  <si>
    <t>average is 13 pesos, split with programmers</t>
  </si>
  <si>
    <t>20-(7/2)</t>
  </si>
  <si>
    <t>Q1/Q2 programming may be readjusted</t>
  </si>
  <si>
    <t>18.5 is the rate which was booked. May delay some of the projects</t>
  </si>
  <si>
    <t>ex view</t>
  </si>
  <si>
    <t>Next Gen video project (NGV)</t>
  </si>
  <si>
    <t>will charge 55 pesos for this</t>
  </si>
  <si>
    <t>non linear viewing</t>
  </si>
  <si>
    <t>movies recorded in the Cloud</t>
  </si>
  <si>
    <t>able to see up to date series</t>
  </si>
  <si>
    <t>25/27% of revs is capex</t>
  </si>
  <si>
    <t>$230m for 2017</t>
  </si>
  <si>
    <t>$241m for 2016 at 18.5. trying to keep it in this range</t>
  </si>
  <si>
    <t>Over 90% of capex is dollarised</t>
  </si>
  <si>
    <t>post Trump, no change in consumer thinking</t>
  </si>
  <si>
    <t xml:space="preserve">new neighourhood, want underground </t>
  </si>
  <si>
    <t>revs 15%, EBITDA 14%</t>
  </si>
  <si>
    <t>revs 10%, EBITDA 11%</t>
  </si>
  <si>
    <t>capex $230m</t>
  </si>
  <si>
    <t>CFE project will be ended in December</t>
  </si>
  <si>
    <t>Ho1a will therefore decrease</t>
  </si>
  <si>
    <t>nothing in 2017</t>
  </si>
  <si>
    <t>Metrocarrier needs revenue</t>
  </si>
  <si>
    <t>margins coming from TV savings</t>
  </si>
  <si>
    <t>MXN30m/month net saving</t>
  </si>
  <si>
    <t>margins up</t>
  </si>
  <si>
    <t>more and more subs coming on BB</t>
  </si>
  <si>
    <t>40% of subs don't have BB. When they take BB, will be incremental</t>
  </si>
  <si>
    <t>decrease churn</t>
  </si>
  <si>
    <t>ngv service</t>
  </si>
  <si>
    <t>Comcast has it perhaps</t>
  </si>
  <si>
    <t>promotions on specific areas where churn high</t>
  </si>
  <si>
    <t>Televisa channels - lost 60k, 20k due to TV</t>
  </si>
  <si>
    <t>Used to have 16 and 4 contracts. Tried to eliminate the x16 in late Oct, but TV blocked due to legal reasons</t>
  </si>
  <si>
    <t>1/ wanted to change from $ to pesos. No sense to price in $</t>
  </si>
  <si>
    <t>2/ all 16 in all packages, from low end to high end</t>
  </si>
  <si>
    <t>Shut down around Sept 9th</t>
  </si>
  <si>
    <t>4 channels, telemundo, channel 2 delay, 2 sports</t>
  </si>
  <si>
    <t>TV dropped these channels also, and MEGA in a legal dispute with them</t>
  </si>
  <si>
    <t>must carry, offer - 2 and 5 included, and the most important ones</t>
  </si>
  <si>
    <t>replaced with 25 channels</t>
  </si>
  <si>
    <t>international content, replaced like for like</t>
  </si>
  <si>
    <t>50/50 split before</t>
  </si>
  <si>
    <t>programming is 25-28% of video revenue</t>
  </si>
  <si>
    <t>Survey a few weeks ago</t>
  </si>
  <si>
    <t>lower income groups are not connected</t>
  </si>
  <si>
    <t>&gt;60% of A and Bs are using OTT</t>
  </si>
  <si>
    <t>7% of total households are A and B</t>
  </si>
  <si>
    <t>People don’t cut chord as won't have Olympics, sport etc</t>
  </si>
  <si>
    <t>TV penetration is 60% or so</t>
  </si>
  <si>
    <t>MEGA is not that involved, 4% involved. Capex will be minimum</t>
  </si>
  <si>
    <t>helpful to be involved this</t>
  </si>
  <si>
    <t>no vote</t>
  </si>
  <si>
    <t>End 2017 for Red start</t>
  </si>
  <si>
    <t>Axtel is the only thing which is interesting</t>
  </si>
  <si>
    <t>no cable</t>
  </si>
  <si>
    <t>corporate</t>
  </si>
  <si>
    <t>dividend payments, April meeting approves</t>
  </si>
  <si>
    <t>CFE 7-8% margin</t>
  </si>
  <si>
    <t>$120m</t>
  </si>
  <si>
    <t>Unbundling?</t>
  </si>
  <si>
    <t>Not interested?</t>
  </si>
  <si>
    <t>Perhaps in fibre areas</t>
  </si>
  <si>
    <t>Wouldn't go into Televisa areas</t>
  </si>
  <si>
    <t>programming costs</t>
  </si>
  <si>
    <t>peso</t>
  </si>
  <si>
    <t>dollar</t>
  </si>
  <si>
    <t>q3</t>
  </si>
  <si>
    <t>q4</t>
  </si>
  <si>
    <t>total opex</t>
  </si>
  <si>
    <t>as margin</t>
  </si>
  <si>
    <t>this churn</t>
  </si>
  <si>
    <t>narcos program was cancelled</t>
  </si>
  <si>
    <t>Implied tax rate</t>
  </si>
  <si>
    <t>Q3</t>
  </si>
  <si>
    <t>Dec</t>
  </si>
  <si>
    <t>Q2</t>
  </si>
  <si>
    <t>Capex/sales</t>
  </si>
  <si>
    <t>Q4 16</t>
  </si>
  <si>
    <t xml:space="preserve"> of which CFE</t>
  </si>
  <si>
    <t>Adj net debt</t>
  </si>
  <si>
    <t>vs LTM EBITDA</t>
  </si>
  <si>
    <t>Q1 17</t>
  </si>
  <si>
    <t>Q2 17</t>
  </si>
  <si>
    <t>Meeting with CEO, March 2017</t>
  </si>
  <si>
    <t>Broadband to surpass TV penetration</t>
  </si>
  <si>
    <t>Mobile - wifi mesh with MVNO, looking at Comcast effrorts who are launching soon</t>
  </si>
  <si>
    <t>Telenet, 70% of modems are dual</t>
  </si>
  <si>
    <t>Growing business rapidly</t>
  </si>
  <si>
    <t>higher pace then residential</t>
  </si>
  <si>
    <t>15% share of SMEs only, taking share from Telmex</t>
  </si>
  <si>
    <t>look to access Telmex here</t>
  </si>
  <si>
    <t>Pay TV dominance</t>
  </si>
  <si>
    <t>Should prevent TV from growing wired network in new areas</t>
  </si>
  <si>
    <t>Keep TV from having exclusive programming from SKY</t>
  </si>
  <si>
    <t>will be obligated to sell sporting content</t>
  </si>
  <si>
    <t>forced to have minimum tariffs</t>
  </si>
  <si>
    <t>lowering their price on DTH, some thresholds</t>
  </si>
  <si>
    <t>Won't disaggregate service on TV channels</t>
  </si>
  <si>
    <t>MEGA to pick up channels</t>
  </si>
  <si>
    <t>TV dispute</t>
  </si>
  <si>
    <t>Some channels charged in US dollars.  Some make sense, others should be in pesos</t>
  </si>
  <si>
    <t>carry all the channels on the lower tier</t>
  </si>
  <si>
    <t>7 channels from Discovery, 3 on lower tier for instance</t>
  </si>
  <si>
    <t>never got any advertising deals</t>
  </si>
  <si>
    <t>15-18% of total expenses are in USD</t>
  </si>
  <si>
    <t>content is 25% of video revenue</t>
  </si>
  <si>
    <t>35% in the US. video arpu is close to $100 in some cases</t>
  </si>
  <si>
    <t>5-7 year plan</t>
  </si>
  <si>
    <t>SKY won't be able to cut prices</t>
  </si>
  <si>
    <t>Broadband</t>
  </si>
  <si>
    <t>speeds up, prices up.</t>
  </si>
  <si>
    <t>ARPU should go up (per home)</t>
  </si>
  <si>
    <t>ARPU is MXN360-370</t>
  </si>
  <si>
    <t>Fixed telephony</t>
  </si>
  <si>
    <t>MXN50 in a bundle</t>
  </si>
  <si>
    <t>MXN200 on a standalone basis</t>
  </si>
  <si>
    <t>In-region stats</t>
  </si>
  <si>
    <t xml:space="preserve">BB - 65-70% penetration ultimately. </t>
  </si>
  <si>
    <t>57% video and BB penetration, in main urban areas where they are</t>
  </si>
  <si>
    <t>70% share on video</t>
  </si>
  <si>
    <t>52% share on BB</t>
  </si>
  <si>
    <t>share on BB can increase</t>
  </si>
  <si>
    <t>Competition</t>
  </si>
  <si>
    <t>some selected fibre. Some gpon</t>
  </si>
  <si>
    <t>no excess construction</t>
  </si>
  <si>
    <t>Unbundling</t>
  </si>
  <si>
    <t>SKY will not work for unbundling</t>
  </si>
  <si>
    <t>Mexico City - SKY has &gt;50% share of video, most of these subs take a Telmex service</t>
  </si>
  <si>
    <t>X-vision April 4th</t>
  </si>
  <si>
    <t>not fully cloud based, hybrid</t>
  </si>
  <si>
    <t>new subs will have a new set top box</t>
  </si>
  <si>
    <t>existing will have an upgrade</t>
  </si>
  <si>
    <t>15-20% are A/B</t>
  </si>
  <si>
    <t>20% is C</t>
  </si>
  <si>
    <t>rest is D/E</t>
  </si>
  <si>
    <t>Income groups</t>
  </si>
  <si>
    <t>We don't see congestion on the nodes</t>
  </si>
  <si>
    <t>Speeds</t>
  </si>
  <si>
    <t>10-20 Mbps is the average speed</t>
  </si>
  <si>
    <t>Consumption</t>
  </si>
  <si>
    <t>US is close to 100 GB per month, 200 GB in HK</t>
  </si>
  <si>
    <t>Business services</t>
  </si>
  <si>
    <t>revenue, what it loses on the contract, 2bn metrocarrier and hola combined. Same as 2016</t>
  </si>
  <si>
    <t>30% growth on metrocarrier, Hola and MCN combined</t>
  </si>
  <si>
    <t>complementary, if it makes sense</t>
  </si>
  <si>
    <t>companies with innovative services</t>
  </si>
  <si>
    <t>been buying up some fibre rings</t>
  </si>
  <si>
    <t xml:space="preserve">With Hola and Metrocarrier </t>
  </si>
  <si>
    <t>will drop as % sales</t>
  </si>
  <si>
    <t>just finished digitalising</t>
  </si>
  <si>
    <t>low 20%s 2019/20</t>
  </si>
  <si>
    <t>labour, hardware supporting the poles is the local peso component</t>
  </si>
  <si>
    <t>Televisa deal</t>
  </si>
  <si>
    <t>have added value to shareholders in the meantime</t>
  </si>
  <si>
    <t>will be a part of a bigger group at some point</t>
  </si>
  <si>
    <t xml:space="preserve">SKY has had exclusives, would be a worry. </t>
  </si>
  <si>
    <t>Spin cable assets at TV, and merge the two assets</t>
  </si>
  <si>
    <t>Televisa condition: want control</t>
  </si>
  <si>
    <t>need to consolidate, so need 51%</t>
  </si>
  <si>
    <t>MEGA think TV not as attached to cable as previously</t>
  </si>
  <si>
    <t>like an X1 platform (Comcast)</t>
  </si>
  <si>
    <t>retained Cisco to develop their system</t>
  </si>
  <si>
    <t xml:space="preserve">Comcast has licenced X1 to Shaw and other providers </t>
  </si>
  <si>
    <t>on a $1-2 per month basis</t>
  </si>
  <si>
    <t>X vision not as good as X1….as it doesn't have the apps included</t>
  </si>
  <si>
    <t>channel change, catch up, reverse IP is all faster</t>
  </si>
  <si>
    <t>cheaper than licensing for MEGA</t>
  </si>
  <si>
    <t>Would not look to buy outside of Mexico</t>
  </si>
  <si>
    <t>85-92% is the issue</t>
  </si>
  <si>
    <t>30% by March 30, 2018</t>
  </si>
  <si>
    <t>looking to see if can do something with TEF</t>
  </si>
  <si>
    <t>can't be exclusive</t>
  </si>
  <si>
    <t>pricing is</t>
  </si>
  <si>
    <t>best network is AT&amp;T at the moment</t>
  </si>
  <si>
    <t>Telcel is as bad as TEF</t>
  </si>
  <si>
    <t>AMX bought up SIMs from Virgin Mobile</t>
  </si>
  <si>
    <t>Customers?</t>
  </si>
  <si>
    <t>TEF, MVNOs, Pemex (200,000 employees)</t>
  </si>
  <si>
    <t>OXO will be an MVNO, sell 70% of all recharges</t>
  </si>
  <si>
    <t>Vending machines etc etc</t>
  </si>
  <si>
    <t>In 2 years time, AMX and AT&amp;T will deploy</t>
  </si>
  <si>
    <t xml:space="preserve">cheaper for them to overflow onto </t>
  </si>
  <si>
    <t>MEGA - to be a customer, can't have influence. Don't attend Board meetings; govt didn't set the level</t>
  </si>
  <si>
    <t>but 4% seems to have been a decent fit</t>
  </si>
  <si>
    <t>Guadalajara, Toluca, Mexico City, Monterrey</t>
  </si>
  <si>
    <t>has to be urban, suburban and rural</t>
  </si>
  <si>
    <t>already doing provisions on fibre to sites</t>
  </si>
  <si>
    <t>most towers are on AMT at the moment</t>
  </si>
  <si>
    <t>some on Telesites</t>
  </si>
  <si>
    <t>best locations, and have some space</t>
  </si>
  <si>
    <t>signed with AMT first as they have the largest footprint (??)</t>
  </si>
  <si>
    <t>will increase leverage to keep up with dividend over the coming years</t>
  </si>
  <si>
    <t>borrowing to pay it</t>
  </si>
  <si>
    <t>15% of EBITDA is a recommendation; but 20% was paid last year and likely next year</t>
  </si>
  <si>
    <t>declared April, paid May/June</t>
  </si>
  <si>
    <t>Acquisition cost is $25</t>
  </si>
  <si>
    <t>ex CPE, includes the drop</t>
  </si>
  <si>
    <t>60% or so have a drop</t>
  </si>
  <si>
    <t xml:space="preserve">Had a reduction this year, will stay around 20% </t>
  </si>
  <si>
    <t>P&amp;L and cash</t>
  </si>
  <si>
    <t>Hola, Metrocarrier</t>
  </si>
  <si>
    <t>Capex/sales - MXN22/$</t>
  </si>
  <si>
    <t>Megacable MXN mn</t>
  </si>
  <si>
    <t>HP</t>
  </si>
  <si>
    <t>Customers</t>
  </si>
  <si>
    <t>Fixed Tel</t>
  </si>
  <si>
    <t>Revenues:</t>
  </si>
  <si>
    <t>Telephony</t>
  </si>
  <si>
    <t>Cable fixed service</t>
  </si>
  <si>
    <t>Total service</t>
  </si>
  <si>
    <t>B2B</t>
  </si>
  <si>
    <t xml:space="preserve">Total  </t>
  </si>
  <si>
    <t>Programming % video revenues</t>
  </si>
  <si>
    <t>Franchise fees % revenues</t>
  </si>
  <si>
    <t>Capex/sales - MXN19/$ (base case)</t>
  </si>
  <si>
    <t>growth</t>
  </si>
  <si>
    <t>%</t>
  </si>
  <si>
    <t>Revs, MXN bn</t>
  </si>
  <si>
    <t>Capex, $m</t>
  </si>
  <si>
    <t>EBITDA, MXN bn</t>
  </si>
  <si>
    <t>NSR</t>
  </si>
  <si>
    <t xml:space="preserve">Q1 </t>
  </si>
  <si>
    <t>as % guidance</t>
  </si>
  <si>
    <t>Dividend…1291 pesos</t>
  </si>
  <si>
    <t>20% of 2016 EBITDA</t>
  </si>
  <si>
    <t>May 2017, one installment</t>
  </si>
  <si>
    <t>Internet strongest</t>
  </si>
  <si>
    <t>Public wifi - 150% increase</t>
  </si>
  <si>
    <t>Telephony - share increasing</t>
  </si>
  <si>
    <t>TV market is declining. What's happening here?</t>
  </si>
  <si>
    <t>Unbundling opportunity</t>
  </si>
  <si>
    <t>Video - more restrictive sales, and macro</t>
  </si>
  <si>
    <t>video share is the highest of all lines</t>
  </si>
  <si>
    <t>Positive adds in Qs to come</t>
  </si>
  <si>
    <t>more selective marketing</t>
  </si>
  <si>
    <t>focus on customer retention</t>
  </si>
  <si>
    <t>End of Q trends gave confidence</t>
  </si>
  <si>
    <t>Remain upbeat</t>
  </si>
  <si>
    <t>Biz services</t>
  </si>
  <si>
    <t>Ho1a, MCM, Metrocarrier - good growth</t>
  </si>
  <si>
    <t>Ho1a - 100% growth ex utility contract</t>
  </si>
  <si>
    <t>Metro sharing biz, managed services</t>
  </si>
  <si>
    <t>Continue to expand</t>
  </si>
  <si>
    <t>Opening new offices, complete comms solutions for large corporates</t>
  </si>
  <si>
    <t xml:space="preserve">&gt;20k km, </t>
  </si>
  <si>
    <t>synergies to help service corporates</t>
  </si>
  <si>
    <t>Guidance in tact?</t>
  </si>
  <si>
    <t>on track with BB and telephony</t>
  </si>
  <si>
    <t>change of video strategy</t>
  </si>
  <si>
    <t>will miss the video subs</t>
  </si>
  <si>
    <t>5% growth, down from 8%</t>
  </si>
  <si>
    <t>Chivas has signed a contract with Televisa</t>
  </si>
  <si>
    <t>no TV channels, lack of football content</t>
  </si>
  <si>
    <t>Cord cutting?</t>
  </si>
  <si>
    <t>X view in next couple of weeks</t>
  </si>
  <si>
    <t>Subs can have BB, wifi, telephony and video across platforms</t>
  </si>
  <si>
    <t>6m OTT subs in Mexico, some are paying. Netflix have 4m, rest are Blim and Claro Video bundled</t>
  </si>
  <si>
    <t>Mid to upper economic level, no changes to trends here, no chord cutting</t>
  </si>
  <si>
    <t>Hit from economy where selling aggressively</t>
  </si>
  <si>
    <t>MEGA positive trend to recover</t>
  </si>
  <si>
    <t>Cash higher than accrued. MXN2bn - why so high?</t>
  </si>
  <si>
    <t>Think will hit $240m, still on the horizon</t>
  </si>
  <si>
    <t>X-view</t>
  </si>
  <si>
    <t>Nov, 18,000 subs</t>
  </si>
  <si>
    <t>OTT, limited interface. Some Content to our subs. Bundled with video, MEGA play</t>
  </si>
  <si>
    <t>Telephony churn</t>
  </si>
  <si>
    <t>Guidance remains.</t>
  </si>
  <si>
    <t>Star TV into 19 states</t>
  </si>
  <si>
    <t>Not seeing churn to Star TV</t>
  </si>
  <si>
    <t>IFRS 15 coming on Jan 1 2017</t>
  </si>
  <si>
    <t>Give box for free? No</t>
  </si>
  <si>
    <t>Collect rent for monthly use for equipment</t>
  </si>
  <si>
    <t>Launched a lower speed and less channel offer</t>
  </si>
  <si>
    <t>Price MXN349, from 449 offer</t>
  </si>
  <si>
    <t>Corporate segment</t>
  </si>
  <si>
    <t>Very happy with Ho1a and Metrocarrier</t>
  </si>
  <si>
    <t>only a small part of CFE this Q</t>
  </si>
  <si>
    <t>Ho1a - very strong organic growth. New projects also</t>
  </si>
  <si>
    <t>Confident can reach guidance on corporate</t>
  </si>
  <si>
    <t>60% increase for revenue. Doing very well</t>
  </si>
  <si>
    <t>down a little due to bundling</t>
  </si>
  <si>
    <t>19-20%</t>
  </si>
  <si>
    <t>Unique</t>
  </si>
  <si>
    <t>same/increase</t>
  </si>
  <si>
    <t xml:space="preserve">2.0x soon, 2.3x, 2.4x </t>
  </si>
  <si>
    <t>10% growth</t>
  </si>
  <si>
    <t>12% growth</t>
  </si>
  <si>
    <t>will hit this if churn down</t>
  </si>
  <si>
    <t>Q3 17</t>
  </si>
  <si>
    <t>Q4 17</t>
  </si>
  <si>
    <t>71% of portfolio are x3 play, vs 61% at the end of 2016</t>
  </si>
  <si>
    <t>6,700 hot spots, a 26% increase</t>
  </si>
  <si>
    <t>53% of subs are &gt;20 Mbps, 36% vs 1 year ago</t>
  </si>
  <si>
    <t>6.4m devices connected to public network on a monthly basis</t>
  </si>
  <si>
    <t>56000 km of last mile</t>
  </si>
  <si>
    <t>Altan contributing to Corporate segment also</t>
  </si>
  <si>
    <t>SKY launched telecom a few days ago, prices cheap</t>
  </si>
  <si>
    <t>Will monitor new product</t>
  </si>
  <si>
    <t>20% of EBITDA again?</t>
  </si>
  <si>
    <t>revs</t>
  </si>
  <si>
    <t>metro</t>
  </si>
  <si>
    <t xml:space="preserve">rest </t>
  </si>
  <si>
    <t>11-12%</t>
  </si>
  <si>
    <t>12-14%</t>
  </si>
  <si>
    <t>margin expansion from BB participation, metro carriers which have a higher margin</t>
  </si>
  <si>
    <t>mass market</t>
  </si>
  <si>
    <t xml:space="preserve">7-8% </t>
  </si>
  <si>
    <t>$270</t>
  </si>
  <si>
    <t>26-28% of sales</t>
  </si>
  <si>
    <t>Financials guidance</t>
  </si>
  <si>
    <t>Owning the asset is an advantage</t>
  </si>
  <si>
    <t>Yes</t>
  </si>
  <si>
    <t>RGU guidance</t>
  </si>
  <si>
    <t>A big customer of Metrocarrier</t>
  </si>
  <si>
    <t>Red was born to be a wholesale carrier</t>
  </si>
  <si>
    <t>Looking into an MVNO</t>
  </si>
  <si>
    <t>would like to do with someone neutral</t>
  </si>
  <si>
    <t>Unique case in the world</t>
  </si>
  <si>
    <t>2018 capex</t>
  </si>
  <si>
    <t>not concluded</t>
  </si>
  <si>
    <t>Hola</t>
  </si>
  <si>
    <t>Special project with higher margins</t>
  </si>
  <si>
    <t>in 2016 there was a cancellation of deferred taxes</t>
  </si>
  <si>
    <t>same in 2017, on a smaller scale</t>
  </si>
  <si>
    <t>will start going up in 2018/19….23/24% in a few years. Slow progress</t>
  </si>
  <si>
    <t>Is this a more likely level going forward?</t>
  </si>
  <si>
    <t xml:space="preserve">will continue to expand network </t>
  </si>
  <si>
    <t>18-20% going forward</t>
  </si>
  <si>
    <t>Seasonality</t>
  </si>
  <si>
    <t>Elections don't really have an impact</t>
  </si>
  <si>
    <t>Ad is 2% of revs</t>
  </si>
  <si>
    <t>Altough govt tends to boost economy ahead of election</t>
  </si>
  <si>
    <t>Ability to raise prices</t>
  </si>
  <si>
    <t>Can offer more capacity…within guidance</t>
  </si>
  <si>
    <t>More for more</t>
  </si>
  <si>
    <t xml:space="preserve">Lowest speed </t>
  </si>
  <si>
    <t>2 years ago</t>
  </si>
  <si>
    <t>5-10</t>
  </si>
  <si>
    <t>Red is in the process of coming to its offer</t>
  </si>
  <si>
    <t>so far, looks like pricing is getting to the right point where we can do business</t>
  </si>
  <si>
    <t>execution, cost, equipment</t>
  </si>
  <si>
    <t>CPE equipment also a consideration</t>
  </si>
  <si>
    <t>all new phones</t>
  </si>
  <si>
    <t>looks attractive at this point</t>
  </si>
  <si>
    <t>5G as a disruptor of fixed?</t>
  </si>
  <si>
    <t>fixed will be much higher than 5G by the time it comes to mexico</t>
  </si>
  <si>
    <t>wireless gets saturated at some point</t>
  </si>
  <si>
    <t>3.6x people per home in mexico. Network services the whole family</t>
  </si>
  <si>
    <t>70% of total info is video</t>
  </si>
  <si>
    <t>Digitalisation</t>
  </si>
  <si>
    <t>this will increase, included in capex</t>
  </si>
  <si>
    <t>will reach 90% soon, 100% at a later date</t>
  </si>
  <si>
    <t>5G is seen as a wireless service</t>
  </si>
  <si>
    <t>Q1 18</t>
  </si>
  <si>
    <t>Core OpEx</t>
  </si>
  <si>
    <t>Q2 18</t>
  </si>
  <si>
    <t>diff vs old</t>
  </si>
  <si>
    <t>New consolidated EBITDA</t>
  </si>
  <si>
    <t>New cable EBITDA</t>
  </si>
  <si>
    <t>Cable revenue</t>
  </si>
  <si>
    <t>EBITDA cable</t>
  </si>
  <si>
    <t>Consolidated EBITDA (OLD)</t>
  </si>
  <si>
    <t>NEW A/C</t>
  </si>
  <si>
    <t>OLD A/C</t>
  </si>
  <si>
    <t>New capex</t>
  </si>
  <si>
    <t>Capex (old)</t>
  </si>
  <si>
    <t xml:space="preserve"> as % sales</t>
  </si>
  <si>
    <t>change in capex</t>
  </si>
  <si>
    <t>Plus divi</t>
  </si>
  <si>
    <t>Q3 18</t>
  </si>
  <si>
    <t>Q4 18</t>
  </si>
  <si>
    <t>5-6%</t>
  </si>
  <si>
    <t>11-13%</t>
  </si>
  <si>
    <t>15-16%</t>
  </si>
  <si>
    <t>9-10%</t>
  </si>
  <si>
    <t>Guidance for 2019</t>
  </si>
  <si>
    <t>Room to grow</t>
  </si>
  <si>
    <t>Even with an economic slowdown</t>
  </si>
  <si>
    <t>10-11%</t>
  </si>
  <si>
    <t>10-11% at least</t>
  </si>
  <si>
    <t>stable margins</t>
  </si>
  <si>
    <t>$330m</t>
  </si>
  <si>
    <t>30% of sales</t>
  </si>
  <si>
    <t>Includes conclusion of special projects, submarine cable, other projects</t>
  </si>
  <si>
    <t xml:space="preserve">MVNO </t>
  </si>
  <si>
    <t>trialling 80k subs</t>
  </si>
  <si>
    <t>ARPU of ~MXN130</t>
  </si>
  <si>
    <t>Add on to existing subs</t>
  </si>
  <si>
    <t>25-30%</t>
  </si>
  <si>
    <t>Entire corporate</t>
  </si>
  <si>
    <t>Revs growth</t>
  </si>
  <si>
    <t>Conservative also on exchange rate…assume some MXN devaluation</t>
  </si>
  <si>
    <t>Had a very good churn Q</t>
  </si>
  <si>
    <t>Cyberattack</t>
  </si>
  <si>
    <t>Impact was MXN60m</t>
  </si>
  <si>
    <t>$3m</t>
  </si>
  <si>
    <t>only a small amount relates to Altan</t>
  </si>
  <si>
    <t xml:space="preserve">Some problems with iPhones </t>
  </si>
  <si>
    <t>Android - happy to bring on board</t>
  </si>
  <si>
    <t>No plans to subsidise mobile handsets</t>
  </si>
  <si>
    <t>Capex as % revs….will remain at current levels going forward</t>
  </si>
  <si>
    <t>ARPU is lower than in the US</t>
  </si>
  <si>
    <t>2-3 year will stay at the same level</t>
  </si>
  <si>
    <t>network, CPE and equipment</t>
  </si>
  <si>
    <t>Normally try to increase with inflation</t>
  </si>
  <si>
    <t>haven't done so fully</t>
  </si>
  <si>
    <t>economic, income levels, not always a factor</t>
  </si>
  <si>
    <t>45m handsets compatible with Red Compartida</t>
  </si>
  <si>
    <t>nationwide</t>
  </si>
  <si>
    <t>Q1 19</t>
  </si>
  <si>
    <t>Q2 19</t>
  </si>
  <si>
    <t>Q3 19</t>
  </si>
  <si>
    <t>Q4 19</t>
  </si>
  <si>
    <t>18-25E</t>
  </si>
  <si>
    <t>Debt</t>
  </si>
  <si>
    <t>EV</t>
  </si>
  <si>
    <t>multiple</t>
  </si>
  <si>
    <t>Interest</t>
  </si>
  <si>
    <t>Borrrowing cost</t>
  </si>
  <si>
    <t>Pre tax FCF</t>
  </si>
  <si>
    <t>Tax rate</t>
  </si>
  <si>
    <t>Post-tax borrowing cost</t>
  </si>
  <si>
    <t>Debt/EBITDA</t>
  </si>
  <si>
    <t>Net debt to EBITDA</t>
  </si>
  <si>
    <t>Long term</t>
  </si>
  <si>
    <t>x2 no of X-View subs</t>
  </si>
  <si>
    <t>starting to offer in lower end</t>
  </si>
  <si>
    <t>footprint on on-net and off-net</t>
  </si>
  <si>
    <t>portfolio of solutions</t>
  </si>
  <si>
    <t>integrated services</t>
  </si>
  <si>
    <t>20% of 2018 EBITDA, as per recent years</t>
  </si>
  <si>
    <t>Higher than dvi policy, paid in May 19</t>
  </si>
  <si>
    <t>MXN1.8bn approved divi</t>
  </si>
  <si>
    <t>Q1 19 call</t>
  </si>
  <si>
    <t>68% of subs have min speeds of 20 Mbps</t>
  </si>
  <si>
    <t>Compared to 57% one year ago</t>
  </si>
  <si>
    <t>IFRS 16</t>
  </si>
  <si>
    <t xml:space="preserve">MXN340m including </t>
  </si>
  <si>
    <t>MXN328m of lease liabilities</t>
  </si>
  <si>
    <t>MXN40m lease benefit per Q</t>
  </si>
  <si>
    <t>MXN160m per year</t>
  </si>
  <si>
    <t>Increase in non linear programming</t>
  </si>
  <si>
    <t>VOD and other services to X-view and other premium services</t>
  </si>
  <si>
    <t>3% of increasing cost y/y</t>
  </si>
  <si>
    <t>MVNO subs</t>
  </si>
  <si>
    <t>80k for Q1 targeted?</t>
  </si>
  <si>
    <t>Launched trial</t>
  </si>
  <si>
    <t>62k trialists</t>
  </si>
  <si>
    <t>helped to manage the process for a hard launch</t>
  </si>
  <si>
    <t>Not seeing broadband subs for SKY coming from MEGA areas</t>
  </si>
  <si>
    <t>Need to be smart to grow on pay TV</t>
  </si>
  <si>
    <t>Economics from MVNO initiative?</t>
  </si>
  <si>
    <t>Hard launch in the quarters to come</t>
  </si>
  <si>
    <t>Business plan for increase in EBITDA</t>
  </si>
  <si>
    <t>1m subs…?</t>
  </si>
  <si>
    <t>Targeting different segments…cities, MCM, SMEs etc</t>
  </si>
  <si>
    <t>Won't be felt in numbers in 2019</t>
  </si>
  <si>
    <t>More relevant in years to come</t>
  </si>
  <si>
    <t>Reviewing</t>
  </si>
  <si>
    <t>see ways to recover</t>
  </si>
  <si>
    <t>waiting for recovery in economy</t>
  </si>
  <si>
    <t>a stretch</t>
  </si>
  <si>
    <t>Core cable</t>
  </si>
  <si>
    <t>Content, IT, other</t>
  </si>
  <si>
    <t>Xview</t>
  </si>
  <si>
    <t>as %</t>
  </si>
  <si>
    <t>IFRS adjs</t>
  </si>
  <si>
    <t>Price increase in March, effective in April. About 4-5% on average</t>
  </si>
  <si>
    <t xml:space="preserve"> Aug-19 chat with Esau</t>
  </si>
  <si>
    <t>No investment from the government</t>
  </si>
  <si>
    <t>targeting social spending, rather than projects</t>
  </si>
  <si>
    <t>impact private sector spending</t>
  </si>
  <si>
    <t>Impacts total sales available. First nine months of 2018 hasn't been attained</t>
  </si>
  <si>
    <t>Targeting better customers</t>
  </si>
  <si>
    <t>slightly higher churn</t>
  </si>
  <si>
    <t>July - preparing Plan of investment for coming months</t>
  </si>
  <si>
    <t>last week…conf call every meeting. Carlos Slim as a guest</t>
  </si>
  <si>
    <t>Slim said investment will improve</t>
  </si>
  <si>
    <t>Q3 and Q4 tend to be better</t>
  </si>
  <si>
    <t>Back to school campaigns…broadband services - in Q3</t>
  </si>
  <si>
    <t>More cash available in Q4</t>
  </si>
  <si>
    <t>July and preview for August - definitely better than Q2</t>
  </si>
  <si>
    <t>10-11% revenue guide</t>
  </si>
  <si>
    <t>Previous price increase - Oct 2018 (4-5%)</t>
  </si>
  <si>
    <t>Unlikely another increase</t>
  </si>
  <si>
    <t>Q1 2020</t>
  </si>
  <si>
    <t>Across the whole base</t>
  </si>
  <si>
    <t>Had previously expected a better economic outlook</t>
  </si>
  <si>
    <t>Very competitive in recent months</t>
  </si>
  <si>
    <t>Ops targeting each other</t>
  </si>
  <si>
    <t>Launched naked BB offer</t>
  </si>
  <si>
    <t>MXN349 for internet-only</t>
  </si>
  <si>
    <t>Won’t have a huge amount of success</t>
  </si>
  <si>
    <t>Don't see Telmex building as much fibre as fast as they could</t>
  </si>
  <si>
    <t>Worred about using wholesale</t>
  </si>
  <si>
    <t>Blue Telecom</t>
  </si>
  <si>
    <t>30% of AMX network is fibre..</t>
  </si>
  <si>
    <t>Marketing campaigns</t>
  </si>
  <si>
    <t>Pay TV at AMX</t>
  </si>
  <si>
    <t>Will get it at some point</t>
  </si>
  <si>
    <t>end 2020, beginning of 2021</t>
  </si>
  <si>
    <t>At this point, they will then invest a lot more</t>
  </si>
  <si>
    <t>Functional separation</t>
  </si>
  <si>
    <t>delayed this…from Mar-19 to end-2019 one of these dates</t>
  </si>
  <si>
    <t>Once get licence</t>
  </si>
  <si>
    <t>1/ use it for DTH…bundling with Dish already, single bill/same office</t>
  </si>
  <si>
    <t>2/ build FTTH to offer service</t>
  </si>
  <si>
    <t>takes time to build service</t>
  </si>
  <si>
    <t>other providers have to have access</t>
  </si>
  <si>
    <t>MEGA regions</t>
  </si>
  <si>
    <t>Penetration is 58%...grow to 63% in next 5 years…AMX could push this up</t>
  </si>
  <si>
    <t>MVNO</t>
  </si>
  <si>
    <t>Don’t see Mexico getting impacted by OTT</t>
  </si>
  <si>
    <t>ARPU much lower in Mexico</t>
  </si>
  <si>
    <t>Hard to save to take OTT</t>
  </si>
  <si>
    <t>Netflix in Mexico - MXN129 Netflix</t>
  </si>
  <si>
    <t>Telenovelas and soccer</t>
  </si>
  <si>
    <t>18 teams in top division. 5 years ago, 16/18 on FTA…now 12/18 pay TV, 6/18 FTA</t>
  </si>
  <si>
    <t>Fox Sports, ESPN, Imagina</t>
  </si>
  <si>
    <t>Launched free trial in Jan</t>
  </si>
  <si>
    <t>500,000 with free data from Altan</t>
  </si>
  <si>
    <t>test network</t>
  </si>
  <si>
    <t>check terminals…bring your own device</t>
  </si>
  <si>
    <t>didn't want to sell terminals</t>
  </si>
  <si>
    <t>1/ network had very good speeds</t>
  </si>
  <si>
    <t>2/ some blind spots - had expected to find</t>
  </si>
  <si>
    <t>3/ terminals…were trying to use on their old phones</t>
  </si>
  <si>
    <t>wanted it as a second SIM in their old phone</t>
  </si>
  <si>
    <t>62,000 approx lines working</t>
  </si>
  <si>
    <t>could't port number for trial, but can when goes live</t>
  </si>
  <si>
    <t>Easier to retain with 4-play</t>
  </si>
  <si>
    <t>Very happy with Altan pricing</t>
  </si>
  <si>
    <t>Altan?</t>
  </si>
  <si>
    <t>Think will be successful</t>
  </si>
  <si>
    <t>&gt;25 contracts signed</t>
  </si>
  <si>
    <t>with 30% of country covered</t>
  </si>
  <si>
    <t>Own 4%...if more than that couldn’t be a provider</t>
  </si>
  <si>
    <t>52% coverage…could be by end of this year</t>
  </si>
  <si>
    <t>USD is 85% so this is an issue</t>
  </si>
  <si>
    <t>Projects today:</t>
  </si>
  <si>
    <t>5-year improvement of network…</t>
  </si>
  <si>
    <t>in 3rd year</t>
  </si>
  <si>
    <t>splitting some nodes</t>
  </si>
  <si>
    <t>fibre closer to home</t>
  </si>
  <si>
    <t>1 to 500</t>
  </si>
  <si>
    <t>1 to 200.. and nearer to customer</t>
  </si>
  <si>
    <t>increasing amount of fibre in the network</t>
  </si>
  <si>
    <t>move to full fibre would therefore be cheaper</t>
  </si>
  <si>
    <t>2 special projects</t>
  </si>
  <si>
    <t>submarine cable</t>
  </si>
  <si>
    <t>data centre in Guadalajara</t>
  </si>
  <si>
    <t>1st one</t>
  </si>
  <si>
    <t>reduce some costs</t>
  </si>
  <si>
    <t>tip of this long peninsula</t>
  </si>
  <si>
    <t>Both will be concluded this year</t>
  </si>
  <si>
    <t>Back to 22-23% of sales</t>
  </si>
  <si>
    <t>Minimum to maintain network to keep up with increasing bandwidth demands</t>
  </si>
  <si>
    <t>&lt;22% - suggest sub-optimal</t>
  </si>
  <si>
    <t xml:space="preserve">2019 - </t>
  </si>
  <si>
    <t>will fall to below &lt;30% of sales</t>
  </si>
  <si>
    <t>don’t want it to be &gt;250</t>
  </si>
  <si>
    <t>TotalPLay the only one to come close</t>
  </si>
  <si>
    <t>Keep a large part of cash in USD…</t>
  </si>
  <si>
    <t>Very conservative</t>
  </si>
  <si>
    <t>Grupo Achuco - chicken farming</t>
  </si>
  <si>
    <t>Similarly strong balance sheet</t>
  </si>
  <si>
    <t>Saving for M&amp;A</t>
  </si>
  <si>
    <t>Axtel approached</t>
  </si>
  <si>
    <t>Continue to be interested</t>
  </si>
  <si>
    <t>Corporate business</t>
  </si>
  <si>
    <t>Based in Monterrey</t>
  </si>
  <si>
    <t>2-2.5x potential mid-term target</t>
  </si>
  <si>
    <t>Consolidation</t>
  </si>
  <si>
    <t>Q1 19 - change in commentary on MEGA deal</t>
  </si>
  <si>
    <t>Based on FTA issues</t>
  </si>
  <si>
    <t>Less: Interest payments (inc leases)</t>
  </si>
  <si>
    <t>Lease liabilities</t>
  </si>
  <si>
    <t>Lease per year</t>
  </si>
  <si>
    <t>no of years</t>
  </si>
  <si>
    <t>Less: lease payments amortised</t>
  </si>
  <si>
    <t xml:space="preserve"> - of which interest</t>
  </si>
  <si>
    <t xml:space="preserve"> - of which depr</t>
  </si>
  <si>
    <t>IFRS 16 leases in D&amp;A</t>
  </si>
  <si>
    <t>Less: Ieases amortised</t>
  </si>
  <si>
    <t>replace HFC in main 11 cities, to fibre</t>
  </si>
  <si>
    <t>rationale:</t>
  </si>
  <si>
    <t>cheaper in the long-run to do this</t>
  </si>
  <si>
    <t>and move it to smaller cities…all equipment will be moved over</t>
  </si>
  <si>
    <t>for instance, Comcast looking at improving HFC, but decided against this</t>
  </si>
  <si>
    <t>HFC needs power, FTTH does not</t>
  </si>
  <si>
    <t>both new coverage and existing</t>
  </si>
  <si>
    <t>will be FTTH, GPON technology</t>
  </si>
  <si>
    <t>fibre to node previously, co-ax</t>
  </si>
  <si>
    <t>keeping the same nodes</t>
  </si>
  <si>
    <t>won't be splitting any more nodes</t>
  </si>
  <si>
    <t>have got to the right / ok number of nodes for the new project</t>
  </si>
  <si>
    <t>25% of nodes were with &gt;2000 homes</t>
  </si>
  <si>
    <t>44% were 1000 homes</t>
  </si>
  <si>
    <t>38% of nodes were with 500 homes</t>
  </si>
  <si>
    <t>33% were 250</t>
  </si>
  <si>
    <t>2 year project, end 5-year project at same time. 2020/21</t>
  </si>
  <si>
    <t>2020 capex</t>
  </si>
  <si>
    <t>$40-50m</t>
  </si>
  <si>
    <t>no number yet</t>
  </si>
  <si>
    <t>32-33% in 2020</t>
  </si>
  <si>
    <t>32-33% in 2021</t>
  </si>
  <si>
    <t>Build new fibre in 11 cities</t>
  </si>
  <si>
    <t>65-70% households</t>
  </si>
  <si>
    <t>Migrate subs to new network</t>
  </si>
  <si>
    <t>2020 / Phase 1</t>
  </si>
  <si>
    <t>Move HFC network to smaller cities</t>
  </si>
  <si>
    <t>2021 / Phase 2</t>
  </si>
  <si>
    <t>Same again, second batch of cities</t>
  </si>
  <si>
    <t>Most spend in 2020</t>
  </si>
  <si>
    <t>Absolute capex slightly lower</t>
  </si>
  <si>
    <t>New tech - "remote phy" - came to realise…expense to shift to FTTH due to labour costs for Comcast</t>
  </si>
  <si>
    <t>Competitive environment…recently, increased competition from Total Play…starting to build more fibre</t>
  </si>
  <si>
    <t>market seems to praise fibre</t>
  </si>
  <si>
    <t>taking some small hits in regions</t>
  </si>
  <si>
    <t>100 Mbps with HFC….with fibre - customers</t>
  </si>
  <si>
    <t>guide to &lt;20% capex/sales with fibre</t>
  </si>
  <si>
    <t>don't pay for power with gpon</t>
  </si>
  <si>
    <t>less maintenance…newer, less equipment, less things to go wrong</t>
  </si>
  <si>
    <t>ftth will be mainly aerial</t>
  </si>
  <si>
    <t>75-80% is aerial</t>
  </si>
  <si>
    <t>moving…</t>
  </si>
  <si>
    <t>equipment in nodes and set top boxes</t>
  </si>
  <si>
    <t>Izzy</t>
  </si>
  <si>
    <t>might have to do also</t>
  </si>
  <si>
    <t>made of many cable companies…harder to unify type of network</t>
  </si>
  <si>
    <t>if decide to build fibre…equipment now is different than another region</t>
  </si>
  <si>
    <t>close to 1m homes passed now (feedback from marketing and installation)</t>
  </si>
  <si>
    <t>overlap 10-15% of your network</t>
  </si>
  <si>
    <t>overbuilding and being pretty aggressive</t>
  </si>
  <si>
    <t>vendor financed, using Cisco</t>
  </si>
  <si>
    <t>have mid-term payments</t>
  </si>
  <si>
    <t>being relatively successful</t>
  </si>
  <si>
    <t>30% of connections / subscribers is FTTH</t>
  </si>
  <si>
    <t xml:space="preserve"> half of the 30% are Mexico City, Monterrey, Guad</t>
  </si>
  <si>
    <t>MEGA only compete in Guad</t>
  </si>
  <si>
    <t>Q4 19 trading</t>
  </si>
  <si>
    <t>Not saying too much</t>
  </si>
  <si>
    <t>Q4 econony was soft</t>
  </si>
  <si>
    <t>didn't help with gross adds</t>
  </si>
  <si>
    <t>vs 2018 levels</t>
  </si>
  <si>
    <t>2019 didn't quite recover</t>
  </si>
  <si>
    <t>1st 9 months - different approach than TV..tried to offer promos to stay with TV</t>
  </si>
  <si>
    <t>caused a little damage to the margin, and fees</t>
  </si>
  <si>
    <t>in Q4, reduced promo efforts, find a better balance between losing sub and paying for commission</t>
  </si>
  <si>
    <t>nov and dec</t>
  </si>
  <si>
    <t>Launched in November</t>
  </si>
  <si>
    <t>In cities with MEGA and Altan exclusively</t>
  </si>
  <si>
    <t>Altan has roaming agreement with Telcel</t>
  </si>
  <si>
    <t>Trial beginning 2019</t>
  </si>
  <si>
    <t xml:space="preserve">"bring your own device" </t>
  </si>
  <si>
    <t>End-2019</t>
  </si>
  <si>
    <t>largest vendor of equipment</t>
  </si>
  <si>
    <t>6 options</t>
  </si>
  <si>
    <t>Only available for MEGA subscribers</t>
  </si>
  <si>
    <t>Not meant to be a big source of revs…more of a retention strategy</t>
  </si>
  <si>
    <t>Data centre</t>
  </si>
  <si>
    <t>Now open. 1st datacentre</t>
  </si>
  <si>
    <t>Needed to have to support corporate business</t>
  </si>
  <si>
    <t>EBITDA saving from this</t>
  </si>
  <si>
    <t>Not hugely significant</t>
  </si>
  <si>
    <t>as % sales (fixed)</t>
  </si>
  <si>
    <t>Q3 20e</t>
  </si>
  <si>
    <t>Q4 20e</t>
  </si>
  <si>
    <t>FTTH overbuild</t>
  </si>
  <si>
    <t>Cost, USD m</t>
  </si>
  <si>
    <t>Phase 1 as % of project</t>
  </si>
  <si>
    <t>FTTH lines overlaid Phase 1</t>
  </si>
  <si>
    <t>Total homes passed, 000s (Q3 19)</t>
  </si>
  <si>
    <t>Total FTTH planned overlay as %</t>
  </si>
  <si>
    <t>FTTH lines to be overlaid</t>
  </si>
  <si>
    <t>Cost per line, USD, in Phase 1</t>
  </si>
  <si>
    <t>the coax cable - ditched</t>
  </si>
  <si>
    <t>Home passed cost</t>
  </si>
  <si>
    <t>Home connected cost</t>
  </si>
  <si>
    <t>Savings on HFC</t>
  </si>
  <si>
    <t>NEW, MXN m</t>
  </si>
  <si>
    <t>OLD, MXN m</t>
  </si>
  <si>
    <t>MXN/USD</t>
  </si>
  <si>
    <t>Capex, USDm</t>
  </si>
  <si>
    <t>Unique subs, 000s</t>
  </si>
  <si>
    <t>Capex/sub, USD m</t>
  </si>
  <si>
    <t>Transport and GTAC</t>
  </si>
  <si>
    <t>Construction / upgrades</t>
  </si>
  <si>
    <t>CTC, tooling, office</t>
  </si>
  <si>
    <t>Other, special projects</t>
  </si>
  <si>
    <t>Corporate</t>
  </si>
  <si>
    <t>Data networks</t>
  </si>
  <si>
    <t>Q4 earnings call</t>
  </si>
  <si>
    <t xml:space="preserve">ST higher capex </t>
  </si>
  <si>
    <t>FTTH</t>
  </si>
  <si>
    <t>5 year capex the same</t>
  </si>
  <si>
    <t>capex up for next 2 years</t>
  </si>
  <si>
    <t>falling in year 3..</t>
  </si>
  <si>
    <t>$340</t>
  </si>
  <si>
    <t>$400m</t>
  </si>
  <si>
    <t>lower than today</t>
  </si>
  <si>
    <t>TV focusing on Guadalajara</t>
  </si>
  <si>
    <t>Expect 2020 to be a good year in Corporate</t>
  </si>
  <si>
    <t>Pay TV</t>
  </si>
  <si>
    <t>Penetration is still low…in Mexico</t>
  </si>
  <si>
    <t>Content investment is very high</t>
  </si>
  <si>
    <t>"People are still watching content…?"</t>
  </si>
  <si>
    <t>Revs</t>
  </si>
  <si>
    <t>8-9%</t>
  </si>
  <si>
    <t>7-8%</t>
  </si>
  <si>
    <t>2-3%</t>
  </si>
  <si>
    <t>6-8%</t>
  </si>
  <si>
    <t>8-10%</t>
  </si>
  <si>
    <t>Liquidity analysis</t>
  </si>
  <si>
    <t>&gt;2029</t>
  </si>
  <si>
    <t>Cumulative</t>
  </si>
  <si>
    <t>Mar-24th</t>
  </si>
  <si>
    <t>Q1 20</t>
  </si>
  <si>
    <t>Cons</t>
  </si>
  <si>
    <t>Revenue, y/y</t>
  </si>
  <si>
    <t>Cable less Metrocarrier i.e. retail</t>
  </si>
  <si>
    <t>Delays, cancellations in some cases</t>
  </si>
  <si>
    <t>Uncertainty over how this will evolve</t>
  </si>
  <si>
    <t>FTTH upgrade</t>
  </si>
  <si>
    <t>On plan, with a couple of months delay</t>
  </si>
  <si>
    <t>Submarine cable fully operational</t>
  </si>
  <si>
    <t>Helps La Baja region</t>
  </si>
  <si>
    <t>Divi</t>
  </si>
  <si>
    <t>MXN1.5bn</t>
  </si>
  <si>
    <t>15% of EBITDA, May 27th</t>
  </si>
  <si>
    <t>Accerlated several projects in Q4 2019</t>
  </si>
  <si>
    <t>Savings</t>
  </si>
  <si>
    <t>Govt expsosure to corporate</t>
  </si>
  <si>
    <t>reduction in gross adds, plus lower churn</t>
  </si>
  <si>
    <t>less commercial costs</t>
  </si>
  <si>
    <t>Pandemic has changed everything</t>
  </si>
  <si>
    <t>Lots of (pointless) political travel…a lot easier to do video conferencing</t>
  </si>
  <si>
    <t>Government cancelled a bunch of internet at schools</t>
  </si>
  <si>
    <t>So remote learning is negatively impacted</t>
  </si>
  <si>
    <t>Steady customer base…like mass market</t>
  </si>
  <si>
    <t>might impact growth</t>
  </si>
  <si>
    <t>steady base, with recurring revs</t>
  </si>
  <si>
    <t>Exposure to business</t>
  </si>
  <si>
    <t>3.6m subs in Mass market, include micro businesses</t>
  </si>
  <si>
    <t>ARPU is very similar to residential business</t>
  </si>
  <si>
    <t>Covid</t>
  </si>
  <si>
    <t>Cable is an essential service. Electricity, gas, water, broadband</t>
  </si>
  <si>
    <t>Home office, students, supportive</t>
  </si>
  <si>
    <t>USD</t>
  </si>
  <si>
    <t>20% opex on USD</t>
  </si>
  <si>
    <t>85% capex USD</t>
  </si>
  <si>
    <t>Hard to fully offset peso</t>
  </si>
  <si>
    <t>Labour, other in peso</t>
  </si>
  <si>
    <t>Look very closely at</t>
  </si>
  <si>
    <t>Some non-majority projects delayed perhaps</t>
  </si>
  <si>
    <t>video platform and FTTH will continue</t>
  </si>
  <si>
    <t>technology company, need to be ahead of peers</t>
  </si>
  <si>
    <t>Resilience of Mass</t>
  </si>
  <si>
    <t>7% is micro business</t>
  </si>
  <si>
    <t>small proportion of these look to be at risk</t>
  </si>
  <si>
    <t>Very positive, great demand for service as of today</t>
  </si>
  <si>
    <t>Those without broadband are keen to take a service</t>
  </si>
  <si>
    <t>GFC</t>
  </si>
  <si>
    <t>Mexico - 6% GDP drop in 2009</t>
  </si>
  <si>
    <t>Revs grew , EBITDA went up</t>
  </si>
  <si>
    <t>USD deval didn’t help</t>
  </si>
  <si>
    <t>This crisis will be harder</t>
  </si>
  <si>
    <t>Mexican government not taking the right measures</t>
  </si>
  <si>
    <t>But broadband business better positioned</t>
  </si>
  <si>
    <t>Companies offering to share cost for employees</t>
  </si>
  <si>
    <t>15/20% can work from home</t>
  </si>
  <si>
    <t>Government to subsidise poorer, school</t>
  </si>
  <si>
    <t>1 June at school..??</t>
  </si>
  <si>
    <t>Peak of pandemic in 2 weeks</t>
  </si>
  <si>
    <t>Grandparents living with young</t>
  </si>
  <si>
    <t>Changes of estimates (post-Q1)</t>
  </si>
  <si>
    <t>Esau</t>
  </si>
  <si>
    <t>Extra services…X View</t>
  </si>
  <si>
    <t>Coming quarters - won't continue to increase...</t>
  </si>
  <si>
    <t>May even decrease…regulator asked for operators to help</t>
  </si>
  <si>
    <t>Some negotiations…MEGA + others launch a package with minimal BB + video + voice. Goal is for subs to stay connected</t>
  </si>
  <si>
    <t>Some for all operators…no real competition</t>
  </si>
  <si>
    <t>MXN100/month</t>
  </si>
  <si>
    <t>So, expect some spin down</t>
  </si>
  <si>
    <t>Also, MXN1000 subs may also migrate down</t>
  </si>
  <si>
    <t>As year goes by, economy slips</t>
  </si>
  <si>
    <t>short period of time, likely for 2-3 months</t>
  </si>
  <si>
    <t>BB is enough speed for social media…not to see videos</t>
  </si>
  <si>
    <t>Announced by IFT, not clear in the media</t>
  </si>
  <si>
    <t>Can be taken by new subs</t>
  </si>
  <si>
    <t>3.3-3.5%, depended  by region</t>
  </si>
  <si>
    <t>Enterprise</t>
  </si>
  <si>
    <t>2 Mbps</t>
  </si>
  <si>
    <t>Unlimited telephony</t>
  </si>
  <si>
    <t>1 government contract</t>
  </si>
  <si>
    <t>Pena Nieto</t>
  </si>
  <si>
    <t>"Mexico Connected"</t>
  </si>
  <si>
    <t>Free internet in schools, public places, government offices</t>
  </si>
  <si>
    <t>"Internet para Todos"</t>
  </si>
  <si>
    <t>Cancelled the old one</t>
  </si>
  <si>
    <t>New government</t>
  </si>
  <si>
    <t>More room to grow in Metrocarrier than in Ho1a</t>
  </si>
  <si>
    <t>Corporate in general is hard to anticipate</t>
  </si>
  <si>
    <t>Assume some growth still..</t>
  </si>
  <si>
    <t>Unsure how private segment will react</t>
  </si>
  <si>
    <t>2020 and 2021</t>
  </si>
  <si>
    <t>A decrease but not at expense of</t>
  </si>
  <si>
    <t>X View</t>
  </si>
  <si>
    <t>Maybe a delay here</t>
  </si>
  <si>
    <t>18 month project</t>
  </si>
  <si>
    <t>Got great terms on financing</t>
  </si>
  <si>
    <t>Vendor financing</t>
  </si>
  <si>
    <t>Several…one is yet to be signed</t>
  </si>
  <si>
    <t>6m, 12m delay for payment</t>
  </si>
  <si>
    <t>Kit should arrive from June</t>
  </si>
  <si>
    <t>Adds</t>
  </si>
  <si>
    <t>Jan, Feb - weaker seasonalty</t>
  </si>
  <si>
    <t>March - significant decrease in churn which supported adds</t>
  </si>
  <si>
    <t>Gross adds - being a bit more selective</t>
  </si>
  <si>
    <t>Churn is calculated by month</t>
  </si>
  <si>
    <t>Net adds likely to continue at the same sort of level</t>
  </si>
  <si>
    <t>April was good…some for work from home</t>
  </si>
  <si>
    <t>Then will normalise</t>
  </si>
  <si>
    <t>Strategic thoughts?</t>
  </si>
  <si>
    <t>MEGA acquring Televisa?</t>
  </si>
  <si>
    <t>"MEGA has better management"</t>
  </si>
  <si>
    <t>Wouldn't want TV to run a JV and don’t think TV would allow MEGA to run it</t>
  </si>
  <si>
    <t>Would TV be willing to sell..? Unlikely..</t>
  </si>
  <si>
    <t>Willing to do business</t>
  </si>
  <si>
    <t>As % BB</t>
  </si>
  <si>
    <t>Trial period</t>
  </si>
  <si>
    <t>Check systems ok, wanted to try Altan network</t>
  </si>
  <si>
    <t>Network v good and fast but some blind spots without coverage where wanted to launch</t>
  </si>
  <si>
    <t>This issue was fixed</t>
  </si>
  <si>
    <t>Equipment was not all compatible</t>
  </si>
  <si>
    <t>wanted in secondary equipment</t>
  </si>
  <si>
    <t>most of the old equipments (&gt;2/3 years) not compatible</t>
  </si>
  <si>
    <t>Agreed with vendors to provide equipment</t>
  </si>
  <si>
    <t>80% of equipment launched in last 2 years are compatible</t>
  </si>
  <si>
    <t>60-70% with compatible equipment today</t>
  </si>
  <si>
    <t>Outside of Altan, will roam onto Telcel</t>
  </si>
  <si>
    <t>More expensive if use roaming</t>
  </si>
  <si>
    <t>So use MEGA and Altan coverage</t>
  </si>
  <si>
    <t>70-80% of traffic will be terminated by Altan/MEGA area, 20-30% will be roaming</t>
  </si>
  <si>
    <t>60-70% of subs available to take the service today</t>
  </si>
  <si>
    <t>AMX vs Altan - a little more expensive on whole GB</t>
  </si>
  <si>
    <t>But, went with Altan because can't offer retail</t>
  </si>
  <si>
    <t>Had a bad experience with TEF when it was used</t>
  </si>
  <si>
    <t>Free SIMs for 3 month period…most subs didn't want SIM in new/current equipment</t>
  </si>
  <si>
    <t>18,000 paying subs today (end March)</t>
  </si>
  <si>
    <t>Target</t>
  </si>
  <si>
    <t>Churn reduction is the main target, short and medium term</t>
  </si>
  <si>
    <t>Mobile (Jun 8th)</t>
  </si>
  <si>
    <t>Want all subs to take the service</t>
  </si>
  <si>
    <t>Negative EBITDA in first year</t>
  </si>
  <si>
    <t>150,000 within first year</t>
  </si>
  <si>
    <t>Pre-paid offer also</t>
  </si>
  <si>
    <t>Spectrum</t>
  </si>
  <si>
    <t>no plans to acquire any</t>
  </si>
  <si>
    <t>Q2 20</t>
  </si>
  <si>
    <t>During 2019, contributed to revenue</t>
  </si>
  <si>
    <t>Customers prioritising connectivity</t>
  </si>
  <si>
    <t>will continue for rest of the year</t>
  </si>
  <si>
    <t>will continue to rise, well positioned</t>
  </si>
  <si>
    <t>Pre-paid</t>
  </si>
  <si>
    <t>GPON and next Gen TV to continue</t>
  </si>
  <si>
    <t>TV plus in H2 20</t>
  </si>
  <si>
    <t>better box</t>
  </si>
  <si>
    <t>integrates content</t>
  </si>
  <si>
    <t>TotalPlay</t>
  </si>
  <si>
    <t>Revs 36% growth in Q2</t>
  </si>
  <si>
    <t>80% of the size of MEGA</t>
  </si>
  <si>
    <t>1. Seeing them growing in MEGA areas</t>
  </si>
  <si>
    <t>2. Migrating to FTTH…where FTTH, better results than TotalPlay?</t>
  </si>
  <si>
    <t>3. "Cable" as a brand being an issue?</t>
  </si>
  <si>
    <t>In MEGA areas, not growing a lot. Not that sort of impact</t>
  </si>
  <si>
    <t>Each sub going to competitors, speed up migration to FTTH where available</t>
  </si>
  <si>
    <t>&gt;80% of subs attempting to churn stay, better packages etc</t>
  </si>
  <si>
    <t>HFC upgrades also</t>
  </si>
  <si>
    <t>X-view is &gt;1m is a differentiator</t>
  </si>
  <si>
    <t>If upgrade to FTTH</t>
  </si>
  <si>
    <t>Offer more bandwidth, channels etc as a promo</t>
  </si>
  <si>
    <t>hopefully try to increase ARPU</t>
  </si>
  <si>
    <t>Where activating GPON, go straight to the sub to upgrade (with install, equipment etc)</t>
  </si>
  <si>
    <t>GPON project</t>
  </si>
  <si>
    <t>ARPU uplift…how much?</t>
  </si>
  <si>
    <t>Hope to win from competition also</t>
  </si>
  <si>
    <t>Yes, to some degree, expect to continue to rise</t>
  </si>
  <si>
    <t>Lower in Q2</t>
  </si>
  <si>
    <t>FY guide?</t>
  </si>
  <si>
    <t>We reduced capex guide with pandemic</t>
  </si>
  <si>
    <t>Still on track to hit FY capex of USD</t>
  </si>
  <si>
    <t>may be slightly below USD400m</t>
  </si>
  <si>
    <t>Homes passed, deployment</t>
  </si>
  <si>
    <t>Mobile guide</t>
  </si>
  <si>
    <t>Half of the network being targeted</t>
  </si>
  <si>
    <t>Re-using state of art HFC for network in small/mid-size</t>
  </si>
  <si>
    <t>4m homes passed with GPON</t>
  </si>
  <si>
    <t>Do not need to change equipment, or drop to house</t>
  </si>
  <si>
    <t>Very confident on growth</t>
  </si>
  <si>
    <t>No way that government and Enterprise will delay Cloud (Ho1a)</t>
  </si>
  <si>
    <t>Happy with Metrocarrier and MCN</t>
  </si>
  <si>
    <t>Metro Enterprise partly offset Government</t>
  </si>
  <si>
    <t>Why GPON?</t>
  </si>
  <si>
    <t>HFC offers same service, 1 Gbps to homes</t>
  </si>
  <si>
    <t>In the future…would need to move to fibre at some point, as will be the prevailing fibre</t>
  </si>
  <si>
    <t>Would need to grow number of nodes x2 on HFC</t>
  </si>
  <si>
    <t>So use 100% of nodes in 50% of plant</t>
  </si>
  <si>
    <t>SME also impacting mass market</t>
  </si>
  <si>
    <t>non payment/min payment also, which should increase</t>
  </si>
  <si>
    <t>good recovery in June…look vey good going into Q3</t>
  </si>
  <si>
    <t>irregardless of FTTH/HFC</t>
  </si>
  <si>
    <t>Next 14 months, will start to move subs in H2</t>
  </si>
  <si>
    <t>exponential growth</t>
  </si>
  <si>
    <t>need to look for larger scale</t>
  </si>
  <si>
    <t xml:space="preserve">150,000 near-term target </t>
  </si>
  <si>
    <t>putting much more ever to take to larger scale</t>
  </si>
  <si>
    <t>Pre Q3 20</t>
  </si>
  <si>
    <t>July/Aug</t>
  </si>
  <si>
    <t>Good numbers, high demand</t>
  </si>
  <si>
    <t>Government….schools not back</t>
  </si>
  <si>
    <t>2,000 subs only MXN100/month</t>
  </si>
  <si>
    <t>not a factor</t>
  </si>
  <si>
    <t>ARPU mostly impacted by no price increase</t>
  </si>
  <si>
    <t>Pandemic</t>
  </si>
  <si>
    <t>Did not restore promotional rates</t>
  </si>
  <si>
    <t>Price increase</t>
  </si>
  <si>
    <t>August price increase</t>
  </si>
  <si>
    <t>Sensitivity to this has been limited</t>
  </si>
  <si>
    <t>MXN50, or USD2</t>
  </si>
  <si>
    <t>Price increase close to 3%</t>
  </si>
  <si>
    <t>Not everyone has this applied</t>
  </si>
  <si>
    <t>Not if coming off promotion</t>
  </si>
  <si>
    <t>May be another increase toward the end of 2020</t>
  </si>
  <si>
    <t>~50% got an increase</t>
  </si>
  <si>
    <t>Most/all competitors doing the same</t>
  </si>
  <si>
    <t>Government</t>
  </si>
  <si>
    <t>Special package</t>
  </si>
  <si>
    <t>Regulator</t>
  </si>
  <si>
    <t>Spectrum prices to come down…</t>
  </si>
  <si>
    <t>First draft of 2021 budget announced</t>
  </si>
  <si>
    <t>Did not decrease price of spectrum</t>
  </si>
  <si>
    <t>More expensive</t>
  </si>
  <si>
    <t>Not sure on Totalplay</t>
  </si>
  <si>
    <t>Rolling Infra quickly…</t>
  </si>
  <si>
    <t>Mainly Izzy and Telmex territory</t>
  </si>
  <si>
    <t>By state</t>
  </si>
  <si>
    <t>Only one overlapping each state</t>
  </si>
  <si>
    <t>Jalisco, metro area of Guadelajara</t>
  </si>
  <si>
    <t>Sapulca</t>
  </si>
  <si>
    <t>Market share by state…8-9, share is &gt;10%</t>
  </si>
  <si>
    <t>Promotions</t>
  </si>
  <si>
    <t>Back to school. All doing it</t>
  </si>
  <si>
    <t>Functional Separation</t>
  </si>
  <si>
    <t>Was to be done by Q1 2020</t>
  </si>
  <si>
    <t>Slim seems to be friendly with AMLO</t>
  </si>
  <si>
    <t>IFT - President concluded term in Feb of 2020. Pandemic led to a suspension of process. Temporary President for now</t>
  </si>
  <si>
    <t>Probably 2021 at best</t>
  </si>
  <si>
    <t>SOHOs (in Resi)</t>
  </si>
  <si>
    <t>Recovery here…Apr and May hard, but better in June</t>
  </si>
  <si>
    <t>Better in July and Aug</t>
  </si>
  <si>
    <t>Same as pre-Covid levels</t>
  </si>
  <si>
    <t>7% of mass market</t>
  </si>
  <si>
    <t>&lt;5/7 employees</t>
  </si>
  <si>
    <t>Harder to recover</t>
  </si>
  <si>
    <t>Metrocarrier continue to recover…not yet at levels desired</t>
  </si>
  <si>
    <t>Government contract gone. Revs through to Q3 19</t>
  </si>
  <si>
    <t>40% sales to government and local level</t>
  </si>
  <si>
    <t>Most of government not spending</t>
  </si>
  <si>
    <t>Large % of sales was equipment and came with lower margin</t>
  </si>
  <si>
    <t>USD400m - at start of 2020</t>
  </si>
  <si>
    <t>Close to this - USD370-380m</t>
  </si>
  <si>
    <t>GPON</t>
  </si>
  <si>
    <t>NGB Platform, X-View+</t>
  </si>
  <si>
    <t>Started to build</t>
  </si>
  <si>
    <t>Conclude by 2021</t>
  </si>
  <si>
    <t>Will see in H2</t>
  </si>
  <si>
    <t>Launched in late Sept/Oct</t>
  </si>
  <si>
    <t>Netflix offered to all</t>
  </si>
  <si>
    <t>All integrated into one platform</t>
  </si>
  <si>
    <t>Netflix, Prime</t>
  </si>
  <si>
    <t>Goal of 150k by first 12 months…</t>
  </si>
  <si>
    <t>Good track to meet goal</t>
  </si>
  <si>
    <t>FEMSA</t>
  </si>
  <si>
    <t>offering MVNO services, with Telcel, using 3G network</t>
  </si>
  <si>
    <t>Izzy more expensive than MEGA</t>
  </si>
  <si>
    <t>Axtel</t>
  </si>
  <si>
    <t>Jun/July - selling last 2 properties</t>
  </si>
  <si>
    <t>MEGA bought mass-market, TV bought the rest</t>
  </si>
  <si>
    <t>Corporate or "Service" business &amp; Infra</t>
  </si>
  <si>
    <t>Service has good overlaps with Metrocarrier and Ho1a</t>
  </si>
  <si>
    <t>Double digit multiple, 5-7x on service EBITDA</t>
  </si>
  <si>
    <t>Few hundred millions. Likely debt funded</t>
  </si>
  <si>
    <t>Aguascalier</t>
  </si>
  <si>
    <t>unbundled</t>
  </si>
  <si>
    <t>bundled</t>
  </si>
  <si>
    <t>execution only</t>
  </si>
  <si>
    <t>Dark Pool - 4 banks drive it (JPM, GS, Merrils, MS)</t>
  </si>
  <si>
    <t>Sales trading, buy/sell on behalf of clients</t>
  </si>
  <si>
    <t>Get business due to underinvestment in big bank sales trading</t>
  </si>
  <si>
    <t>Why not use DMA…no market noise. With Mifid 2 compounding</t>
  </si>
  <si>
    <t>Value for sales trading, of Sales</t>
  </si>
  <si>
    <t>OliveTree</t>
  </si>
  <si>
    <t>Globally</t>
  </si>
  <si>
    <t>$1bn of trading revs, with zero product</t>
  </si>
  <si>
    <t xml:space="preserve">10% of global </t>
  </si>
  <si>
    <t>TMT</t>
  </si>
  <si>
    <t>35% of US market</t>
  </si>
  <si>
    <t>Asia</t>
  </si>
  <si>
    <t>In Europe</t>
  </si>
  <si>
    <t>Comms</t>
  </si>
  <si>
    <t>Market</t>
  </si>
  <si>
    <t>+1.1</t>
  </si>
  <si>
    <t>+0.4</t>
  </si>
  <si>
    <t>global</t>
  </si>
  <si>
    <t>wallet</t>
  </si>
  <si>
    <t>9.2% y/y</t>
  </si>
  <si>
    <t>Total Play</t>
  </si>
  <si>
    <t xml:space="preserve">MEGA </t>
  </si>
  <si>
    <t xml:space="preserve">Other </t>
  </si>
  <si>
    <t>Baja California</t>
  </si>
  <si>
    <t>Baja California Sur</t>
  </si>
  <si>
    <t>Campeche</t>
  </si>
  <si>
    <t>Chiapas</t>
  </si>
  <si>
    <t>Chihuahua</t>
  </si>
  <si>
    <t>Ciudad de Mexico</t>
  </si>
  <si>
    <t>Coahuila de Zaragoza</t>
  </si>
  <si>
    <t>Colima</t>
  </si>
  <si>
    <t>Durango</t>
  </si>
  <si>
    <t>Guanajuato</t>
  </si>
  <si>
    <t>Guererro</t>
  </si>
  <si>
    <t>Hidalgo</t>
  </si>
  <si>
    <t>Jalisco</t>
  </si>
  <si>
    <t>Michoacan de Ocampo</t>
  </si>
  <si>
    <t>Morellos</t>
  </si>
  <si>
    <t>Nayarit</t>
  </si>
  <si>
    <t>Nuevo Leon</t>
  </si>
  <si>
    <t>Oaxaca</t>
  </si>
  <si>
    <t>Puebla</t>
  </si>
  <si>
    <t>Queretaro</t>
  </si>
  <si>
    <t>Quintana Roo</t>
  </si>
  <si>
    <t>San Luis Potosi</t>
  </si>
  <si>
    <t>Sinaloa</t>
  </si>
  <si>
    <t>Sonora</t>
  </si>
  <si>
    <t>Tabasco</t>
  </si>
  <si>
    <t>Tamaulipas</t>
  </si>
  <si>
    <t>Tlaxcala</t>
  </si>
  <si>
    <t>Veracruz de Ignacio de la Llave</t>
  </si>
  <si>
    <t>Yucatan</t>
  </si>
  <si>
    <t>Zacatecas</t>
  </si>
  <si>
    <t>Mexico State</t>
  </si>
  <si>
    <t>BB market share split, Dec-19</t>
  </si>
  <si>
    <t>Televisa</t>
  </si>
  <si>
    <t>OTT adj revenue</t>
  </si>
  <si>
    <t>Q3 20</t>
  </si>
  <si>
    <t>Mobile subs</t>
  </si>
  <si>
    <t>Equipment/other mass market</t>
  </si>
  <si>
    <t>Mobile/other revenue</t>
  </si>
  <si>
    <t xml:space="preserve">Cable </t>
  </si>
  <si>
    <t>Other mass market</t>
  </si>
  <si>
    <t>Other mass market (inc mobile)</t>
  </si>
  <si>
    <t>Mass Market</t>
  </si>
  <si>
    <t>Premium to Telcel</t>
  </si>
  <si>
    <t>Cable revenue (Mass + Metrocarrier)</t>
  </si>
  <si>
    <t>EBITDA corporate (ex Metrocarrier)</t>
  </si>
  <si>
    <t>Check: ex wireless</t>
  </si>
  <si>
    <t>Check: wireless EBITDA @ 15% margin</t>
  </si>
  <si>
    <t>Check: ex-wireless margin</t>
  </si>
  <si>
    <t>Q3 2020</t>
  </si>
  <si>
    <t>October</t>
  </si>
  <si>
    <t>August was the best month due to return to school</t>
  </si>
  <si>
    <t>Continue with the trend in October. Not that high</t>
  </si>
  <si>
    <t>State can choose when kids go back to school</t>
  </si>
  <si>
    <t>Traffic light system</t>
  </si>
  <si>
    <t>Green</t>
  </si>
  <si>
    <t>Can choose</t>
  </si>
  <si>
    <t>2 at the moment</t>
  </si>
  <si>
    <t>Yellow/red</t>
  </si>
  <si>
    <t>Can't</t>
  </si>
  <si>
    <t>Some hangover effect possible</t>
  </si>
  <si>
    <t>A little like the analogue impact</t>
  </si>
  <si>
    <t>Adds and ARPU</t>
  </si>
  <si>
    <t>downgrade to cheaper packages</t>
  </si>
  <si>
    <t>potentially disconnecting</t>
  </si>
  <si>
    <t>From homeschooling perhaps</t>
  </si>
  <si>
    <t>Voice strength</t>
  </si>
  <si>
    <t>Sold through a bundle</t>
  </si>
  <si>
    <t>x3 play</t>
  </si>
  <si>
    <t>staying at home…pay TV is cheapest option for entertainment</t>
  </si>
  <si>
    <t>Focus of the company is x3 play</t>
  </si>
  <si>
    <t>Video will continue to grow</t>
  </si>
  <si>
    <t>Voice will grow at the same pace as broadband</t>
  </si>
  <si>
    <t>October applied</t>
  </si>
  <si>
    <t>1.5-2.0%</t>
  </si>
  <si>
    <t>August</t>
  </si>
  <si>
    <t>remaining 50%</t>
  </si>
  <si>
    <t>All competitors also increasing prices</t>
  </si>
  <si>
    <t>Focus has been on wireless</t>
  </si>
  <si>
    <t>Budget had a 50% increase for spectrum</t>
  </si>
  <si>
    <t>7% wireless spectrum</t>
  </si>
  <si>
    <t>8 of MEGA 12 main cities</t>
  </si>
  <si>
    <t>Subs limited, perhaps 300,000, vs 1.5m for MEGA in these cities</t>
  </si>
  <si>
    <t>Totalplay</t>
  </si>
  <si>
    <t>Capacity of fibre is limited…</t>
  </si>
  <si>
    <t>8 subscribers…need another terminal</t>
  </si>
  <si>
    <t>will save some money</t>
  </si>
  <si>
    <t>Fibre aerial which is 24 threads …. Compared to 96 threads for MEGA</t>
  </si>
  <si>
    <t>Totalplay beginning to hit problems..</t>
  </si>
  <si>
    <t>MEGA not one of them</t>
  </si>
  <si>
    <t>1/ Infra</t>
  </si>
  <si>
    <t>2/ Service</t>
  </si>
  <si>
    <t>Continue to be interested. Didn’t agree with rules on selling process</t>
  </si>
  <si>
    <t>10 offers for Axtel</t>
  </si>
  <si>
    <t>See who buys it, see if can do something with them</t>
  </si>
  <si>
    <t>Same comment as before. Continue to issue dividends</t>
  </si>
  <si>
    <t>Would like 2x net debt to EBITDA</t>
  </si>
  <si>
    <t>Q4 will still be very intensive</t>
  </si>
  <si>
    <t>370-375</t>
  </si>
  <si>
    <t>Overlay</t>
  </si>
  <si>
    <t>Slight (1-2 weeks) delay</t>
  </si>
  <si>
    <t>Remaining 50%...wanted to get all the benefits of HFC</t>
  </si>
  <si>
    <t>so use HFC</t>
  </si>
  <si>
    <t>Migration of HFC equipment</t>
  </si>
  <si>
    <t>cable not re-used</t>
  </si>
  <si>
    <t>energy sources, amplifiers, boxes, equipment in master head ends</t>
  </si>
  <si>
    <t>Conceived to improve customer retention</t>
  </si>
  <si>
    <t>150k for first 12m, 200k now</t>
  </si>
  <si>
    <t>If continue to grow territory coverage</t>
  </si>
  <si>
    <t>In MEGA and Altan coverage areas</t>
  </si>
  <si>
    <t>Good feedback in terms of service</t>
  </si>
  <si>
    <t>EBITDA profitable after 1.5 years</t>
  </si>
  <si>
    <t>No, not being considered</t>
  </si>
  <si>
    <t>5G - take advantage for wholesale</t>
  </si>
  <si>
    <t>medium to long-term</t>
  </si>
  <si>
    <t>5G in next 2-3 years on a mass scale only</t>
  </si>
  <si>
    <t>Net gen before next year</t>
  </si>
  <si>
    <t>X-view Plus</t>
  </si>
  <si>
    <t>All content into one place from OTTs</t>
  </si>
  <si>
    <t>Soft launch</t>
  </si>
  <si>
    <t>Nov</t>
  </si>
  <si>
    <t>Hard launch</t>
  </si>
  <si>
    <t>by YE</t>
  </si>
  <si>
    <t>Same price as X-view</t>
  </si>
  <si>
    <t>MXN50 to get HD</t>
  </si>
  <si>
    <t>MXN50 to get X-View</t>
  </si>
  <si>
    <t>Q4 20</t>
  </si>
  <si>
    <t>Q4 2020</t>
  </si>
  <si>
    <t>ARPU/unique sub</t>
  </si>
  <si>
    <t>MXN409 under the old method</t>
  </si>
  <si>
    <t>Mobile ARPU</t>
  </si>
  <si>
    <t>In 25,000km of network</t>
  </si>
  <si>
    <t xml:space="preserve">After 2021 </t>
  </si>
  <si>
    <t>40% deployment is the plan</t>
  </si>
  <si>
    <t>HFC node splitting underway</t>
  </si>
  <si>
    <t>now adjusts out the mobile</t>
  </si>
  <si>
    <t>MXN100 inc tax</t>
  </si>
  <si>
    <t>Mix</t>
  </si>
  <si>
    <t>MXN200 inc tax</t>
  </si>
  <si>
    <t>Equipment part of ARPU right now</t>
  </si>
  <si>
    <t>Will start in Q1</t>
  </si>
  <si>
    <t>HFC</t>
  </si>
  <si>
    <t>250 homes per node</t>
  </si>
  <si>
    <t>Target low end of 250-500</t>
  </si>
  <si>
    <t>500 to 250…adding active electronics, but add fibre, bringing closer to subscriber</t>
  </si>
  <si>
    <t>Fibre then at street corners, so easier to move to GPON</t>
  </si>
  <si>
    <t>Set top boxed - can run on HFS or GPON</t>
  </si>
  <si>
    <t>2021 outlook</t>
  </si>
  <si>
    <t>Slight increase in ARPU</t>
  </si>
  <si>
    <t>Pressure from back to work/school</t>
  </si>
  <si>
    <t>Xview Plus, will partly offset</t>
  </si>
  <si>
    <t>MVNO not within this ARPU definition</t>
  </si>
  <si>
    <t>made to target 3 million subs</t>
  </si>
  <si>
    <t>for all GPON video subs</t>
  </si>
  <si>
    <t>Start/middle 2022 for vaccines of adults</t>
  </si>
  <si>
    <t>Home office will persist this year</t>
  </si>
  <si>
    <t>MVNO growth</t>
  </si>
  <si>
    <t>Some pressure from corporate</t>
  </si>
  <si>
    <t>Margin should be the same level</t>
  </si>
  <si>
    <t>Q1 21</t>
  </si>
  <si>
    <t>Mexico, Monterrey- much higher family income</t>
  </si>
  <si>
    <t>Opportunity for MEGA in these areas v high</t>
  </si>
  <si>
    <t>Cancun, others</t>
  </si>
  <si>
    <t>Izzy markets</t>
  </si>
  <si>
    <t>Margin</t>
  </si>
  <si>
    <t>Expect to remain at current levels going forward</t>
  </si>
  <si>
    <t>Will be ready for threats</t>
  </si>
  <si>
    <t>Video still a reasonable margin, but make more on BB</t>
  </si>
  <si>
    <t>SAC is lower than video for BB subs add</t>
  </si>
  <si>
    <t>Voice line for BB is at almost no cost</t>
  </si>
  <si>
    <t>This all supports maring</t>
  </si>
  <si>
    <t xml:space="preserve">Will still push for </t>
  </si>
  <si>
    <t>Once on X-View hard to ditch, much better than DTH</t>
  </si>
  <si>
    <t>Platform complements streaming</t>
  </si>
  <si>
    <t>Changed fixed telephony revs allocation since start Jan 2020</t>
  </si>
  <si>
    <t>Sequentially Corp will improve</t>
  </si>
  <si>
    <t>Hola - Q1 20 was pre-pandemic</t>
  </si>
  <si>
    <t>2023/24 declines as % sales</t>
  </si>
  <si>
    <t>Outlook</t>
  </si>
  <si>
    <t>ARPU per unique up a little</t>
  </si>
  <si>
    <t>Good ongoing growth</t>
  </si>
  <si>
    <t>GPON network</t>
  </si>
  <si>
    <t>Finish by end 2021</t>
  </si>
  <si>
    <t>one third of project done…300,000 subs on GPON</t>
  </si>
  <si>
    <t xml:space="preserve">ARPU in FTTH </t>
  </si>
  <si>
    <t>no increase, as just migrated</t>
  </si>
  <si>
    <t>plan to add based on higher OTT</t>
  </si>
  <si>
    <t>larger city, has larger ARPU….irregardless of technology</t>
  </si>
  <si>
    <t>Red Compartida financial problems</t>
  </si>
  <si>
    <t>TotalPlay compete on 60% of footprint</t>
  </si>
  <si>
    <t>15-20%</t>
  </si>
  <si>
    <t>Guadalajara move</t>
  </si>
  <si>
    <t>based off infra from govt contract</t>
  </si>
  <si>
    <t>Build</t>
  </si>
  <si>
    <t>6 new cities</t>
  </si>
  <si>
    <t>Expect Metrocarrier to grow also</t>
  </si>
  <si>
    <t>Stable margins, as Mass market and Metrocarrier are the higher margin businesses</t>
  </si>
  <si>
    <t>remain at certain levels</t>
  </si>
  <si>
    <t>capex to reflect replaced network</t>
  </si>
  <si>
    <t>softer in 2022…&gt;25%</t>
  </si>
  <si>
    <t>Pre-Q2 21 (June 21st)</t>
  </si>
  <si>
    <t>Increase in churn</t>
  </si>
  <si>
    <t>election ploy</t>
  </si>
  <si>
    <t>2-3 weeks before election, moved to green</t>
  </si>
  <si>
    <t>days after, back to yellow</t>
  </si>
  <si>
    <t>nobody returned to school, and won't be back for a while</t>
  </si>
  <si>
    <t>June, end of school year</t>
  </si>
  <si>
    <t>whole academic year - school from home</t>
  </si>
  <si>
    <t>decision outstanding on next year</t>
  </si>
  <si>
    <t>Work</t>
  </si>
  <si>
    <t>more offices returning to normal</t>
  </si>
  <si>
    <t>Most subs which got service due to lockdown will keep it</t>
  </si>
  <si>
    <t>Lower than pre-pandemic churn levels … nearer 2.0% now</t>
  </si>
  <si>
    <t>June</t>
  </si>
  <si>
    <t>normally school year drops it. In june, back in Q3. unclear whether it will happen now</t>
  </si>
  <si>
    <t>School</t>
  </si>
  <si>
    <t>1. Some back to office</t>
  </si>
  <si>
    <t>2. Economic - posting better Covid numbers, lower econ levels. Most depending on savings</t>
  </si>
  <si>
    <t>Unemployment?</t>
  </si>
  <si>
    <t>No change in the last few months</t>
  </si>
  <si>
    <t>Close to 1.5% average</t>
  </si>
  <si>
    <t>Price increase end Q1</t>
  </si>
  <si>
    <t>May</t>
  </si>
  <si>
    <t>Growth rates similar to Q1</t>
  </si>
  <si>
    <t>Continues to contribute</t>
  </si>
  <si>
    <t>Guadalajara</t>
  </si>
  <si>
    <t>Izzy launch - Guadalajara + others</t>
  </si>
  <si>
    <t>BUT need more capillarity</t>
  </si>
  <si>
    <t>leveraging corporate, fibre ring</t>
  </si>
  <si>
    <t>announced launch last week</t>
  </si>
  <si>
    <t>looks likely to be specific regions.. Don't have the infra on larger scale</t>
  </si>
  <si>
    <t>higher socio economic levels</t>
  </si>
  <si>
    <t>6-7 municipalities</t>
  </si>
  <si>
    <t>MEGA in 6</t>
  </si>
  <si>
    <t>Izzy in 1</t>
  </si>
  <si>
    <t>Easy for MEGA to target Zapopan</t>
  </si>
  <si>
    <t>Zapopan, wealthier area</t>
  </si>
  <si>
    <t>Izzy's 2m homes</t>
  </si>
  <si>
    <t>Likely to be in and around Guadalajara</t>
  </si>
  <si>
    <t>Territories used to be by concession</t>
  </si>
  <si>
    <t>That model doesn’t work</t>
  </si>
  <si>
    <t>Feeling a lot of pressure from TotalPlay</t>
  </si>
  <si>
    <t>similar market strategy</t>
  </si>
  <si>
    <t>MEGA to negotiating table</t>
  </si>
  <si>
    <t>Targeted the cities which are interesting</t>
  </si>
  <si>
    <t>8 of 12 largest MEGA cities</t>
  </si>
  <si>
    <t>1.5-2m homes passed in next 2 years… mostly come from existing territories</t>
  </si>
  <si>
    <t>Nothing new</t>
  </si>
  <si>
    <t>Sept 2020…35% of subs on fibre, 30% over last 4 years</t>
  </si>
  <si>
    <t>~ &gt;40% . Plus existing gets to 50%</t>
  </si>
  <si>
    <t>Capex…decrease in 2022</t>
  </si>
  <si>
    <t>Goal is to target 20-22% in 2024</t>
  </si>
  <si>
    <t>corporate, to add to 5 (Mexico City, Monterrey, Cancun…)</t>
  </si>
  <si>
    <t>5 more cities, not yet disclosed</t>
  </si>
  <si>
    <t>Dividend payment this Q</t>
  </si>
  <si>
    <t>Want to migrate to more leverage</t>
  </si>
  <si>
    <t>M&amp;A if possible..</t>
  </si>
  <si>
    <t>Altan relationship…some financial difficulties…refinancing</t>
  </si>
  <si>
    <t>No exclusivity with them, could sign another MVNO deal</t>
  </si>
  <si>
    <t>Slower on roll out in rural</t>
  </si>
  <si>
    <t>MVNO - steady growth</t>
  </si>
  <si>
    <t>Maybe at YE, could open to general public</t>
  </si>
  <si>
    <t xml:space="preserve">TV </t>
  </si>
  <si>
    <t>% EBITDA margin</t>
  </si>
  <si>
    <t>Broadband subs, 000s</t>
  </si>
  <si>
    <t>BB penetration of HPs</t>
  </si>
  <si>
    <t>Homes passed, 000s</t>
  </si>
  <si>
    <t>Q2 21</t>
  </si>
  <si>
    <t>Soomit Datta</t>
  </si>
  <si>
    <t>New Street Research</t>
  </si>
  <si>
    <t xml:space="preserve">+44 20 7375 9128 </t>
  </si>
  <si>
    <t>soomit@newstreetresearch.com</t>
  </si>
  <si>
    <t>Ticker</t>
  </si>
  <si>
    <t>Rating</t>
  </si>
  <si>
    <t>Target Price</t>
  </si>
  <si>
    <t>Megacable (MEGACPO MM)</t>
  </si>
  <si>
    <t>Q3 21</t>
  </si>
  <si>
    <t>Share weakness</t>
  </si>
  <si>
    <t>Izzy moving into Guadalajara</t>
  </si>
  <si>
    <t>2 weeks ago - Taluga, Durango</t>
  </si>
  <si>
    <t>Maybe was just negotiating</t>
  </si>
  <si>
    <t>not good for TV either</t>
  </si>
  <si>
    <t>All areas want to cover going through deep analysis</t>
  </si>
  <si>
    <t>Cherry picking</t>
  </si>
  <si>
    <t>MEGA - investments in new territories</t>
  </si>
  <si>
    <t>Q3s</t>
  </si>
  <si>
    <t>Strong net adds</t>
  </si>
  <si>
    <t>Competition not having such an impact today</t>
  </si>
  <si>
    <t>Lowering to MEGA prices in new areas</t>
  </si>
  <si>
    <t>MEGA entering</t>
  </si>
  <si>
    <t>Into Zapopan</t>
  </si>
  <si>
    <t xml:space="preserve">Izzy </t>
  </si>
  <si>
    <t>No significant changes</t>
  </si>
  <si>
    <t>No crazy selling</t>
  </si>
  <si>
    <t>Cover another 400,000 homes</t>
  </si>
  <si>
    <t>In Guadalajara</t>
  </si>
  <si>
    <t>Largest area…wealthy</t>
  </si>
  <si>
    <t>80/85% of remaining metro</t>
  </si>
  <si>
    <t>Why move to Izzy?</t>
  </si>
  <si>
    <t xml:space="preserve">Soccer </t>
  </si>
  <si>
    <t>1. only Izzy can cover both teams in Guadalajara</t>
  </si>
  <si>
    <t>Chivas and the other</t>
  </si>
  <si>
    <t>MEGA expansion</t>
  </si>
  <si>
    <t>Corporate led expansion: - cities, fibre</t>
  </si>
  <si>
    <t>Not ruling out mass market</t>
  </si>
  <si>
    <t>Yes, will do so</t>
  </si>
  <si>
    <t>Not on a massive scale</t>
  </si>
  <si>
    <t>2nd fibre player in those territories</t>
  </si>
  <si>
    <t>AMX + TotalPlay not going in</t>
  </si>
  <si>
    <t>Downtown Mexico City…but some regions in the North</t>
  </si>
  <si>
    <t>40% of network is FTTH for AMX</t>
  </si>
  <si>
    <t>All major cities have FTTH</t>
  </si>
  <si>
    <t>Could also be Total Play</t>
  </si>
  <si>
    <t>Where?</t>
  </si>
  <si>
    <t>Fibre economics better</t>
  </si>
  <si>
    <t>Started overlay</t>
  </si>
  <si>
    <t>Realised cheaper to do FTTH</t>
  </si>
  <si>
    <t>Good response</t>
  </si>
  <si>
    <t>&gt;USD400m</t>
  </si>
  <si>
    <t>initially</t>
  </si>
  <si>
    <t>subseq</t>
  </si>
  <si>
    <t>goal of 20% of sales in 2024…delayed a couple of years</t>
  </si>
  <si>
    <t>Stronger than in Q1 and Q2</t>
  </si>
  <si>
    <t>Altan financials</t>
  </si>
  <si>
    <t>Not affected</t>
  </si>
  <si>
    <t>Believe Altan will emerge stronger</t>
  </si>
  <si>
    <t>&lt;10,000</t>
  </si>
  <si>
    <t>Telmex copper/VDSL/FTTH</t>
  </si>
  <si>
    <t>Telmex total BB</t>
  </si>
  <si>
    <t xml:space="preserve"> - of which Telmex FTTH</t>
  </si>
  <si>
    <t>Q3 21 call</t>
  </si>
  <si>
    <t>Almost x2 the size of the company</t>
  </si>
  <si>
    <t>Market characteristics</t>
  </si>
  <si>
    <t>growth oppo for company</t>
  </si>
  <si>
    <t>not saturated markets</t>
  </si>
  <si>
    <t>Increasingly competitive environment</t>
  </si>
  <si>
    <t>Multi year program, FTTH in new cities</t>
  </si>
  <si>
    <t>Recovery of corporate segment</t>
  </si>
  <si>
    <t>&gt;30 Mbps up by 150%</t>
  </si>
  <si>
    <t>MEGA faster growth than market</t>
  </si>
  <si>
    <t>Impairment of Altan</t>
  </si>
  <si>
    <t>FTTH expansion</t>
  </si>
  <si>
    <t>4-5 months ago</t>
  </si>
  <si>
    <t>Monterrey started, leveraging Metrocarrier metro fibre</t>
  </si>
  <si>
    <t>Started already, in Guadalajara, Zapopan, certain areas surrounding Mexico City</t>
  </si>
  <si>
    <t>Capex with own cash generation, will still generate cash</t>
  </si>
  <si>
    <t>Ambitious plan</t>
  </si>
  <si>
    <t>Replicating 24,000 km in last 18 months, for use in other markets</t>
  </si>
  <si>
    <t>3-4 years</t>
  </si>
  <si>
    <t>Low 20%s after 3-4 years</t>
  </si>
  <si>
    <t>Doubling size</t>
  </si>
  <si>
    <t>10m today</t>
  </si>
  <si>
    <t>To 18-19m HPs in the future</t>
  </si>
  <si>
    <t>% to revenue, mid 30% initially, then lower after 3-4 years</t>
  </si>
  <si>
    <t>New markets?</t>
  </si>
  <si>
    <t>Not saying exactly</t>
  </si>
  <si>
    <t>Come where Metrocarrier exists, more in Mex city, Guad, Monterrey</t>
  </si>
  <si>
    <t>Everywhere to get to 9m extra HPs</t>
  </si>
  <si>
    <t>Much higher than MXN1 billion per year</t>
  </si>
  <si>
    <t>Naturally EBITDA should grow in relation to HPs</t>
  </si>
  <si>
    <t>MEGA adds more value to customers than peers</t>
  </si>
  <si>
    <t>Returns metrics for new expansion</t>
  </si>
  <si>
    <t>Unlevered IRR?</t>
  </si>
  <si>
    <t>Well in private, public partly also</t>
  </si>
  <si>
    <t>Today</t>
  </si>
  <si>
    <t>Number of homes</t>
  </si>
  <si>
    <t>HPs/HH</t>
  </si>
  <si>
    <t>TV chat</t>
  </si>
  <si>
    <t>$400m to double size of company??</t>
  </si>
  <si>
    <t>Underserved regions…?</t>
  </si>
  <si>
    <t>Successful today, as compete against incumbent only</t>
  </si>
  <si>
    <t>Q3 cities launch by TV</t>
  </si>
  <si>
    <t>$550-600m</t>
  </si>
  <si>
    <t>but competing against other providers</t>
  </si>
  <si>
    <t>Merger of equals</t>
  </si>
  <si>
    <t>Leverage doesn't go up</t>
  </si>
  <si>
    <t>&lt;1.5x to below 2x</t>
  </si>
  <si>
    <t>Could then buy back shares</t>
  </si>
  <si>
    <t>2m homes this year…takes some time to connect</t>
  </si>
  <si>
    <t>Late April announcement</t>
  </si>
  <si>
    <t>0.5m by H1, 1.3m by Q3</t>
  </si>
  <si>
    <t>Dorango, Toluca already</t>
  </si>
  <si>
    <t>Sept and Oct better…some fine tuning for pricing</t>
  </si>
  <si>
    <t>Q4 should show better impact</t>
  </si>
  <si>
    <t>17.8m after 2m</t>
  </si>
  <si>
    <t>2022 - too early to say</t>
  </si>
  <si>
    <t>difficult to say given vendor providers</t>
  </si>
  <si>
    <t>AT&amp;T 3m homes passed/year, 15m today..to get to 30m. Supply chain issues</t>
  </si>
  <si>
    <t>Mapping potential cities for next year, "nationwide footprint"</t>
  </si>
  <si>
    <t>2-3m homes out there still, to get to 20m</t>
  </si>
  <si>
    <t>500-2m for 2022</t>
  </si>
  <si>
    <t>Capex of $650-850m</t>
  </si>
  <si>
    <t>$600m ultimately as a sustainable level of capex from 2023</t>
  </si>
  <si>
    <t>$1 billion - but this depends</t>
  </si>
  <si>
    <t>Could be more</t>
  </si>
  <si>
    <t>SKY</t>
  </si>
  <si>
    <t>(250 this year)</t>
  </si>
  <si>
    <t>850 long term</t>
  </si>
  <si>
    <t>LR</t>
  </si>
  <si>
    <t>UNI deal close</t>
  </si>
  <si>
    <t>Reg taking longer, close by YE (hopefully)</t>
  </si>
  <si>
    <t>restructuring, investment</t>
  </si>
  <si>
    <t>Prelim outlook for 2022</t>
  </si>
  <si>
    <t>Look set to see revs above $4 billion</t>
  </si>
  <si>
    <t>EBITDA should be ~$1.6 billion</t>
  </si>
  <si>
    <t>certain costs coming in 2022</t>
  </si>
  <si>
    <t>2022 revs growth great for TV-UNI</t>
  </si>
  <si>
    <t>Nov 4th</t>
  </si>
  <si>
    <t>UNI deals</t>
  </si>
  <si>
    <t>Launch</t>
  </si>
  <si>
    <t>AVOD</t>
  </si>
  <si>
    <t>first</t>
  </si>
  <si>
    <t>H1</t>
  </si>
  <si>
    <t>SVOD</t>
  </si>
  <si>
    <t>H2</t>
  </si>
  <si>
    <t>30 exclusive series</t>
  </si>
  <si>
    <t>US audience share</t>
  </si>
  <si>
    <t>Call with Esau</t>
  </si>
  <si>
    <t>18-19m by 2025</t>
  </si>
  <si>
    <t>larger cities</t>
  </si>
  <si>
    <t>2m homes per year</t>
  </si>
  <si>
    <t>Started yes, but very minimal</t>
  </si>
  <si>
    <t>Report HPs…activated</t>
  </si>
  <si>
    <t>Mex City, Monterrey, Zapopan</t>
  </si>
  <si>
    <t>2022, mid-30%</t>
  </si>
  <si>
    <t>decrease, &lt;30%</t>
  </si>
  <si>
    <t>lower 20%s</t>
  </si>
  <si>
    <t>2025/26</t>
  </si>
  <si>
    <t>~20% or below</t>
  </si>
  <si>
    <t>Capex, big project</t>
  </si>
  <si>
    <t>&gt;$400m</t>
  </si>
  <si>
    <t>Higher in the first years, $450-500m level</t>
  </si>
  <si>
    <t>Landscape</t>
  </si>
  <si>
    <t>Total Play different market, higher econ levels</t>
  </si>
  <si>
    <t>Telmex higher also</t>
  </si>
  <si>
    <t>MEGA lower</t>
  </si>
  <si>
    <t>HFC for TV, AMX copper, Total Play,</t>
  </si>
  <si>
    <t>Who is where?</t>
  </si>
  <si>
    <t>1st or 2nd player with fibre, don’t want to be the third</t>
  </si>
  <si>
    <t>15m by YE, 17m by early 2022</t>
  </si>
  <si>
    <t>Total Play plans</t>
  </si>
  <si>
    <t>25-30% is a good number to reach</t>
  </si>
  <si>
    <t>Currently 40-45%</t>
  </si>
  <si>
    <t>Some regions activated, not many, able to reach of 12-15% in a matter of months</t>
  </si>
  <si>
    <t>right now, yes, penetrating with sort of products. X-view plus</t>
  </si>
  <si>
    <t>Set top boxes</t>
  </si>
  <si>
    <t>Every order for CPE taking 52-60 weeks to be fulfilled</t>
  </si>
  <si>
    <t>Yes, difficult situation</t>
  </si>
  <si>
    <t>Cost of passing a home</t>
  </si>
  <si>
    <t>Using Metrocarrier</t>
  </si>
  <si>
    <t>New operations…where Metrocarrier</t>
  </si>
  <si>
    <t>Below…</t>
  </si>
  <si>
    <t>Connect $250-300</t>
  </si>
  <si>
    <t>&lt; Total Play</t>
  </si>
  <si>
    <t>Passed $100</t>
  </si>
  <si>
    <t>Total Play more complex</t>
  </si>
  <si>
    <t>Speakers included, Alexa system included</t>
  </si>
  <si>
    <t>Don't charge for set-top box</t>
  </si>
  <si>
    <t xml:space="preserve">End June…45% of existing base, 85% of </t>
  </si>
  <si>
    <t>End-19, subs to migrate - 50% of base at that time</t>
  </si>
  <si>
    <t>1.4m to be migrated….4m homes passed</t>
  </si>
  <si>
    <t>Of the 4 to migrate, end this year get to &gt;85%</t>
  </si>
  <si>
    <t>700,000 end of June</t>
  </si>
  <si>
    <t xml:space="preserve">Other 4m </t>
  </si>
  <si>
    <t>Not 2-3 years, maybe 7-8 years</t>
  </si>
  <si>
    <t>Yes, will upgrade</t>
  </si>
  <si>
    <t>Board approval</t>
  </si>
  <si>
    <t>This month</t>
  </si>
  <si>
    <t>Developed in a period of 5-6 months</t>
  </si>
  <si>
    <t>Non fibre areas opportunity</t>
  </si>
  <si>
    <t>GPON today…4m target for upgrade</t>
  </si>
  <si>
    <t>Televisa in Guad..?</t>
  </si>
  <si>
    <t>Nothing yet really</t>
  </si>
  <si>
    <t>Subs gained in Guad not so relevant</t>
  </si>
  <si>
    <t>TV adopting similar strategies (promotions being matched, Izzy has lowered rates)</t>
  </si>
  <si>
    <t>Nothing too differentiated</t>
  </si>
  <si>
    <t>Overlap</t>
  </si>
  <si>
    <t>High fibre in Guad..all overlap</t>
  </si>
  <si>
    <t xml:space="preserve">Izzy not following the same rule book, targeting </t>
  </si>
  <si>
    <t>1m HPs for 2021, 50% there at end of June</t>
  </si>
  <si>
    <t>Televisa has changed the most…Salvi " no real need to move into fibre"….start of year</t>
  </si>
  <si>
    <t>Merger</t>
  </si>
  <si>
    <t>MEGA has not changed its position on the matter</t>
  </si>
  <si>
    <t>Open to options…from anyone, inc LiLAC</t>
  </si>
  <si>
    <t>Could be some synergies</t>
  </si>
  <si>
    <t>MEGA not likely to take the first step</t>
  </si>
  <si>
    <t>Management not very frequently…CEO/CFO with Salvi regular chats</t>
  </si>
  <si>
    <t>impacted by his departure</t>
  </si>
  <si>
    <t>MXN</t>
  </si>
  <si>
    <t>USD/MXN</t>
  </si>
  <si>
    <t>EV, $</t>
  </si>
  <si>
    <t>Stock</t>
  </si>
  <si>
    <t>SHOUT issued</t>
  </si>
  <si>
    <t>as % SHOUT</t>
  </si>
  <si>
    <t>TV share of Izzy</t>
  </si>
  <si>
    <t>TV share of equity</t>
  </si>
  <si>
    <t>Stock contribution</t>
  </si>
  <si>
    <t>MEGA owners</t>
  </si>
  <si>
    <t>Izzy mins</t>
  </si>
  <si>
    <t>NewCo SHOUT</t>
  </si>
  <si>
    <t>MEGA bid for TV</t>
  </si>
  <si>
    <t>MEGA FF</t>
  </si>
  <si>
    <t xml:space="preserve">NewCo </t>
  </si>
  <si>
    <t>After-tax charge</t>
  </si>
  <si>
    <t>Cumulative interest</t>
  </si>
  <si>
    <t>Leverage</t>
  </si>
  <si>
    <t>Funding in USD</t>
  </si>
  <si>
    <t>Synergies</t>
  </si>
  <si>
    <t>After-tax</t>
  </si>
  <si>
    <t>Cumulative FCF</t>
  </si>
  <si>
    <t>New SHOUT, millions</t>
  </si>
  <si>
    <t>Q4 21</t>
  </si>
  <si>
    <t>earnings</t>
  </si>
  <si>
    <t>diff</t>
  </si>
  <si>
    <t>Revenue growth</t>
  </si>
  <si>
    <t>CAPEX</t>
  </si>
  <si>
    <t>New footprint</t>
  </si>
  <si>
    <t>Capex for Q4 is in-line with project</t>
  </si>
  <si>
    <t>FY 21 call</t>
  </si>
  <si>
    <t>A lot of FTTH spend, should conclude in Q1 2022</t>
  </si>
  <si>
    <t>Expansion plan</t>
  </si>
  <si>
    <t>As planned</t>
  </si>
  <si>
    <t>Trialled to 3 markets, now planning and working on it</t>
  </si>
  <si>
    <t>3-4 years to double</t>
  </si>
  <si>
    <t>2022 - 40% of sales</t>
  </si>
  <si>
    <t>No guide</t>
  </si>
  <si>
    <t>double digits of revenue and EBITDA, you can count on that</t>
  </si>
  <si>
    <t>Subs - growth in 3 main services, with BB the bigger driver</t>
  </si>
  <si>
    <t>New areas</t>
  </si>
  <si>
    <t>Churn - a little higher initially</t>
  </si>
  <si>
    <t>Huge number of kms, and HPs</t>
  </si>
  <si>
    <t>Growth in H2 mainly</t>
  </si>
  <si>
    <t>No non-recurrent items</t>
  </si>
  <si>
    <t>No expansion spend yet</t>
  </si>
  <si>
    <t>Cost per km will be similar</t>
  </si>
  <si>
    <t>20 cities</t>
  </si>
  <si>
    <t>Government contracts stronger?</t>
  </si>
  <si>
    <t>seasonality often</t>
  </si>
  <si>
    <t>federal contracts</t>
  </si>
  <si>
    <t>portion of govt sales, &lt;20% of total Corporate, mostly in Hola (~40%)</t>
  </si>
  <si>
    <t>4 municipalities in Mexico City</t>
  </si>
  <si>
    <t>Will continue to look</t>
  </si>
  <si>
    <t>In the North…</t>
  </si>
  <si>
    <t>Inflation?</t>
  </si>
  <si>
    <t>New subs</t>
  </si>
  <si>
    <t>More products</t>
  </si>
  <si>
    <t>ARPU will increase,</t>
  </si>
  <si>
    <t>85% completion of GPON evolution (existing product)</t>
  </si>
  <si>
    <t>Will be finished in Q1</t>
  </si>
  <si>
    <t>Total capex for expansion plan</t>
  </si>
  <si>
    <t>USD200 per new subscriber</t>
  </si>
  <si>
    <t>USD50</t>
  </si>
  <si>
    <t>USD150</t>
  </si>
  <si>
    <t>passed</t>
  </si>
  <si>
    <t>connected</t>
  </si>
  <si>
    <t>HPs</t>
  </si>
  <si>
    <t>2m HPs by YE 22, 9-10m in total</t>
  </si>
  <si>
    <t>24,000 km in 18 months</t>
  </si>
  <si>
    <t>"double digit"</t>
  </si>
  <si>
    <t>NSR (pre-FY)</t>
  </si>
  <si>
    <t>2022 guidance</t>
  </si>
  <si>
    <t>Q1 23e</t>
  </si>
  <si>
    <t>Q2 23e</t>
  </si>
  <si>
    <t>Q3 23e</t>
  </si>
  <si>
    <t>Q4 23e</t>
  </si>
  <si>
    <t>Penetration Year 1</t>
  </si>
  <si>
    <t>Penetration Year 2</t>
  </si>
  <si>
    <t>Penetration Year 3</t>
  </si>
  <si>
    <t>Cost per home passed, USD</t>
  </si>
  <si>
    <t>Cost per home connected, USD</t>
  </si>
  <si>
    <t>000s</t>
  </si>
  <si>
    <t>Cost of connect, USD m</t>
  </si>
  <si>
    <t>Cost of passed, USD m</t>
  </si>
  <si>
    <t>Total capex, USD m</t>
  </si>
  <si>
    <t>Cohort Year 1</t>
  </si>
  <si>
    <t>Cohort Year 3</t>
  </si>
  <si>
    <t>Cohort Year 2</t>
  </si>
  <si>
    <t>Tota penetration</t>
  </si>
  <si>
    <t>Total capex/ connection</t>
  </si>
  <si>
    <t>Churn (monthly)</t>
  </si>
  <si>
    <t>Churn (annual)</t>
  </si>
  <si>
    <t>Duration</t>
  </si>
  <si>
    <t>Year 1</t>
  </si>
  <si>
    <t>Year 2</t>
  </si>
  <si>
    <t>Year 3</t>
  </si>
  <si>
    <t>Year 4</t>
  </si>
  <si>
    <t>Year 5</t>
  </si>
  <si>
    <t>IRR (pre-tax)</t>
  </si>
  <si>
    <t>USD million</t>
  </si>
  <si>
    <t>Contribution margin</t>
  </si>
  <si>
    <t>Capex to pass (per connected home)</t>
  </si>
  <si>
    <t>Capex to connect</t>
  </si>
  <si>
    <t>IRR (post-tax)</t>
  </si>
  <si>
    <t>RGUs</t>
  </si>
  <si>
    <t>BB subs</t>
  </si>
  <si>
    <t>MXN million</t>
  </si>
  <si>
    <t>NEW</t>
  </si>
  <si>
    <t>OLD</t>
  </si>
  <si>
    <t>RGUs, 000s</t>
  </si>
  <si>
    <t>BB subs, 000s</t>
  </si>
  <si>
    <t>as % sales (ppts)</t>
  </si>
  <si>
    <t>% margin (ppts)</t>
  </si>
  <si>
    <t>22-26</t>
  </si>
  <si>
    <t>Capex, USD m</t>
  </si>
  <si>
    <t>Cost of home passed</t>
  </si>
  <si>
    <t>Pass</t>
  </si>
  <si>
    <t>Connect</t>
  </si>
  <si>
    <t xml:space="preserve">USD </t>
  </si>
  <si>
    <t>Megacable (Mex)</t>
  </si>
  <si>
    <t>Izzy (Mex)</t>
  </si>
  <si>
    <t>Millicom (pan-LatAm, HFC)</t>
  </si>
  <si>
    <t>Oi (Br)</t>
  </si>
  <si>
    <t>Telmex FTTH</t>
  </si>
  <si>
    <t>High-speed BB</t>
  </si>
  <si>
    <t>Resi</t>
  </si>
  <si>
    <t>Corp</t>
  </si>
  <si>
    <t>Telnor</t>
  </si>
  <si>
    <t>Broadband lines</t>
  </si>
  <si>
    <t>Cablevision</t>
  </si>
  <si>
    <t>Cablemas</t>
  </si>
  <si>
    <t>TVI (Cablevision de Monterey)</t>
  </si>
  <si>
    <t>Cablecom</t>
  </si>
  <si>
    <t>Cablevision Red</t>
  </si>
  <si>
    <t>Total Televisa</t>
  </si>
  <si>
    <t>Other cable</t>
  </si>
  <si>
    <t>Cofetel broadband numbers</t>
  </si>
  <si>
    <t>Assumed corporate</t>
  </si>
  <si>
    <t>Assumed Residential</t>
  </si>
  <si>
    <t>Residential pen</t>
  </si>
  <si>
    <t>Guerrero</t>
  </si>
  <si>
    <t>Mexico.</t>
  </si>
  <si>
    <t>Morelos</t>
  </si>
  <si>
    <t>Aguascalientes</t>
  </si>
  <si>
    <t>DSL</t>
  </si>
  <si>
    <t>Fibre</t>
  </si>
  <si>
    <t>TV Cable de Oriente</t>
  </si>
  <si>
    <t>FTTH de Mex</t>
  </si>
  <si>
    <t>Telmex DSL</t>
  </si>
  <si>
    <t>TOTAL MEXICO</t>
  </si>
  <si>
    <t>Fixed ARPU, MXN</t>
  </si>
  <si>
    <t>Fixed ARPU, USD</t>
  </si>
  <si>
    <t>Average customer duration, years</t>
  </si>
  <si>
    <t>Penetration (3 years)</t>
  </si>
  <si>
    <t>2023e</t>
  </si>
  <si>
    <t>SHOUT, millions</t>
  </si>
  <si>
    <t>Market Cap, BRL</t>
  </si>
  <si>
    <t>Cumulative dividend</t>
  </si>
  <si>
    <t>Homes Passed, m</t>
  </si>
  <si>
    <t>Subscribers, 000s</t>
  </si>
  <si>
    <t>Unique Subs</t>
  </si>
  <si>
    <t>% of Homes passed</t>
  </si>
  <si>
    <t>RGU's</t>
  </si>
  <si>
    <t>2024e</t>
  </si>
  <si>
    <t>2025e</t>
  </si>
  <si>
    <t>Entel (Chile)</t>
  </si>
  <si>
    <t>Vivo (Br)</t>
  </si>
  <si>
    <t>Q1 22</t>
  </si>
  <si>
    <t xml:space="preserve">* Figures not reported </t>
  </si>
  <si>
    <t>New capex (USD)</t>
  </si>
  <si>
    <t>Revenue (3-play)</t>
  </si>
  <si>
    <t>Total (main players)</t>
  </si>
  <si>
    <t>Broadband adds, 000s</t>
  </si>
  <si>
    <t>Q2 22</t>
  </si>
  <si>
    <t>2.5m HPs</t>
  </si>
  <si>
    <t>Core</t>
  </si>
  <si>
    <t>Diff</t>
  </si>
  <si>
    <t>Q3 22</t>
  </si>
  <si>
    <t>TV Churn</t>
  </si>
  <si>
    <t>Voice Churn</t>
  </si>
  <si>
    <t>Cable OpEx</t>
  </si>
  <si>
    <t>Televisa cable - Nov 22</t>
  </si>
  <si>
    <t>mega</t>
  </si>
  <si>
    <t>EV/EBITDA (2022e)</t>
  </si>
  <si>
    <t>Dividend paid to MEGA</t>
  </si>
  <si>
    <t>Multiple post-divi</t>
  </si>
  <si>
    <t>tv</t>
  </si>
  <si>
    <t>MEGA synergy share, MXN</t>
  </si>
  <si>
    <t>TV synergy share, USD</t>
  </si>
  <si>
    <t>Share</t>
  </si>
  <si>
    <t>New Co</t>
  </si>
  <si>
    <t>per share, mxn</t>
  </si>
  <si>
    <t>per share, usd</t>
  </si>
  <si>
    <t>25% sales</t>
  </si>
  <si>
    <t>mega capex not spent</t>
  </si>
  <si>
    <t>Integration cost</t>
  </si>
  <si>
    <t>Net saving</t>
  </si>
  <si>
    <t>excess spend</t>
  </si>
  <si>
    <t>Term multiple</t>
  </si>
  <si>
    <t>PV term value</t>
  </si>
  <si>
    <t>Dividend adj. multiple</t>
  </si>
  <si>
    <t>2022e EBITDA</t>
  </si>
  <si>
    <t>EV adj for dividend</t>
  </si>
  <si>
    <t>Notes</t>
  </si>
  <si>
    <t>….which levels equity splits out at 45/55</t>
  </si>
  <si>
    <t>TV paying a MXN14.8 billion dividend on close</t>
  </si>
  <si>
    <t>Net debt / ebitda</t>
  </si>
  <si>
    <t>Suggests ~2x leverage for the New Cable Co</t>
  </si>
  <si>
    <t>NPV synergies</t>
  </si>
  <si>
    <t>Split according to equity stake</t>
  </si>
  <si>
    <t>Izzy (TV)</t>
  </si>
  <si>
    <t>TV's Izzy EBITDA 56% higher than MEGA</t>
  </si>
  <si>
    <t>Base case capex</t>
  </si>
  <si>
    <t>Normalised capex/sales</t>
  </si>
  <si>
    <t>Normalised capex</t>
  </si>
  <si>
    <t>Normalised revenue growth</t>
  </si>
  <si>
    <t>Normalied revenue</t>
  </si>
  <si>
    <t>Saved capex</t>
  </si>
  <si>
    <t>NPV saved capex, MXN million</t>
  </si>
  <si>
    <t>After-tax saving</t>
  </si>
  <si>
    <t>NPV saved capex, USD m</t>
  </si>
  <si>
    <t>NPV, USD million</t>
  </si>
  <si>
    <t>Total NPV, MXN million</t>
  </si>
  <si>
    <t>TV assumed to contribute ~MXN48 billion of debt…</t>
  </si>
  <si>
    <t xml:space="preserve">Megacable offer at 4.2x 2022e EBITDA </t>
  </si>
  <si>
    <t>19% premium to Nov 14th</t>
  </si>
  <si>
    <t xml:space="preserve">Price </t>
  </si>
  <si>
    <t>EV/EBITDA multiple</t>
  </si>
  <si>
    <t>300bps</t>
  </si>
  <si>
    <t>opex</t>
  </si>
  <si>
    <t>0.5m HPs per year</t>
  </si>
  <si>
    <t>Good Q</t>
  </si>
  <si>
    <t>Positive net adds continue</t>
  </si>
  <si>
    <t>Goal to grow RGUs…continues to increase</t>
  </si>
  <si>
    <t>Better adds in Q4</t>
  </si>
  <si>
    <t xml:space="preserve">Some cities - </t>
  </si>
  <si>
    <t>End Q3 - 11 new cities. Mex City, Monterrey, Sabopan - 15% or higher in &lt; 1 year</t>
  </si>
  <si>
    <t>More than 20 other cities. Pen significantly less at this stage</t>
  </si>
  <si>
    <t>Pace was as expected..construction, sites, issues resolved</t>
  </si>
  <si>
    <t>700k HPs for Q4</t>
  </si>
  <si>
    <t>ARPUs</t>
  </si>
  <si>
    <t>Built the kms, not able to activiate</t>
  </si>
  <si>
    <t>Couldn't turn on networl, lacking electronics, components</t>
  </si>
  <si>
    <t>Discounting still in place for new territories</t>
  </si>
  <si>
    <t>Stable ARPU on Q3 22</t>
  </si>
  <si>
    <t>1/ Continue to open new cities, promotional</t>
  </si>
  <si>
    <t>Discount.. Monterrey</t>
  </si>
  <si>
    <t>100-150 peso discount, not more than 6 months</t>
  </si>
  <si>
    <t>2/ Price increase in December</t>
  </si>
  <si>
    <t>Announced in November</t>
  </si>
  <si>
    <t>1 month only in December</t>
  </si>
  <si>
    <t>2 increases per year</t>
  </si>
  <si>
    <t>Q1</t>
  </si>
  <si>
    <t>Q4</t>
  </si>
  <si>
    <t>2-4%</t>
  </si>
  <si>
    <t>~ half</t>
  </si>
  <si>
    <t>Below inflation</t>
  </si>
  <si>
    <t>No change to prices</t>
  </si>
  <si>
    <t>TotalPlay - waiting for competition…before moving</t>
  </si>
  <si>
    <t>Izzy - a little more aggressive where compete against MEGA</t>
  </si>
  <si>
    <t>retention strategies</t>
  </si>
  <si>
    <t>moved from nationwide to regional (MEGA has done for many years)</t>
  </si>
  <si>
    <t>think a small price increase…adding more for additional TV, video</t>
  </si>
  <si>
    <t>As competition gets tougher, this will impact ARPU</t>
  </si>
  <si>
    <t>Market still growing on BB…video/telephony grow low pace</t>
  </si>
  <si>
    <t>most bundling</t>
  </si>
  <si>
    <t>Q4 will be in-line with Q2/3</t>
  </si>
  <si>
    <t>Touch below the 40%</t>
  </si>
  <si>
    <t>Not trying to grow this.. Content creation</t>
  </si>
  <si>
    <t>Stable customer base…stable growth therefore</t>
  </si>
  <si>
    <t>Q4 is usually good…conclude projects before YE</t>
  </si>
  <si>
    <t>Benefit from mass market roll out…offer corporate services also. Addressable market growing</t>
  </si>
  <si>
    <t xml:space="preserve">Project…helped support </t>
  </si>
  <si>
    <t>MVNO business</t>
  </si>
  <si>
    <t>Last Q where continue with clean up of the base</t>
  </si>
  <si>
    <t>Televisa offer</t>
  </si>
  <si>
    <t>Offer was reviewed at Board level</t>
  </si>
  <si>
    <t>They decided</t>
  </si>
  <si>
    <t>Management and IR don't have all the specifics</t>
  </si>
  <si>
    <t>8 years of rumours</t>
  </si>
  <si>
    <t>MEGA has not changed message…possibility of doing something with Izzy or others</t>
  </si>
  <si>
    <t>If create value, will consider</t>
  </si>
  <si>
    <t>Board/co not closed</t>
  </si>
  <si>
    <t>Synergies - yes aware of this</t>
  </si>
  <si>
    <t>A matter of price</t>
  </si>
  <si>
    <t>19% premium</t>
  </si>
  <si>
    <t>cash dividend</t>
  </si>
  <si>
    <t>not enough to compensate for loss of control</t>
  </si>
  <si>
    <t>Willing to be a minority</t>
  </si>
  <si>
    <t>price</t>
  </si>
  <si>
    <t>First offer</t>
  </si>
  <si>
    <t>Not their best</t>
  </si>
  <si>
    <t>Rational for MEGA to reject</t>
  </si>
  <si>
    <t>TV under pressure</t>
  </si>
  <si>
    <t>AMEX increased the pace of fibre deployment</t>
  </si>
  <si>
    <t>MEGA and TV Boards v close pre deal</t>
  </si>
  <si>
    <t>Salvi had a good relationship</t>
  </si>
  <si>
    <t>Jose Antonio - a lot of history in public/private companies</t>
  </si>
  <si>
    <t>Agree with the synergies</t>
  </si>
  <si>
    <t>Not far off</t>
  </si>
  <si>
    <t>TotalPlay - not aware would hijack</t>
  </si>
  <si>
    <t>Couple of weeks…there should be some urgency</t>
  </si>
  <si>
    <t>Feb 20th week of</t>
  </si>
  <si>
    <t>Equity FCF yield @ 20% capex/sales</t>
  </si>
  <si>
    <t>EFCF @ 20% capex/sales</t>
  </si>
  <si>
    <t>Min</t>
  </si>
  <si>
    <t>Equity share</t>
  </si>
  <si>
    <t>Debt / EBITDA post divi</t>
  </si>
  <si>
    <t>Debt, after dividend</t>
  </si>
  <si>
    <t>Pro-forma Cable</t>
  </si>
  <si>
    <t>New Co Revenue</t>
  </si>
  <si>
    <t>Pre synergy EBITDA</t>
  </si>
  <si>
    <t>Synergy</t>
  </si>
  <si>
    <t>Post-synergy EBITDA</t>
  </si>
  <si>
    <t>NPV FCFs</t>
  </si>
  <si>
    <t>g</t>
  </si>
  <si>
    <t>PV terminal value</t>
  </si>
  <si>
    <t>Term value</t>
  </si>
  <si>
    <t>SHOUT</t>
  </si>
  <si>
    <t>Fair value per MEGA share</t>
  </si>
  <si>
    <t>Share of equity</t>
  </si>
  <si>
    <t>MEGA value per share</t>
  </si>
  <si>
    <t>Upside</t>
  </si>
  <si>
    <t>Price at 2022 low's</t>
  </si>
  <si>
    <t>EBITDA (LTM)</t>
  </si>
  <si>
    <t>EV cable today</t>
  </si>
  <si>
    <t>Equity per share</t>
  </si>
  <si>
    <t>Minorities MEGA</t>
  </si>
  <si>
    <t>Minorities TV</t>
  </si>
  <si>
    <t>Mins</t>
  </si>
  <si>
    <t>Deconsolidated debt</t>
  </si>
  <si>
    <t>Upside to TV</t>
  </si>
  <si>
    <t>Upside in USD</t>
  </si>
  <si>
    <t>TV per share upside</t>
  </si>
  <si>
    <t xml:space="preserve">Equity </t>
  </si>
  <si>
    <t>Prob weighed</t>
  </si>
  <si>
    <t>Upside in target</t>
  </si>
  <si>
    <t xml:space="preserve">Target </t>
  </si>
  <si>
    <t>Interest rate</t>
  </si>
  <si>
    <t>Financial expenses</t>
  </si>
  <si>
    <t>Lease costs TV</t>
  </si>
  <si>
    <t>TV intangible capex</t>
  </si>
  <si>
    <t>Lease costs MEGA</t>
  </si>
  <si>
    <t xml:space="preserve"> - of which TV leases</t>
  </si>
  <si>
    <t xml:space="preserve"> - of which MEGA leases</t>
  </si>
  <si>
    <t xml:space="preserve"> - of which financial debt</t>
  </si>
  <si>
    <t>Multiple</t>
  </si>
  <si>
    <t xml:space="preserve">Assume TV puts MXN25 billion of debt in </t>
  </si>
  <si>
    <t>LTM EBITDA</t>
  </si>
  <si>
    <t>per share</t>
  </si>
  <si>
    <t>Price</t>
  </si>
  <si>
    <t>Equity (pre-dividend)</t>
  </si>
  <si>
    <t xml:space="preserve">MEGA dividend yield </t>
  </si>
  <si>
    <t>DCF, MXN million</t>
  </si>
  <si>
    <t>Implied target EV/EBITDA</t>
  </si>
  <si>
    <t>TV's 55% share</t>
  </si>
  <si>
    <t>Izzy equity fair value today</t>
  </si>
  <si>
    <t>Value to TV following deal</t>
  </si>
  <si>
    <t>MEGA / NewCo equity</t>
  </si>
  <si>
    <t>Dividend per share (after tax)</t>
  </si>
  <si>
    <t>Q4 22</t>
  </si>
  <si>
    <t>Q4 22 call</t>
  </si>
  <si>
    <t>New</t>
  </si>
  <si>
    <t xml:space="preserve">TotalPlay </t>
  </si>
  <si>
    <t>Fin debt</t>
  </si>
  <si>
    <t>Lease liability</t>
  </si>
  <si>
    <t>IFRS 16 net debt</t>
  </si>
  <si>
    <t>Pre Q1 23 chat w/ CFO</t>
  </si>
  <si>
    <t>New versus old (Apr-23)</t>
  </si>
  <si>
    <t>Penetration added</t>
  </si>
  <si>
    <t>Q1 23</t>
  </si>
  <si>
    <t>Broadband share (of Top 4)</t>
  </si>
  <si>
    <t>Total (4 main players)</t>
  </si>
  <si>
    <t xml:space="preserve"> - Residential</t>
  </si>
  <si>
    <t xml:space="preserve"> - Corporate</t>
  </si>
  <si>
    <t>Homes</t>
  </si>
  <si>
    <t>Residential penetration</t>
  </si>
  <si>
    <t>Total market (Cofetel / estimate)</t>
  </si>
  <si>
    <t>Total EBITDA (ex Telmex)</t>
  </si>
  <si>
    <t>Total EBITDA margin (ex-Telmex)</t>
  </si>
  <si>
    <t>MegaCable ARPU</t>
  </si>
  <si>
    <t>Televisa Revs/Av Subs*</t>
  </si>
  <si>
    <t>TotalPlay ARPU (rep)</t>
  </si>
  <si>
    <t>Q1 23 call</t>
  </si>
  <si>
    <t>NI</t>
  </si>
  <si>
    <t>Pre Q2 23</t>
  </si>
  <si>
    <t>activate another HPs</t>
  </si>
  <si>
    <t>2.5m in 2023</t>
  </si>
  <si>
    <t xml:space="preserve">900k in Q1, 900k in Q2. Moving to &gt;3m </t>
  </si>
  <si>
    <t>5m therefore in total</t>
  </si>
  <si>
    <t>3m left in 2024</t>
  </si>
  <si>
    <t>17.5m to 18m target</t>
  </si>
  <si>
    <t>Supply side issues</t>
  </si>
  <si>
    <t>See continued good momentum on RGUs</t>
  </si>
  <si>
    <t>Subs who are new…churners also</t>
  </si>
  <si>
    <t>Most from competition</t>
  </si>
  <si>
    <t>Mostly Telmex, Izzy also</t>
  </si>
  <si>
    <t>Price and X-view</t>
  </si>
  <si>
    <t>Discounts..</t>
  </si>
  <si>
    <t>Price increase in May</t>
  </si>
  <si>
    <t>3-3.5%</t>
  </si>
  <si>
    <t>As of May…no significant increase in churn</t>
  </si>
  <si>
    <t>follows 2-4% in December</t>
  </si>
  <si>
    <t>No comments in June, which is good</t>
  </si>
  <si>
    <t>~50% or so</t>
  </si>
  <si>
    <t>~50%</t>
  </si>
  <si>
    <t>Stopped building… focusing on penetration</t>
  </si>
  <si>
    <t>challenge of adding subs</t>
  </si>
  <si>
    <t>1-2 years for a more comfortable leverage position</t>
  </si>
  <si>
    <t>MEGA want to take advantage of this time</t>
  </si>
  <si>
    <t>Margins</t>
  </si>
  <si>
    <t>Natural deterioration</t>
  </si>
  <si>
    <t xml:space="preserve">legacy </t>
  </si>
  <si>
    <t>48-49%</t>
  </si>
  <si>
    <t>new</t>
  </si>
  <si>
    <t>lower…pen is lower</t>
  </si>
  <si>
    <t>Lowest level will be 44% consolidated</t>
  </si>
  <si>
    <t>still reflects the inflationary pressures</t>
  </si>
  <si>
    <t>whenever see margin recovery….get back to 48%</t>
  </si>
  <si>
    <t>2023 - higher as % sales</t>
  </si>
  <si>
    <t>MXN20-21….but peso lower</t>
  </si>
  <si>
    <t>Below previous spend due to FX</t>
  </si>
  <si>
    <t>85% of capex is USD</t>
  </si>
  <si>
    <t>Capex &gt;40% of sales , &lt; 2022 (43.5%)</t>
  </si>
  <si>
    <t>HP &lt;$50 per home passed</t>
  </si>
  <si>
    <t>Connect - $150</t>
  </si>
  <si>
    <t>Goal is to reach 20% in 2 years</t>
  </si>
  <si>
    <t>Year 1 ~10%</t>
  </si>
  <si>
    <t>Mexico City…run rate is faster than that</t>
  </si>
  <si>
    <t>Some are lower</t>
  </si>
  <si>
    <t>Target is 30% ultimately</t>
  </si>
  <si>
    <t>Mexico City</t>
  </si>
  <si>
    <t>State of Mexico around the city</t>
  </si>
  <si>
    <t>Homes in state/surrounds…a lot of subs</t>
  </si>
  <si>
    <t>Targeted surroundings</t>
  </si>
  <si>
    <t>Lower income</t>
  </si>
  <si>
    <t>Could be perhaps a little lower as % sales</t>
  </si>
  <si>
    <t>1.7x net debt to EBITDA… in H1 24</t>
  </si>
  <si>
    <t>Issue local notes, MXN7 billion last year. Based on program authority</t>
  </si>
  <si>
    <t>another MXN8 billion in H1 24</t>
  </si>
  <si>
    <t>So MXN15 billion in total</t>
  </si>
  <si>
    <t>bank loans</t>
  </si>
  <si>
    <t>increase in leverage</t>
  </si>
  <si>
    <t>Maturity end Q2 come and gone (MXN3.1 billion)</t>
  </si>
  <si>
    <t>High single digit funding</t>
  </si>
  <si>
    <t>broadband</t>
  </si>
  <si>
    <t>focus on x3 sales. 80% of sales are triple-play, voice very cheap</t>
  </si>
  <si>
    <t>cheaper TV means still selling</t>
  </si>
  <si>
    <t>yes, still want to see soccer</t>
  </si>
  <si>
    <t>local league only limited on FTA, some exclusivity on ESPN/Fox</t>
  </si>
  <si>
    <t>Izzy trying to compete on price still in MEGA</t>
  </si>
  <si>
    <t>Valim</t>
  </si>
  <si>
    <t>Some strategies…regional pricing was helpful</t>
  </si>
  <si>
    <t>Previously</t>
  </si>
  <si>
    <t>Not too aggressive, took time to get up to speed</t>
  </si>
  <si>
    <t>Continue with positive trend</t>
  </si>
  <si>
    <t>Corporate side</t>
  </si>
  <si>
    <t>Similar to Q1</t>
  </si>
  <si>
    <t>Ho1a and Metro benefit from expansion plans</t>
  </si>
  <si>
    <t>FTTH - 52% end of Q1 migration</t>
  </si>
  <si>
    <t>54-55% by end of Q2</t>
  </si>
  <si>
    <t>Izzy (Apr-23)</t>
  </si>
  <si>
    <t>Totalplay (Jul-23)</t>
  </si>
  <si>
    <t>~50% Mega (May-23)</t>
  </si>
  <si>
    <t>~50% Mega (Dec-22)</t>
  </si>
  <si>
    <t>WC / other debt</t>
  </si>
  <si>
    <t>Homes added</t>
  </si>
  <si>
    <t>MEGA homes passed</t>
  </si>
  <si>
    <t>2023E</t>
  </si>
  <si>
    <t>2024E</t>
  </si>
  <si>
    <t>2025E</t>
  </si>
  <si>
    <t>2026E</t>
  </si>
  <si>
    <t>2027E</t>
  </si>
  <si>
    <t>EBITDA growth</t>
  </si>
  <si>
    <t>Inflation</t>
  </si>
  <si>
    <t>Capex to sales</t>
  </si>
  <si>
    <t>TV (cable)</t>
  </si>
  <si>
    <t>Q2 23</t>
  </si>
  <si>
    <t>TV (Cable)</t>
  </si>
  <si>
    <t>Residential:</t>
  </si>
  <si>
    <t>TV (Residential Cable)</t>
  </si>
  <si>
    <t>MEGA - Residential</t>
  </si>
  <si>
    <t>MEGA (Cable)</t>
  </si>
  <si>
    <t>Operational (Cable)</t>
  </si>
  <si>
    <t>2026e</t>
  </si>
  <si>
    <t>EPS, MXN</t>
  </si>
  <si>
    <t>DPS, MXN</t>
  </si>
  <si>
    <t>Financial metrics, MXN m</t>
  </si>
  <si>
    <t>23-26e CAGR</t>
  </si>
  <si>
    <t>Cable rev = mass market + metrocarrier</t>
  </si>
  <si>
    <t>Q3 23</t>
  </si>
  <si>
    <t>Deceleration for HPs</t>
  </si>
  <si>
    <t>2.5m previously.. For 2023</t>
  </si>
  <si>
    <t>6m - 2.0m or so, moved target to &gt;3.0m</t>
  </si>
  <si>
    <t>0.6-0.7m per Q</t>
  </si>
  <si>
    <t>Sales force requirements</t>
  </si>
  <si>
    <t>Can’t hire enough people</t>
  </si>
  <si>
    <t>don’t want to push too quickly</t>
  </si>
  <si>
    <t>Close to double digit. Should accelerate</t>
  </si>
  <si>
    <t>Pricing</t>
  </si>
  <si>
    <t>October - another price increase</t>
  </si>
  <si>
    <t>No significant impact on adds from price increases</t>
  </si>
  <si>
    <t>Valim..? Nothing really new from Izzy</t>
  </si>
  <si>
    <t>Izzy to be more cautious and conservative</t>
  </si>
  <si>
    <t>Subs coming from TPLAY and Izzy, more so than AMX</t>
  </si>
  <si>
    <t>AMX cheaper and investing more</t>
  </si>
  <si>
    <t>30,000 employees now</t>
  </si>
  <si>
    <t>Q4 is normaly weaker</t>
  </si>
  <si>
    <t>Q3 similar to Q2</t>
  </si>
  <si>
    <t>36-38% capex/sales…helped by the peso</t>
  </si>
  <si>
    <t>400,000 upgrade to FTTH from HFC</t>
  </si>
  <si>
    <t>60% FTTH for 2023</t>
  </si>
  <si>
    <t>&gt;70% FTTH for 2024</t>
  </si>
  <si>
    <t>Desire to be 100% fibre network</t>
  </si>
  <si>
    <t>TV overlap</t>
  </si>
  <si>
    <t>~40% of MEGA overlapping</t>
  </si>
  <si>
    <t>TV FTTH network overlap with MEGA very low</t>
  </si>
  <si>
    <t>Weakened by the government</t>
  </si>
  <si>
    <t>AMX relationship with government v good</t>
  </si>
  <si>
    <t>Pay TV licence by mid-24…?</t>
  </si>
  <si>
    <t>not so relevance</t>
  </si>
  <si>
    <t>2024e net debt adj</t>
  </si>
  <si>
    <t>NSR v</t>
  </si>
  <si>
    <t>YoY</t>
  </si>
  <si>
    <t>OpEx saving</t>
  </si>
  <si>
    <t>Capex saving</t>
  </si>
  <si>
    <t>Combined Co opex</t>
  </si>
  <si>
    <t>Combined Co capex</t>
  </si>
  <si>
    <t>Current pro-forma opex/capex</t>
  </si>
  <si>
    <t>~MXN$15.0 bn special dividend to MEGA</t>
  </si>
  <si>
    <t>&lt;2x net debt to EBITDA</t>
  </si>
  <si>
    <t>50% premium for MEGA by Izzy ("multiple to multiple")</t>
  </si>
  <si>
    <t>MEGA split</t>
  </si>
  <si>
    <t>MEGA divi</t>
  </si>
  <si>
    <t>TV split</t>
  </si>
  <si>
    <t>Implied growth</t>
  </si>
  <si>
    <t xml:space="preserve">New Co </t>
  </si>
  <si>
    <t>Implies a similar EV for each business</t>
  </si>
  <si>
    <t>Net debt 2024e</t>
  </si>
  <si>
    <t>`</t>
  </si>
  <si>
    <t>Integration costs</t>
  </si>
  <si>
    <t>MEGA share of equity</t>
  </si>
  <si>
    <t>TV stake in Cable Co</t>
  </si>
  <si>
    <t>Stake in $</t>
  </si>
  <si>
    <t>Net debt (pf for MEGA payout)</t>
  </si>
  <si>
    <t>MXN 55</t>
  </si>
  <si>
    <t>By laws update - Jan 2024</t>
  </si>
  <si>
    <t xml:space="preserve">In terms of Mega the Company and CEO have made it consistently very clear they have no interest in taking it private. Moreover, if that was their plan they’d be much better off buying back stock and increasing their ownership at this low price than giving a large dividend. </t>
  </si>
  <si>
    <r>
      <t xml:space="preserve">Importantly, I’d also add that in the mega by-laws if any new investor, current shareholder, the Bours family, or the controlling group, decided to purchase &gt;20% of the shares in the company, they would be subject to paying a 30% premium over i) book value, ii) the highest price they previously paid for the shares, or iii) the highest trading price in the last 365 days; </t>
    </r>
    <r>
      <rPr>
        <b/>
        <u/>
        <sz val="11"/>
        <color theme="1"/>
        <rFont val="Calibri"/>
        <family val="2"/>
        <scheme val="minor"/>
      </rPr>
      <t>whichever is higher.</t>
    </r>
  </si>
  <si>
    <t>I note that Bachoco did not have the same poison pill bylaws as Megacable and it had always been suggested they would delist Bachoco. With Mega today, they would have to pay about MXN80/share in a tender offer as of today (30% over the highest price at which the stock traded at during the last 365 days) once they purchased 20% of shares that would trigger the abovementioned clause.</t>
  </si>
  <si>
    <t>2028E</t>
  </si>
  <si>
    <t>2029E</t>
  </si>
  <si>
    <t>2030E</t>
  </si>
  <si>
    <t>OpFCF (MNX bn)</t>
  </si>
  <si>
    <t>Standalone TP</t>
  </si>
  <si>
    <t>TP with full merger benefits</t>
  </si>
  <si>
    <t>TP 33% deal probability</t>
  </si>
  <si>
    <t>Current share price</t>
  </si>
  <si>
    <t>Q1 24e</t>
  </si>
  <si>
    <t>Q2 24e</t>
  </si>
  <si>
    <t>Q3 24e</t>
  </si>
  <si>
    <t>Q4 24e</t>
  </si>
  <si>
    <t>Issuing remaining MXN8 billion of MXN15 billion before elections</t>
  </si>
  <si>
    <t>Debt levels…? Don't know how much re short and long-term… long-term</t>
  </si>
  <si>
    <t>variable t + 25 bpsm, 10.5% on fixed</t>
  </si>
  <si>
    <t>similar trends.. Q4 tends to have higher</t>
  </si>
  <si>
    <t>margin - said expansion territories… seasonality impact in q4</t>
  </si>
  <si>
    <t>corporate a little soft…plus a tough comp</t>
  </si>
  <si>
    <t xml:space="preserve">cable margins should be ok </t>
  </si>
  <si>
    <t>tv deal with charter</t>
  </si>
  <si>
    <t>amx perhaps more aggressive</t>
  </si>
  <si>
    <t>no impact</t>
  </si>
  <si>
    <t>izzy focus on profitability</t>
  </si>
  <si>
    <t>no price changes here</t>
  </si>
  <si>
    <t>q4 not so promotional</t>
  </si>
  <si>
    <t>HPs - similar to q3</t>
  </si>
  <si>
    <t>1m HPs</t>
  </si>
  <si>
    <t>2024 - lower than 2023</t>
  </si>
  <si>
    <t>less HPs</t>
  </si>
  <si>
    <t>FX helping, been stronger</t>
  </si>
  <si>
    <t>fy 23</t>
  </si>
  <si>
    <t>~40% capex/revs, a touch higher</t>
  </si>
  <si>
    <t>peso - similar to q3</t>
  </si>
  <si>
    <t>fy 24</t>
  </si>
  <si>
    <t>14.5m by q3 - 18m</t>
  </si>
  <si>
    <t>by h1 25</t>
  </si>
  <si>
    <t>15.5m</t>
  </si>
  <si>
    <t>2.5m / 18 months</t>
  </si>
  <si>
    <t>average</t>
  </si>
  <si>
    <t>H2 24</t>
  </si>
  <si>
    <t xml:space="preserve">HP </t>
  </si>
  <si>
    <t>15% up in FY 24…up 5%</t>
  </si>
  <si>
    <t>hp + eq</t>
  </si>
  <si>
    <t>$200 in total</t>
  </si>
  <si>
    <t>will increase</t>
  </si>
  <si>
    <t>main part is $</t>
  </si>
  <si>
    <t>capex - on the low side</t>
  </si>
  <si>
    <t>mxn capex same in Q3</t>
  </si>
  <si>
    <t>televisa talks?</t>
  </si>
  <si>
    <t>no changes here</t>
  </si>
  <si>
    <t>no real comments on the roadshow</t>
  </si>
  <si>
    <t>promos</t>
  </si>
  <si>
    <t>50% for 12m…initially</t>
  </si>
  <si>
    <t>6m…3m only for &lt;50%</t>
  </si>
  <si>
    <t>momentum is building</t>
  </si>
  <si>
    <t xml:space="preserve">net adds </t>
  </si>
  <si>
    <t>new territories, positive, for sept</t>
  </si>
  <si>
    <t>expansion territories</t>
  </si>
  <si>
    <t>of &gt;12m of ops</t>
  </si>
  <si>
    <t>14-16%</t>
  </si>
  <si>
    <t>election</t>
  </si>
  <si>
    <t>amlo not touched the sector</t>
  </si>
  <si>
    <t>Q1 25e</t>
  </si>
  <si>
    <t>Q2 25e</t>
  </si>
  <si>
    <t>Q3 25e</t>
  </si>
  <si>
    <t>Q4 25e</t>
  </si>
  <si>
    <t>Capex passed</t>
  </si>
  <si>
    <t>Cost to pass, $</t>
  </si>
  <si>
    <t>Cost to connect, $</t>
  </si>
  <si>
    <t>Capex connect</t>
  </si>
  <si>
    <t>Capex, MXN</t>
  </si>
  <si>
    <t>$/MXN</t>
  </si>
  <si>
    <t>Capex, $</t>
  </si>
  <si>
    <t>Cost to pass/connect</t>
  </si>
  <si>
    <t>Implied "Other" capex, $</t>
  </si>
  <si>
    <t>Implied "Other" capex, MXN</t>
  </si>
  <si>
    <t>FTTH capex</t>
  </si>
  <si>
    <t>Pen</t>
  </si>
  <si>
    <t>discount to Group reported</t>
  </si>
  <si>
    <t>New region ARPU</t>
  </si>
  <si>
    <t>Group as % sales (12m rolling average)</t>
  </si>
  <si>
    <t>Cable / mass market revenue</t>
  </si>
  <si>
    <t xml:space="preserve">Other EBITDA </t>
  </si>
  <si>
    <t>Other revenue</t>
  </si>
  <si>
    <t>Less: tax</t>
  </si>
  <si>
    <t xml:space="preserve">Less: minorities </t>
  </si>
  <si>
    <t>Net debt / EBITDA</t>
  </si>
  <si>
    <t>Net customer adds</t>
  </si>
  <si>
    <t>Assumed % to upgrade/install</t>
  </si>
  <si>
    <t>Gross adds to connect</t>
  </si>
  <si>
    <t>Implied "Other" capex, $ (12m rolling)</t>
  </si>
  <si>
    <t>NSRe</t>
  </si>
  <si>
    <t>Q4 23</t>
  </si>
  <si>
    <t>diff.</t>
  </si>
  <si>
    <t>Group margins (RHS)</t>
  </si>
  <si>
    <t>Consolidated EBITDA growth (LHS)</t>
  </si>
  <si>
    <t>EBITDA margins</t>
  </si>
  <si>
    <t>OpFCF margins</t>
  </si>
  <si>
    <t xml:space="preserve">FY23 </t>
  </si>
  <si>
    <t>FY24</t>
  </si>
  <si>
    <t>FY27</t>
  </si>
  <si>
    <t>47-48%</t>
  </si>
  <si>
    <t>33-35%</t>
  </si>
  <si>
    <t>&gt;FY23</t>
  </si>
  <si>
    <t>Higher</t>
  </si>
  <si>
    <t>Net leverage</t>
  </si>
  <si>
    <t>1.5x</t>
  </si>
  <si>
    <t>1.7x in March-24 and then reducing</t>
  </si>
  <si>
    <t>Consensus</t>
  </si>
  <si>
    <t>Messaging</t>
  </si>
  <si>
    <t>1.6x</t>
  </si>
  <si>
    <t>1.2x</t>
  </si>
  <si>
    <t>Implied &gt; FY23</t>
  </si>
  <si>
    <t>FY22</t>
  </si>
  <si>
    <t>FY23</t>
  </si>
  <si>
    <t>FY24e</t>
  </si>
  <si>
    <t>29-30%</t>
  </si>
  <si>
    <t>FY27e</t>
  </si>
  <si>
    <t>$630m</t>
  </si>
  <si>
    <t>Capex ($m)</t>
  </si>
  <si>
    <t>-</t>
  </si>
  <si>
    <t>Televisa Cable</t>
  </si>
  <si>
    <t>AMX Group</t>
  </si>
  <si>
    <t>Totalplay revenue</t>
  </si>
  <si>
    <t>Totalplay residential</t>
  </si>
  <si>
    <t>Totalplay EBITDA</t>
  </si>
  <si>
    <t>TotalPlay (Residential)</t>
  </si>
  <si>
    <t>TV (Retail)</t>
  </si>
  <si>
    <t>Revenue MXN</t>
  </si>
  <si>
    <t>$650m*</t>
  </si>
  <si>
    <t>$730-790m</t>
  </si>
  <si>
    <t>21.4%**</t>
  </si>
  <si>
    <t>15%**</t>
  </si>
  <si>
    <t>$7,000m</t>
  </si>
  <si>
    <t>1Q23</t>
  </si>
  <si>
    <t>2Q23</t>
  </si>
  <si>
    <t>3Q23</t>
  </si>
  <si>
    <t>4Q23</t>
  </si>
  <si>
    <t>OpFCF margin</t>
  </si>
  <si>
    <t>ND/EBITDA</t>
  </si>
  <si>
    <t>Q1 24</t>
  </si>
  <si>
    <t>MEGA Q1 24</t>
  </si>
  <si>
    <t>Raised MXN4 billion</t>
  </si>
  <si>
    <t>Peak leverage of 1.6-1.7x</t>
  </si>
  <si>
    <t>2024 - try and complete construction phase</t>
  </si>
  <si>
    <t>No other plans except expansion right now</t>
  </si>
  <si>
    <t>MXN2.6 billion</t>
  </si>
  <si>
    <t>20% of EBITDA in 2023</t>
  </si>
  <si>
    <t>Top of publicly traded in Mexico for dividend</t>
  </si>
  <si>
    <t>New territories</t>
  </si>
  <si>
    <t>no increase in churn</t>
  </si>
  <si>
    <t>Margin expansion</t>
  </si>
  <si>
    <t>More capital raise</t>
  </si>
  <si>
    <t>High pen in new territories</t>
  </si>
  <si>
    <t>In legacy..no impact here</t>
  </si>
  <si>
    <t>will continue to recover margins until 2027</t>
  </si>
  <si>
    <t>32-34% capex / sales</t>
  </si>
  <si>
    <t>20% by 2027</t>
  </si>
  <si>
    <t>not expecting another bond</t>
  </si>
  <si>
    <t>use bank credit lines if needed</t>
  </si>
  <si>
    <t>Not &gt;1.6x net debt to EBITDA</t>
  </si>
  <si>
    <t>1/ IT/cloud - steady</t>
  </si>
  <si>
    <t>2/ Govt / corporate - volatile</t>
  </si>
  <si>
    <t>MCM - turning around will provide positive</t>
  </si>
  <si>
    <t>SMB ruling</t>
  </si>
  <si>
    <t>Mirror ruling with Televisa, who turned it down</t>
  </si>
  <si>
    <t>Networks are from Axtel 4-5 years ago</t>
  </si>
  <si>
    <t>Ignored DTC offerings</t>
  </si>
  <si>
    <t>EBITDA margin 2027?</t>
  </si>
  <si>
    <t>FX impact</t>
  </si>
  <si>
    <t>MXN won't stay at 17, will likely move up to 19 or so</t>
  </si>
  <si>
    <t>47-48% 2027/28</t>
  </si>
  <si>
    <t>All guide reflects the weaker FX assumption</t>
  </si>
  <si>
    <t>Deal upside @ 10% probability</t>
  </si>
  <si>
    <t>Neutral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</si>
</sst>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_-* #,##0.0_-;\-* #,##0.0_-;_-* &quot;-&quot;??_-;_-@_-"/>
    <numFmt numFmtId="167" formatCode="_-* #,##0_-;\-* #,##0_-;_-* &quot;-&quot;?_-;_-@_-"/>
    <numFmt numFmtId="168" formatCode="#,##0;\(#,##0\)"/>
    <numFmt numFmtId="169" formatCode="0.0"/>
    <numFmt numFmtId="170" formatCode="#,##0.0"/>
    <numFmt numFmtId="171" formatCode="#,##0.0_);\(#,##0.0\)"/>
    <numFmt numFmtId="172" formatCode="&quot;$&quot;_(#,##0.00_);&quot;$&quot;\(#,##0.00\)"/>
    <numFmt numFmtId="173" formatCode="#,##0.0_)\x;\(#,##0.0\)\x"/>
    <numFmt numFmtId="174" formatCode="#,##0.0_)_x;\(#,##0.0\)_x"/>
    <numFmt numFmtId="175" formatCode="0.0_)\%;\(0.0\)\%"/>
    <numFmt numFmtId="176" formatCode="#,##0.0_)_%;\(#,##0.0\)_%"/>
    <numFmt numFmtId="177" formatCode="0.000%"/>
    <numFmt numFmtId="178" formatCode="#,##0.00\ &quot;Kč&quot;;[Red]\-#,##0.00\ &quot;Kč&quot;"/>
    <numFmt numFmtId="179" formatCode="0_);\(0\)"/>
    <numFmt numFmtId="180" formatCode="0&quot;E&quot;;\(0\)&quot;E&quot;"/>
    <numFmt numFmtId="181" formatCode="_(* #,##0.00_);_(* \(#,##0.00\);_(* &quot;-&quot;??_);_(@_)"/>
    <numFmt numFmtId="182" formatCode="#,##0.000_);[Red]\(#,##0.000\)"/>
    <numFmt numFmtId="183" formatCode="#,##0.00_);[Red]\-#,##0.00_);0.00_);@_)"/>
    <numFmt numFmtId="184" formatCode="0.00_);\(0.00\);0.00"/>
    <numFmt numFmtId="185" formatCode="_-\€* #,##0.00_-;\-\€* #,##0.00_-;_-\€* &quot;-&quot;??_-;_-@_-"/>
    <numFmt numFmtId="186" formatCode="* _(#,##0.00_);[Red]* \(#,##0.00\);* _(&quot;-&quot;?_);@_)"/>
    <numFmt numFmtId="187" formatCode="_-\€* #,##0_-;\-\€* #,##0_-;_-\€* &quot;-&quot;_-;_-@_-"/>
    <numFmt numFmtId="188" formatCode="0.0%_);\(0.0%\)_)"/>
    <numFmt numFmtId="189" formatCode="&quot;$&quot;#,##0.00_);[Red]\(&quot;$&quot;#,##0.00\)"/>
    <numFmt numFmtId="190" formatCode="\$\ * _(#,##0_);[Red]\$\ * \(#,##0\);\$\ * _(&quot;-&quot;?_);@_)"/>
    <numFmt numFmtId="191" formatCode="\$\ * _(#,##0.00_);[Red]\$\ * \(#,##0.00\);\$\ * _(&quot;-&quot;?_);@_)"/>
    <numFmt numFmtId="192" formatCode="[$EUR]\ * _(#,##0_);[Red][$EUR]\ * \(#,##0\);[$EUR]\ * _(&quot;-&quot;?_);@_)"/>
    <numFmt numFmtId="193" formatCode="[$EUR]\ * _(#,##0.00_);[Red][$EUR]\ * \(#,##0.00\);[$EUR]\ * _(&quot;-&quot;?_);@_)"/>
    <numFmt numFmtId="194" formatCode="\€\ * _(#,##0_);[Red]\€\ * \(#,##0\);\€\ * _(&quot;-&quot;?_);@_)"/>
    <numFmt numFmtId="195" formatCode="\€\ * _(#,##0.00_);[Red]\€\ * \(#,##0.00\);\€\ * _(&quot;-&quot;?_);@_)"/>
    <numFmt numFmtId="196" formatCode="[$GBP]\ * _(#,##0_);[Red][$GBP]\ * \(#,##0\);[$GBP]\ * _(&quot;-&quot;?_);@_)"/>
    <numFmt numFmtId="197" formatCode="[$GBP]\ * _(#,##0.00_);[Red][$GBP]\ * \(#,##0.00\);[$GBP]\ * _(&quot;-&quot;?_);@_)"/>
    <numFmt numFmtId="198" formatCode="\£\ * _(#,##0_);[Red]\£\ * \(#,##0\);\£\ * _(&quot;-&quot;?_);@_)"/>
    <numFmt numFmtId="199" formatCode="\£\ * _(#,##0.00_);[Red]\£\ * \(#,##0.00\);\£\ * _(&quot;-&quot;?_);@_)"/>
    <numFmt numFmtId="200" formatCode="[$USD]\ * _(#,##0_);[Red][$USD]\ * \(#,##0\);[$USD]\ * _(&quot;-&quot;?_);@_)"/>
    <numFmt numFmtId="201" formatCode="[$USD]\ * _(#,##0.00_);[Red][$USD]\ * \(#,##0.00\);[$USD]\ * _(&quot;-&quot;?_);@_)"/>
    <numFmt numFmtId="202" formatCode="&quot;$&quot;#,##0.00000000000000000000000000_);[Red]\(&quot;$&quot;#,##0.00000000000000000000000000\)"/>
    <numFmt numFmtId="203" formatCode="mmm\ yy_)"/>
    <numFmt numFmtId="204" formatCode="yyyy_)"/>
    <numFmt numFmtId="205" formatCode="#,##0.000;\(#,##0.000\)"/>
    <numFmt numFmtId="206" formatCode="#,##0.00;\(#,##0.00\)"/>
    <numFmt numFmtId="207" formatCode="yyyy"/>
    <numFmt numFmtId="208" formatCode="#,##0_);\(#,##0\);0_)"/>
    <numFmt numFmtId="209" formatCode="#,##0.0000_);[Red]\(#,##0.0000\);0.0000_)"/>
    <numFmt numFmtId="210" formatCode="&quot;$&quot;#,##0_);[Red]\(&quot;$&quot;#,##0\)"/>
    <numFmt numFmtId="211" formatCode="00000"/>
    <numFmt numFmtId="212" formatCode="&quot;$&quot;#,##0.00&quot;A&quot;;[Red]\(&quot;$&quot;#,##0.00\)&quot;A&quot;"/>
    <numFmt numFmtId="213" formatCode="&quot;$&quot;#,##0.00&quot;E&quot;;[Red]\(&quot;$&quot;#,##0.00\)&quot;E&quot;"/>
    <numFmt numFmtId="214" formatCode="_-[$€]* #,##0.00_-;\-[$€]* #,##0.00_-;_-[$€]* &quot;-&quot;??_-;_-@_-"/>
    <numFmt numFmtId="215" formatCode="#\ ##0.0"/>
    <numFmt numFmtId="216" formatCode="#,##0.0_);[Red]\(#,##0.0\)"/>
    <numFmt numFmtId="217" formatCode="0.0%_);[Red]\(0.0%\)"/>
    <numFmt numFmtId="218" formatCode="#,##0.0;\(#,##0.0\)"/>
    <numFmt numFmtId="219" formatCode="0.00%;\(0.00%\)"/>
    <numFmt numFmtId="220" formatCode="###0"/>
    <numFmt numFmtId="221" formatCode="#,##0_);[Red]\-#,##0_);0_);@_)"/>
    <numFmt numFmtId="222" formatCode="General_)"/>
    <numFmt numFmtId="223" formatCode="0.00_);\(0.00\);0.00_)"/>
    <numFmt numFmtId="224" formatCode="#,##0\ ;\(#,##0\);\ \-\ "/>
    <numFmt numFmtId="225" formatCode="0.0%;0.0%;\-\ "/>
    <numFmt numFmtId="226" formatCode="0.0%_);\(0.0%\)"/>
    <numFmt numFmtId="227" formatCode="_-* #,##0_ _F_-;\-* #,##0_ _F_-;_-* &quot;-&quot;_ _F_-;_-@_-"/>
    <numFmt numFmtId="228" formatCode="#,##0.00_);[Red]\(#,##0.00\);0.00_)"/>
    <numFmt numFmtId="229" formatCode="_-* #,##0.00_ _F_-;\-* #,##0.00_ _F_-;_-* &quot;-&quot;??_ _F_-;_-@_-"/>
    <numFmt numFmtId="230" formatCode="_-* #,##0&quot; F&quot;_-;\-* #,##0&quot; F&quot;_-;_-* &quot;-&quot;&quot; F&quot;_-;_-@_-"/>
    <numFmt numFmtId="231" formatCode="#,##0.00_)&quot; F&quot;;[Red]\(#,##0.00\)&quot; F&quot;;0.00_)&quot; F&quot;"/>
    <numFmt numFmtId="232" formatCode="_-* #,##0.00&quot; F&quot;_-;\-* #,##0.00&quot; F&quot;_-;_-* &quot;-&quot;??&quot; F&quot;_-;_-@_-"/>
    <numFmt numFmtId="233" formatCode="_ * #,##0.00_ ;_ * \-#,##0.00_ ;_ * &quot;-&quot;??_ ;_ @_ "/>
    <numFmt numFmtId="234" formatCode="_-* #,##0.00\ _K_č_-;\-* #,##0.00\ _K_č_-;_-* &quot;-&quot;??\ _K_č_-;_-@_-"/>
    <numFmt numFmtId="235" formatCode="0.0000"/>
    <numFmt numFmtId="236" formatCode="#,##0_);\(#,##0\);;"/>
    <numFmt numFmtId="237" formatCode="#,##0.0000;\(#,##0.0000\)"/>
    <numFmt numFmtId="238" formatCode="#,##0%;[Red]\-#,##0%;0%;@_)"/>
    <numFmt numFmtId="239" formatCode="#,##0.00%;[Red]\-#,##0.00%;0.00%;@_)"/>
    <numFmt numFmtId="240" formatCode="0%;[Red]\-0%"/>
    <numFmt numFmtId="241" formatCode="0.00\%;\-0.00\%;0.00\%"/>
    <numFmt numFmtId="242" formatCode="0.00%_);\(0.00%\)"/>
    <numFmt numFmtId="243" formatCode="#.0"/>
    <numFmt numFmtId="244" formatCode="&quot;kr&quot;\ #,##0_);[Red]\(&quot;kr&quot;\ #,##0\)"/>
    <numFmt numFmtId="245" formatCode="0.00\x;\-0.00\x;0.00\x"/>
    <numFmt numFmtId="246" formatCode="##0.00000"/>
    <numFmt numFmtId="247" formatCode="0\.00%;[Red]\-0\.00%"/>
    <numFmt numFmtId="248" formatCode="0.0000%"/>
    <numFmt numFmtId="249" formatCode="#,##0.00_)\ \x;\(#,##0.00\)\ \x"/>
    <numFmt numFmtId="250" formatCode="&quot;kr&quot;\ #,##0.00_);[Red]\(&quot;kr&quot;\ #,##0.00\)"/>
    <numFmt numFmtId="251" formatCode="_(* #,##0_);_(* \(#,##0\);_(* &quot;-&quot;_);_(@_)"/>
    <numFmt numFmtId="252" formatCode="#,##0.0\ ;\(#,##0.0\)"/>
    <numFmt numFmtId="253" formatCode="_(&quot;$&quot;* #,##0_);_(&quot;$&quot;* \(#,##0\);_(&quot;$&quot;* &quot;-&quot;_);_(@_)"/>
    <numFmt numFmtId="254" formatCode="#,##0.00\ ;\(#,##0.00\)"/>
    <numFmt numFmtId="255" formatCode="0.00\x"/>
    <numFmt numFmtId="256" formatCode="\$#,##0&quot;mn&quot;;\-&quot;£&quot;#,##0&quot;mn&quot;"/>
    <numFmt numFmtId="257" formatCode="#,##0_);\(#,##0\);#,##0_);@_)"/>
    <numFmt numFmtId="258" formatCode="_(* #,##0_);_(* \(#,##0\);_(* &quot;-&quot;??_);_(@_)"/>
    <numFmt numFmtId="259" formatCode="0.0\x"/>
    <numFmt numFmtId="260" formatCode="_(&quot;$&quot;* #,##0.00_);_(&quot;$&quot;* \(#,##0.00\);_(&quot;$&quot;* &quot;-&quot;??_);_(@_)"/>
    <numFmt numFmtId="261" formatCode="_([$€-2]* #,##0.00_);_([$€-2]* \(#,##0.00\);_([$€-2]* &quot;-&quot;??_)"/>
    <numFmt numFmtId="262" formatCode="0.0_)\%;\(0.0\)\%;0.0_)\%;@_)_%"/>
    <numFmt numFmtId="263" formatCode="#,##0.0_)_%;\(#,##0.0\)_%;0.0_)_%;@_)_%"/>
    <numFmt numFmtId="264" formatCode="#,##0.0_);\(#,##0.0\);#,##0.0_);@_)"/>
    <numFmt numFmtId="265" formatCode="&quot;R$ &quot;_(#,##0.00_);&quot;R$ &quot;\(#,##0.00\);&quot;R$ &quot;_(0.00_);@_)"/>
    <numFmt numFmtId="266" formatCode="&quot;R$ &quot;_(#,##0.00_);&quot;R$ &quot;\(#,##0.00\)"/>
    <numFmt numFmtId="267" formatCode="#,##0.00_);\(#,##0.00\);0.00_);@_)"/>
    <numFmt numFmtId="268" formatCode="\€_(#,##0.00_);\€\(#,##0.00\);\€_(0.00_);@_)"/>
    <numFmt numFmtId="269" formatCode="#,##0_)\x;\(#,##0\)\x;0_)\x;@_)_x"/>
    <numFmt numFmtId="270" formatCode="#,##0_)_x;\(#,##0\)_x;0_)_x;@_)_x"/>
    <numFmt numFmtId="271" formatCode="0.00&quot;x&quot;"/>
    <numFmt numFmtId="272" formatCode="&quot;R$ &quot;#,##0.0_);\(&quot;R$ &quot;#,##0.0\)"/>
    <numFmt numFmtId="273" formatCode="#,##0.0_);\(#,##0.0\);\-\ \ \ \ \ "/>
    <numFmt numFmtId="274" formatCode="&quot;R$ &quot;#,##0;[Red]\-&quot;R$ &quot;#,##0"/>
    <numFmt numFmtId="275" formatCode="mmmmddyyyy"/>
    <numFmt numFmtId="276" formatCode="yyyymmmmdd"/>
    <numFmt numFmtId="277" formatCode="#,##0.000_);\(#,##0.000\)"/>
    <numFmt numFmtId="278" formatCode="&quot;R$ &quot;#,##0.00;[Red]\-&quot;R$ &quot;#,##0.00"/>
    <numFmt numFmtId="279" formatCode="&quot;R$ &quot;#,##0.00;\-&quot;R$ &quot;#,##0.00"/>
    <numFmt numFmtId="280" formatCode="#\ ##0\ "/>
    <numFmt numFmtId="281" formatCode="0.0_);\(0.0\)"/>
    <numFmt numFmtId="282" formatCode="#,##0\ ;\(#,##0\)\ "/>
    <numFmt numFmtId="283" formatCode="&quot;R$ &quot;#,##0.00_);[Red]\(&quot;R$ &quot;#,##0.00\)"/>
    <numFmt numFmtId="284" formatCode="_(&quot;R$ &quot;* #,##0.0_);_(&quot;R$ &quot;* \(#,##0.0\);_(&quot;R$ &quot;* &quot;-&quot;??_);_(@_)"/>
    <numFmt numFmtId="285" formatCode="_(&quot;R$ &quot;* #,##0.00_);_(&quot;R$ &quot;* \(#,##0.00\);_(&quot;R$ &quot;* &quot;-&quot;??_);_(@_)"/>
    <numFmt numFmtId="286" formatCode="0.0&quot;x&quot;"/>
    <numFmt numFmtId="287" formatCode="&quot;R$ &quot;#,##0.0_);[Red]\(&quot;R$ &quot;#,##0.0\)"/>
    <numFmt numFmtId="288" formatCode="0.0_)"/>
    <numFmt numFmtId="289" formatCode="#,##0.0000_);\(#,##0.0000\)"/>
    <numFmt numFmtId="290" formatCode="_-* #,##0.00\ _P_t_s_-;\-* #,##0.00\ _P_t_s_-;_-* &quot;-&quot;??\ _P_t_s_-;_-@_-"/>
    <numFmt numFmtId="291" formatCode="#,#00"/>
    <numFmt numFmtId="292" formatCode="_(* #,##0.00000_);_(* \(#,##0.00000\);_(* &quot;-&quot;??_);_(@_)"/>
    <numFmt numFmtId="293" formatCode=";;"/>
    <numFmt numFmtId="294" formatCode="#,##0;[Red]&quot;-&quot;#,##0"/>
    <numFmt numFmtId="295" formatCode="#,##0\x_);\(#,##0\x\)"/>
    <numFmt numFmtId="296" formatCode="#,##0%_);\(#,##0%\)"/>
    <numFmt numFmtId="297" formatCode="&quot;$&quot;#,##0_);\(&quot;$&quot;#,##0\)"/>
    <numFmt numFmtId="298" formatCode="d\.mmm\.yy"/>
    <numFmt numFmtId="299" formatCode="_-* #,##0\ _F_-;\-* #,##0\ _F_-;_-* &quot;-&quot;\ _F_-;_-@_-"/>
    <numFmt numFmtId="300" formatCode="_(&quot;R$ &quot;* #,##0_);_(&quot;R$ &quot;* \(#,##0\);_(&quot;R$ &quot;* &quot;-&quot;_);_(@_)"/>
    <numFmt numFmtId="301" formatCode="d\.mmm"/>
    <numFmt numFmtId="302" formatCode="_-* #,##0.00\ &quot;F&quot;_-;\-* #,##0.00\ &quot;F&quot;_-;_-* &quot;-&quot;??\ &quot;F&quot;_-;_-@_-"/>
    <numFmt numFmtId="303" formatCode="_-* #,##0.00\ &quot;pta&quot;_-;\-* #,##0.00\ &quot;pta&quot;_-;_-* &quot;-&quot;??\ &quot;pta&quot;_-;_-@_-"/>
    <numFmt numFmtId="304" formatCode="_-&quot;R$ &quot;* #,##0.00_-;\-&quot;R$ &quot;* #,##0.00_-;_-&quot;R$ &quot;* &quot;-&quot;??_-;_-@_-"/>
    <numFmt numFmtId="305" formatCode="&quot;R$ &quot;#,##0_);[Red]&quot;\&quot;&quot;\&quot;\(&quot;R$ &quot;#,##0&quot;\&quot;&quot;\&quot;\)"/>
    <numFmt numFmtId="306" formatCode="#,##0.00_ ;\-#,##0.00\ "/>
    <numFmt numFmtId="307" formatCode="&quot;  -  &quot;0&quot;  -  &quot;"/>
    <numFmt numFmtId="308" formatCode="###\-####\-##__"/>
    <numFmt numFmtId="309" formatCode="%#,#00"/>
    <numFmt numFmtId="310" formatCode="#.##000"/>
    <numFmt numFmtId="311" formatCode="##0.00%;\(##0.00\)%"/>
    <numFmt numFmtId="312" formatCode="#,###.00__"/>
    <numFmt numFmtId="313" formatCode="&quot;R$ &quot;#,##0.00_);\(&quot;R$ &quot;#,##0.00\)"/>
    <numFmt numFmtId="314" formatCode="#,"/>
    <numFmt numFmtId="315" formatCode="_-* #,##0.00\ _€_-;\-* #,##0.00\ _€_-;_-* &quot;-&quot;??\ _€_-;_-@_-"/>
    <numFmt numFmtId="316" formatCode="0.0&quot;pp&quot;"/>
    <numFmt numFmtId="317" formatCode="#,##0."/>
    <numFmt numFmtId="318" formatCode="&quot;R$ &quot;#,##0_);[Red]\(&quot;R$ &quot;#,##0\)"/>
    <numFmt numFmtId="319" formatCode="0.00_)"/>
    <numFmt numFmtId="320" formatCode="#,##0_);\(#,##0\);\-"/>
    <numFmt numFmtId="321" formatCode="#,##0.0_);\(#,##0.0\);\-"/>
    <numFmt numFmtId="322" formatCode="#,##0.0_);\(#,##0.0\);&quot;    -   &quot;"/>
    <numFmt numFmtId="323" formatCode="_-* #,##0\ &quot;pta&quot;_-;\-* #,##0\ &quot;pta&quot;_-;_-* &quot;-&quot;\ &quot;pta&quot;_-;_-@_-"/>
    <numFmt numFmtId="324" formatCode="_-* #,##0\ _p_t_a_-;\-* #,##0\ _p_t_a_-;_-* &quot;-&quot;\ _p_t_a_-;_-@_-"/>
    <numFmt numFmtId="325" formatCode="_-* #,##0.00\ _p_t_a_-;\-* #,##0.00\ _p_t_a_-;_-* &quot;-&quot;??\ _p_t_a_-;_-@_-"/>
    <numFmt numFmtId="326" formatCode="_(* #,##0.0_);_(* \(#,##0.0\);_(* &quot;-&quot;??_);_(@_)"/>
    <numFmt numFmtId="327" formatCode="#,##0,;\-#,##0,"/>
    <numFmt numFmtId="328" formatCode="0.0_ ;[Red]\-0.0\ "/>
  </numFmts>
  <fonts count="272">
    <font>
      <sz val="11"/>
      <color theme="1"/>
      <name val="Calibri"/>
      <family val="2"/>
      <scheme val="minor"/>
    </font>
    <font>
      <sz val="11"/>
      <color theme="1"/>
      <name val="Calibri"/>
      <family val="2"/>
      <scheme val="minor"/>
    </font>
    <font>
      <sz val="10"/>
      <name val="Trebuchet MS"/>
      <family val="2"/>
    </font>
    <font>
      <sz val="10"/>
      <name val="Arial"/>
      <family val="2"/>
    </font>
    <font>
      <b/>
      <sz val="10"/>
      <name val="Trebuchet MS"/>
      <family val="2"/>
    </font>
    <font>
      <b/>
      <sz val="10"/>
      <name val="Arial"/>
      <family val="2"/>
    </font>
    <font>
      <sz val="10"/>
      <color theme="1"/>
      <name val="Trebuchet MS"/>
      <family val="2"/>
    </font>
    <font>
      <b/>
      <sz val="10"/>
      <color theme="1"/>
      <name val="Trebuchet MS"/>
      <family val="2"/>
    </font>
    <font>
      <i/>
      <sz val="10"/>
      <color theme="1"/>
      <name val="Trebuchet MS"/>
      <family val="2"/>
    </font>
    <font>
      <sz val="9"/>
      <color indexed="81"/>
      <name val="Tahoma"/>
      <family val="2"/>
    </font>
    <font>
      <b/>
      <sz val="9"/>
      <color indexed="81"/>
      <name val="Tahoma"/>
      <family val="2"/>
    </font>
    <font>
      <u/>
      <sz val="11"/>
      <color theme="1"/>
      <name val="Calibri"/>
      <family val="2"/>
      <scheme val="minor"/>
    </font>
    <font>
      <b/>
      <sz val="11"/>
      <color theme="1"/>
      <name val="Calibri"/>
      <family val="2"/>
      <scheme val="minor"/>
    </font>
    <font>
      <sz val="8"/>
      <name val="Arial"/>
      <family val="2"/>
    </font>
    <font>
      <b/>
      <sz val="10"/>
      <name val="MS Sans Serif"/>
      <family val="2"/>
    </font>
    <font>
      <sz val="10"/>
      <color indexed="8"/>
      <name val="MS Sans Serif"/>
      <family val="2"/>
    </font>
    <font>
      <sz val="12"/>
      <name val="·s²Ó©úÅé"/>
      <charset val="136"/>
    </font>
    <font>
      <sz val="8"/>
      <color indexed="8"/>
      <name val="MS Sans Serif"/>
      <family val="2"/>
    </font>
    <font>
      <sz val="10"/>
      <name val="Times New Roman"/>
      <family val="1"/>
    </font>
    <font>
      <b/>
      <sz val="12"/>
      <name val="Helv"/>
    </font>
    <font>
      <sz val="12"/>
      <name val="Arial"/>
      <family val="2"/>
    </font>
    <font>
      <sz val="10"/>
      <color indexed="10"/>
      <name val="Times New Roman"/>
      <family val="1"/>
    </font>
    <font>
      <b/>
      <sz val="11"/>
      <color indexed="10"/>
      <name val="Times New Roman"/>
      <family val="1"/>
    </font>
    <font>
      <sz val="8"/>
      <name val="Times New Roman"/>
      <family val="1"/>
    </font>
    <font>
      <b/>
      <i/>
      <sz val="11"/>
      <color indexed="9"/>
      <name val="Times New Roman"/>
      <family val="1"/>
    </font>
    <font>
      <b/>
      <sz val="9"/>
      <color indexed="9"/>
      <name val="Arial"/>
      <family val="2"/>
    </font>
    <font>
      <u val="singleAccounting"/>
      <sz val="10"/>
      <name val="Arial"/>
      <family val="2"/>
    </font>
    <font>
      <sz val="12"/>
      <color indexed="10"/>
      <name val="Times New Roman"/>
      <family val="1"/>
    </font>
    <font>
      <i/>
      <sz val="9"/>
      <color indexed="55"/>
      <name val="Arial"/>
      <family val="2"/>
    </font>
    <font>
      <sz val="10"/>
      <name val="MS Sans Serif"/>
      <family val="2"/>
    </font>
    <font>
      <b/>
      <sz val="10"/>
      <name val="Times New Roman"/>
      <family val="1"/>
    </font>
    <font>
      <b/>
      <sz val="9"/>
      <name val="Arial"/>
      <family val="2"/>
    </font>
    <font>
      <sz val="9"/>
      <name val="Arial"/>
      <family val="2"/>
    </font>
    <font>
      <sz val="8"/>
      <name val="Helvetica"/>
      <family val="2"/>
    </font>
    <font>
      <sz val="10"/>
      <name val="Frutiger 45 Light"/>
      <family val="2"/>
    </font>
    <font>
      <sz val="10"/>
      <name val="Geneva"/>
    </font>
    <font>
      <sz val="10"/>
      <color indexed="22"/>
      <name val="Arial"/>
      <family val="2"/>
    </font>
    <font>
      <sz val="24"/>
      <name val="MS Sans Serif"/>
      <family val="2"/>
    </font>
    <font>
      <sz val="12"/>
      <name val="Times New Roman"/>
      <family val="1"/>
    </font>
    <font>
      <b/>
      <sz val="8"/>
      <name val="Arial"/>
      <family val="2"/>
    </font>
    <font>
      <b/>
      <sz val="8"/>
      <name val="Times New Roman"/>
      <family val="1"/>
    </font>
    <font>
      <sz val="12"/>
      <color indexed="14"/>
      <name val="Times New Roman"/>
      <family val="1"/>
    </font>
    <font>
      <sz val="10"/>
      <name val="Arial Narrow"/>
      <family val="2"/>
    </font>
    <font>
      <u val="doubleAccounting"/>
      <sz val="10"/>
      <name val="Arial"/>
      <family val="2"/>
    </font>
    <font>
      <b/>
      <i/>
      <sz val="8"/>
      <color indexed="12"/>
      <name val="HelveticaNeue Condensed"/>
    </font>
    <font>
      <b/>
      <sz val="7"/>
      <color indexed="12"/>
      <name val="Arial"/>
      <family val="2"/>
    </font>
    <font>
      <u/>
      <sz val="10"/>
      <color indexed="36"/>
      <name val="Arial"/>
      <family val="2"/>
    </font>
    <font>
      <i/>
      <sz val="8"/>
      <color indexed="17"/>
      <name val="Times New Roman"/>
      <family val="1"/>
    </font>
    <font>
      <sz val="8"/>
      <color indexed="21"/>
      <name val="Arial"/>
      <family val="2"/>
    </font>
    <font>
      <b/>
      <sz val="22"/>
      <name val="Arial"/>
      <family val="2"/>
    </font>
    <font>
      <b/>
      <sz val="18"/>
      <name val="Arial"/>
      <family val="2"/>
    </font>
    <font>
      <b/>
      <sz val="14"/>
      <name val="Arial"/>
      <family val="2"/>
    </font>
    <font>
      <b/>
      <sz val="12"/>
      <name val="Arial"/>
      <family val="2"/>
    </font>
    <font>
      <sz val="8"/>
      <color indexed="12"/>
      <name val="Times New Roman"/>
      <family val="1"/>
    </font>
    <font>
      <sz val="10"/>
      <color indexed="12"/>
      <name val="Times New Roman"/>
      <family val="1"/>
    </font>
    <font>
      <b/>
      <sz val="12"/>
      <color indexed="10"/>
      <name val="Arial"/>
      <family val="2"/>
    </font>
    <font>
      <b/>
      <sz val="10"/>
      <color indexed="18"/>
      <name val="Times New Roman"/>
      <family val="1"/>
    </font>
    <font>
      <sz val="8"/>
      <color indexed="8"/>
      <name val="Helvetica"/>
      <family val="2"/>
    </font>
    <font>
      <u/>
      <sz val="6"/>
      <color indexed="12"/>
      <name val="Arial"/>
      <family val="2"/>
    </font>
    <font>
      <u/>
      <sz val="10"/>
      <color indexed="12"/>
      <name val="Arial"/>
      <family val="2"/>
    </font>
    <font>
      <sz val="8"/>
      <color indexed="39"/>
      <name val="Arial"/>
      <family val="2"/>
    </font>
    <font>
      <sz val="8"/>
      <color indexed="10"/>
      <name val="Helv"/>
    </font>
    <font>
      <b/>
      <sz val="10"/>
      <name val="Helv"/>
    </font>
    <font>
      <sz val="10"/>
      <color indexed="16"/>
      <name val="MS Sans Serif"/>
      <family val="2"/>
    </font>
    <font>
      <b/>
      <sz val="12"/>
      <color indexed="17"/>
      <name val="Wingdings"/>
      <charset val="2"/>
    </font>
    <font>
      <b/>
      <sz val="18"/>
      <name val="Times New Roman"/>
      <family val="1"/>
    </font>
    <font>
      <sz val="8"/>
      <color indexed="10"/>
      <name val="Times New Roman"/>
      <family val="1"/>
    </font>
    <font>
      <b/>
      <sz val="8"/>
      <color indexed="14"/>
      <name val="MS Sans Serif"/>
      <family val="2"/>
    </font>
    <font>
      <sz val="8"/>
      <color indexed="18"/>
      <name val="Times New Roman"/>
      <family val="1"/>
    </font>
    <font>
      <i/>
      <sz val="9"/>
      <color indexed="16"/>
      <name val="Arial"/>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ont>
    <font>
      <sz val="10"/>
      <name val="Helv"/>
    </font>
    <font>
      <b/>
      <sz val="8"/>
      <color indexed="18"/>
      <name val="Times New Roman"/>
      <family val="1"/>
    </font>
    <font>
      <sz val="8"/>
      <name val="Univers"/>
      <family val="2"/>
    </font>
    <font>
      <sz val="8"/>
      <color indexed="10"/>
      <name val="Arial"/>
      <family val="2"/>
    </font>
    <font>
      <sz val="10"/>
      <name val="GillSans Light"/>
    </font>
    <font>
      <sz val="8"/>
      <name val="COUR"/>
    </font>
    <font>
      <sz val="12"/>
      <color indexed="12"/>
      <name val="Times New Roman"/>
      <family val="1"/>
    </font>
    <font>
      <sz val="10"/>
      <color indexed="23"/>
      <name val="MS Sans Serif"/>
      <family val="2"/>
    </font>
    <font>
      <b/>
      <sz val="14"/>
      <name val="Times New Roman"/>
      <family val="1"/>
    </font>
    <font>
      <b/>
      <sz val="12"/>
      <name val="MS Sans Serif"/>
      <family val="2"/>
    </font>
    <font>
      <b/>
      <sz val="10"/>
      <name val="GillSans"/>
    </font>
    <font>
      <b/>
      <sz val="7"/>
      <name val="Arial"/>
      <family val="2"/>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8"/>
      <color indexed="9"/>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sz val="10"/>
      <color theme="3" tint="0.39997558519241921"/>
      <name val="Trebuchet MS"/>
      <family val="2"/>
    </font>
    <font>
      <b/>
      <u/>
      <sz val="11"/>
      <color theme="1"/>
      <name val="Calibri"/>
      <family val="2"/>
      <scheme val="minor"/>
    </font>
    <font>
      <b/>
      <sz val="11"/>
      <color theme="0"/>
      <name val="Calibri"/>
      <family val="2"/>
      <scheme val="minor"/>
    </font>
    <font>
      <b/>
      <u/>
      <sz val="10"/>
      <color theme="1"/>
      <name val="Trebuchet MS"/>
      <family val="2"/>
    </font>
    <font>
      <u/>
      <sz val="10"/>
      <color theme="1"/>
      <name val="Trebuchet MS"/>
      <family val="2"/>
    </font>
    <font>
      <sz val="9"/>
      <color theme="1"/>
      <name val="Calibri"/>
      <family val="2"/>
    </font>
    <font>
      <sz val="10"/>
      <color indexed="8"/>
      <name val="Calibri"/>
      <family val="2"/>
    </font>
    <font>
      <sz val="8"/>
      <name val="Calibri"/>
      <family val="2"/>
    </font>
    <font>
      <sz val="18"/>
      <name val="Calibri"/>
      <family val="2"/>
    </font>
    <font>
      <sz val="9"/>
      <name val="Calibri"/>
      <family val="2"/>
    </font>
    <font>
      <sz val="10"/>
      <name val="Calibri"/>
      <family val="2"/>
    </font>
    <font>
      <b/>
      <sz val="10"/>
      <name val="Calibri"/>
      <family val="2"/>
    </font>
    <font>
      <i/>
      <sz val="10"/>
      <name val="Calibri"/>
      <family val="2"/>
    </font>
    <font>
      <b/>
      <i/>
      <sz val="9"/>
      <name val="Calibri"/>
      <family val="2"/>
    </font>
    <font>
      <sz val="9"/>
      <color theme="1"/>
      <name val="Calibri"/>
      <family val="2"/>
      <scheme val="minor"/>
    </font>
    <font>
      <b/>
      <sz val="10"/>
      <color theme="0"/>
      <name val="Trebuchet MS"/>
      <family val="2"/>
    </font>
    <font>
      <sz val="12"/>
      <color theme="1"/>
      <name val="Calibri"/>
      <family val="2"/>
      <scheme val="minor"/>
    </font>
    <font>
      <b/>
      <sz val="10"/>
      <color theme="1"/>
      <name val="Roboto"/>
    </font>
    <font>
      <sz val="10"/>
      <color theme="1"/>
      <name val="Roboto"/>
    </font>
    <font>
      <sz val="11"/>
      <color theme="1"/>
      <name val="Roboto"/>
    </font>
    <font>
      <b/>
      <sz val="10"/>
      <name val="Roboto"/>
    </font>
    <font>
      <b/>
      <sz val="11"/>
      <color theme="1"/>
      <name val="Roboto"/>
    </font>
    <font>
      <sz val="10"/>
      <name val="Roboto"/>
    </font>
    <font>
      <sz val="8"/>
      <name val="Calibri"/>
      <family val="2"/>
      <scheme val="minor"/>
    </font>
    <font>
      <sz val="11"/>
      <color theme="3" tint="0.39997558519241921"/>
      <name val="Calibri"/>
      <family val="2"/>
      <scheme val="minor"/>
    </font>
    <font>
      <i/>
      <sz val="11"/>
      <color theme="1"/>
      <name val="Calibri"/>
      <family val="2"/>
      <scheme val="minor"/>
    </font>
    <font>
      <sz val="12"/>
      <color theme="1"/>
      <name val="Roboto"/>
    </font>
    <font>
      <b/>
      <sz val="12"/>
      <color theme="1"/>
      <name val="Roboto"/>
    </font>
    <font>
      <b/>
      <sz val="11"/>
      <name val="Roboto"/>
    </font>
    <font>
      <sz val="11"/>
      <name val="Roboto"/>
    </font>
    <font>
      <sz val="12"/>
      <name val="Roboto"/>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indexed="9"/>
      <name val="Arial"/>
      <family val="2"/>
    </font>
    <font>
      <sz val="10"/>
      <name val="Verdana"/>
      <family val="2"/>
    </font>
    <font>
      <sz val="11"/>
      <color indexed="8"/>
      <name val="Calibri"/>
      <family val="2"/>
    </font>
    <font>
      <i/>
      <sz val="9"/>
      <name val="Arial"/>
      <family val="2"/>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Times New Roman"/>
      <family val="1"/>
    </font>
    <font>
      <sz val="8"/>
      <name val="Helv"/>
    </font>
    <font>
      <sz val="10"/>
      <name val="Courier"/>
      <family val="3"/>
    </font>
    <font>
      <sz val="12"/>
      <name val="Helv"/>
    </font>
    <font>
      <sz val="10"/>
      <color indexed="8"/>
      <name val="Arial"/>
      <family val="2"/>
    </font>
    <font>
      <sz val="5.75"/>
      <name val="Arial"/>
      <family val="2"/>
    </font>
    <font>
      <sz val="8"/>
      <name val="Geneva"/>
    </font>
    <font>
      <sz val="10"/>
      <color indexed="12"/>
      <name val="MS Sans Serif"/>
      <family val="2"/>
    </font>
    <font>
      <b/>
      <sz val="12"/>
      <name val="Times New Roman"/>
      <family val="1"/>
    </font>
    <font>
      <sz val="7"/>
      <name val="Times New Roman"/>
      <family val="1"/>
    </font>
    <font>
      <b/>
      <sz val="1"/>
      <color indexed="8"/>
      <name val="Courier"/>
      <family val="3"/>
    </font>
    <font>
      <b/>
      <sz val="5.75"/>
      <name val="Arial"/>
      <family val="2"/>
    </font>
    <font>
      <sz val="8"/>
      <color indexed="48"/>
      <name val="Arial"/>
      <family val="2"/>
    </font>
    <font>
      <sz val="10"/>
      <name val="BERNHARD"/>
    </font>
    <font>
      <b/>
      <sz val="14"/>
      <color indexed="56"/>
      <name val="Palatino"/>
      <family val="1"/>
    </font>
    <font>
      <b/>
      <sz val="8"/>
      <name val="Helv"/>
    </font>
    <font>
      <sz val="10"/>
      <name val="Book Antiqua"/>
      <family val="1"/>
    </font>
    <font>
      <sz val="1"/>
      <color indexed="8"/>
      <name val="Courier"/>
      <family val="3"/>
    </font>
    <font>
      <b/>
      <sz val="16"/>
      <name val="Arial"/>
      <family val="2"/>
    </font>
    <font>
      <sz val="10"/>
      <name val="Tahoma"/>
      <family val="2"/>
    </font>
    <font>
      <sz val="12"/>
      <name val="Courier"/>
      <family val="3"/>
    </font>
    <font>
      <sz val="8"/>
      <name val="Tahoma"/>
      <family val="2"/>
    </font>
    <font>
      <b/>
      <sz val="7"/>
      <color indexed="48"/>
      <name val="Tahoma"/>
      <family val="2"/>
    </font>
    <font>
      <sz val="7"/>
      <name val="Palatino"/>
      <family val="1"/>
    </font>
    <font>
      <sz val="18"/>
      <name val="Helvetica-Black"/>
    </font>
    <font>
      <i/>
      <sz val="14"/>
      <name val="Palatino"/>
      <family val="1"/>
    </font>
    <font>
      <b/>
      <sz val="9"/>
      <name val="Helv"/>
    </font>
    <font>
      <sz val="9"/>
      <color indexed="39"/>
      <name val="Arial"/>
      <family val="2"/>
    </font>
    <font>
      <sz val="9"/>
      <color indexed="12"/>
      <name val="Arial"/>
      <family val="2"/>
    </font>
    <font>
      <sz val="10"/>
      <name val="N Helvetica Narrow"/>
      <family val="1"/>
    </font>
    <font>
      <sz val="18"/>
      <name val="Times New Roman"/>
      <family val="1"/>
    </font>
    <font>
      <b/>
      <sz val="13"/>
      <name val="Times New Roman"/>
      <family val="1"/>
    </font>
    <font>
      <b/>
      <i/>
      <sz val="12"/>
      <name val="Times New Roman"/>
      <family val="1"/>
    </font>
    <font>
      <i/>
      <sz val="12"/>
      <name val="Times New Roman"/>
      <family val="1"/>
    </font>
    <font>
      <sz val="12"/>
      <name val="Arial MT"/>
    </font>
    <font>
      <b/>
      <sz val="9"/>
      <name val="Helvetica"/>
      <family val="2"/>
    </font>
    <font>
      <b/>
      <sz val="10"/>
      <name val="Helvetica"/>
      <family val="2"/>
    </font>
    <font>
      <u/>
      <sz val="10"/>
      <name val="Helvetica"/>
      <family val="2"/>
    </font>
    <font>
      <sz val="10"/>
      <name val="Helvetica"/>
      <family val="2"/>
    </font>
    <font>
      <sz val="10"/>
      <color indexed="16"/>
      <name val="Helvetica-Black"/>
    </font>
    <font>
      <b/>
      <u/>
      <sz val="10"/>
      <name val="Arial"/>
      <family val="2"/>
    </font>
    <font>
      <sz val="9"/>
      <name val="Verdana"/>
      <family val="2"/>
    </font>
    <font>
      <i/>
      <sz val="8"/>
      <name val="Arial"/>
      <family val="2"/>
    </font>
    <font>
      <sz val="9"/>
      <name val="Geneva"/>
    </font>
    <font>
      <sz val="10"/>
      <name val="Palatino"/>
      <family val="1"/>
    </font>
    <font>
      <i/>
      <sz val="8"/>
      <color indexed="14"/>
      <name val="Arial"/>
      <family val="2"/>
    </font>
    <font>
      <sz val="10"/>
      <color indexed="12"/>
      <name val="Geneva"/>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2"/>
      <color indexed="56"/>
      <name val="Arial"/>
      <family val="2"/>
    </font>
    <font>
      <sz val="1"/>
      <color indexed="72"/>
      <name val="Courier"/>
      <family val="3"/>
    </font>
    <font>
      <b/>
      <sz val="14"/>
      <name val="Palatino"/>
      <family val="1"/>
    </font>
    <font>
      <b/>
      <sz val="10"/>
      <color indexed="32"/>
      <name val="Arial"/>
      <family val="2"/>
    </font>
    <font>
      <b/>
      <u/>
      <sz val="11"/>
      <name val="Helvetica"/>
      <family val="2"/>
    </font>
    <font>
      <b/>
      <sz val="10"/>
      <color indexed="16"/>
      <name val="Courier"/>
      <family val="3"/>
    </font>
    <font>
      <b/>
      <sz val="12"/>
      <name val="Helvetica"/>
      <family val="2"/>
    </font>
    <font>
      <b/>
      <sz val="9"/>
      <name val="Palatino"/>
      <family val="1"/>
    </font>
    <font>
      <sz val="9"/>
      <color indexed="21"/>
      <name val="Helvetica-Black"/>
    </font>
    <font>
      <sz val="9"/>
      <name val="Helvetica-Black"/>
    </font>
    <font>
      <sz val="11"/>
      <name val="Arial"/>
      <family val="2"/>
    </font>
    <font>
      <b/>
      <u/>
      <sz val="12"/>
      <name val="Arial"/>
      <family val="2"/>
    </font>
    <font>
      <b/>
      <sz val="12"/>
      <color indexed="8"/>
      <name val="Times New Roman"/>
      <family val="1"/>
    </font>
    <font>
      <sz val="10"/>
      <color indexed="32"/>
      <name val="Arial"/>
      <family val="2"/>
    </font>
    <font>
      <b/>
      <sz val="10"/>
      <color indexed="8"/>
      <name val="Arial"/>
      <family val="2"/>
    </font>
    <font>
      <u/>
      <sz val="7.7"/>
      <color indexed="12"/>
      <name val="Calibri"/>
      <family val="2"/>
    </font>
    <font>
      <sz val="12"/>
      <name val="Arial MT"/>
      <family val="2"/>
    </font>
    <font>
      <sz val="12"/>
      <name val="Helv"/>
      <family val="2"/>
    </font>
    <font>
      <b/>
      <sz val="18"/>
      <color indexed="56"/>
      <name val="Cambria"/>
      <family val="2"/>
    </font>
    <font>
      <b/>
      <sz val="14"/>
      <color indexed="8"/>
      <name val="Helvetica"/>
      <family val="2"/>
    </font>
    <font>
      <b/>
      <sz val="10"/>
      <color indexed="8"/>
      <name val="Helvetica"/>
      <family val="2"/>
    </font>
    <font>
      <sz val="10"/>
      <color indexed="8"/>
      <name val="Helvetica"/>
      <family val="2"/>
    </font>
    <font>
      <b/>
      <sz val="12"/>
      <color indexed="8"/>
      <name val="Helvetica"/>
      <family val="2"/>
    </font>
    <font>
      <sz val="8"/>
      <color indexed="12"/>
      <name val="Times"/>
      <family val="1"/>
    </font>
    <font>
      <sz val="10"/>
      <color indexed="18"/>
      <name val="Times New Roman"/>
      <family val="1"/>
    </font>
    <font>
      <sz val="10"/>
      <color indexed="12"/>
      <name val="Arial"/>
      <family val="2"/>
    </font>
    <font>
      <b/>
      <u/>
      <sz val="12"/>
      <name val="Arial Narrow"/>
      <family val="2"/>
    </font>
    <font>
      <sz val="10"/>
      <color indexed="2"/>
      <name val="Tahoma"/>
      <family val="2"/>
    </font>
    <font>
      <b/>
      <sz val="10"/>
      <color indexed="0"/>
      <name val="Tahoma"/>
      <family val="2"/>
    </font>
    <font>
      <b/>
      <i/>
      <sz val="10"/>
      <color indexed="4"/>
      <name val="Tahoma"/>
      <family val="2"/>
    </font>
    <font>
      <sz val="10"/>
      <color indexed="4"/>
      <name val="Tahoma"/>
      <family val="2"/>
    </font>
    <font>
      <sz val="10"/>
      <name val="COUR"/>
    </font>
    <font>
      <sz val="10"/>
      <color indexed="10"/>
      <name val="Arial"/>
      <family val="2"/>
    </font>
    <font>
      <sz val="10"/>
      <color indexed="9"/>
      <name val="Arial"/>
      <family val="2"/>
    </font>
    <font>
      <sz val="10"/>
      <color indexed="17"/>
      <name val="Arial"/>
      <family val="2"/>
    </font>
    <font>
      <b/>
      <sz val="10"/>
      <color indexed="52"/>
      <name val="Arial"/>
      <family val="2"/>
    </font>
    <font>
      <sz val="10"/>
      <color indexed="52"/>
      <name val="Arial"/>
      <family val="2"/>
    </font>
    <font>
      <b/>
      <sz val="11"/>
      <color indexed="56"/>
      <name val="Arial"/>
      <family val="2"/>
    </font>
    <font>
      <sz val="10"/>
      <color indexed="62"/>
      <name val="Arial"/>
      <family val="2"/>
    </font>
    <font>
      <sz val="10"/>
      <color indexed="20"/>
      <name val="Arial"/>
      <family val="2"/>
    </font>
    <font>
      <sz val="10"/>
      <color indexed="60"/>
      <name val="Arial"/>
      <family val="2"/>
    </font>
    <font>
      <b/>
      <sz val="10"/>
      <color indexed="63"/>
      <name val="Arial"/>
      <family val="2"/>
    </font>
    <font>
      <i/>
      <sz val="10"/>
      <color indexed="23"/>
      <name val="Arial"/>
      <family val="2"/>
    </font>
    <font>
      <b/>
      <sz val="15"/>
      <color indexed="56"/>
      <name val="Arial"/>
      <family val="2"/>
    </font>
    <font>
      <b/>
      <sz val="13"/>
      <color indexed="56"/>
      <name val="Arial"/>
      <family val="2"/>
    </font>
    <font>
      <sz val="10"/>
      <color theme="1"/>
      <name val="Arial"/>
      <family val="2"/>
    </font>
    <font>
      <u/>
      <sz val="11"/>
      <color theme="10"/>
      <name val="Calibri"/>
      <family val="2"/>
      <scheme val="minor"/>
    </font>
    <font>
      <sz val="11"/>
      <color rgb="FF9C6500"/>
      <name val="Calibri"/>
      <family val="2"/>
      <scheme val="minor"/>
    </font>
    <font>
      <sz val="11"/>
      <color rgb="FF0000FF"/>
      <name val="Calibri"/>
      <family val="2"/>
      <scheme val="minor"/>
    </font>
    <font>
      <b/>
      <sz val="11"/>
      <color theme="3" tint="0.39997558519241921"/>
      <name val="Roboto"/>
    </font>
    <font>
      <sz val="11"/>
      <color theme="3" tint="0.39997558519241921"/>
      <name val="Roboto"/>
    </font>
    <font>
      <i/>
      <sz val="11"/>
      <color theme="1"/>
      <name val="Roboto"/>
    </font>
    <font>
      <i/>
      <sz val="11"/>
      <name val="Roboto"/>
    </font>
    <font>
      <u/>
      <sz val="11"/>
      <color theme="1"/>
      <name val="Roboto"/>
    </font>
    <font>
      <b/>
      <u/>
      <sz val="11"/>
      <color theme="1"/>
      <name val="Roboto"/>
    </font>
    <font>
      <b/>
      <sz val="12"/>
      <name val="Roboto"/>
    </font>
    <font>
      <b/>
      <u/>
      <sz val="11"/>
      <name val="Roboto"/>
    </font>
    <font>
      <sz val="11"/>
      <color theme="4"/>
      <name val="Roboto"/>
    </font>
    <font>
      <u/>
      <sz val="12"/>
      <color theme="1"/>
      <name val="Roboto"/>
    </font>
    <font>
      <b/>
      <sz val="11"/>
      <color rgb="FFFF0000"/>
      <name val="Roboto"/>
    </font>
    <font>
      <sz val="11"/>
      <color rgb="FFFF0000"/>
      <name val="Roboto"/>
    </font>
    <font>
      <sz val="11"/>
      <color rgb="FFC00000"/>
      <name val="Roboto"/>
    </font>
    <font>
      <sz val="11"/>
      <color indexed="12"/>
      <name val="Roboto"/>
    </font>
    <font>
      <sz val="11"/>
      <color indexed="48"/>
      <name val="Roboto"/>
    </font>
    <font>
      <b/>
      <sz val="11"/>
      <color indexed="12"/>
      <name val="Roboto"/>
    </font>
    <font>
      <b/>
      <sz val="11"/>
      <color theme="3"/>
      <name val="Roboto"/>
    </font>
  </fonts>
  <fills count="11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44"/>
        <bgColor indexed="64"/>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2"/>
        <bgColor indexed="64"/>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22"/>
        <bgColor indexed="64"/>
      </patternFill>
    </fill>
    <fill>
      <patternFill patternType="gray0625"/>
    </fill>
    <fill>
      <patternFill patternType="solid">
        <fgColor indexed="15"/>
        <bgColor indexed="64"/>
      </patternFill>
    </fill>
    <fill>
      <patternFill patternType="solid">
        <fgColor indexed="22"/>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lightGray"/>
    </fill>
    <fill>
      <patternFill patternType="solid">
        <fgColor indexed="9"/>
      </patternFill>
    </fill>
    <fill>
      <patternFill patternType="solid">
        <fgColor indexed="16"/>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65"/>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8"/>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9"/>
        <bgColor indexed="19"/>
      </patternFill>
    </fill>
    <fill>
      <patternFill patternType="solid">
        <fgColor indexed="51"/>
        <bgColor indexed="64"/>
      </patternFill>
    </fill>
    <fill>
      <patternFill patternType="solid">
        <fgColor indexed="55"/>
      </patternFill>
    </fill>
    <fill>
      <patternFill patternType="solid">
        <fgColor indexed="26"/>
        <bgColor indexed="19"/>
      </patternFill>
    </fill>
    <fill>
      <patternFill patternType="solid">
        <fgColor indexed="48"/>
      </patternFill>
    </fill>
    <fill>
      <patternFill patternType="solid">
        <fgColor indexed="51"/>
        <bgColor indexed="19"/>
      </patternFill>
    </fill>
    <fill>
      <patternFill patternType="solid">
        <fgColor indexed="15"/>
      </patternFill>
    </fill>
    <fill>
      <patternFill patternType="solid">
        <fgColor indexed="12"/>
      </patternFill>
    </fill>
    <fill>
      <patternFill patternType="solid">
        <fgColor indexed="26"/>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solid">
        <fgColor indexed="9"/>
        <bgColor indexed="19"/>
      </patternFill>
    </fill>
    <fill>
      <patternFill patternType="solid">
        <fgColor indexed="9"/>
        <bgColor indexed="43"/>
      </patternFill>
    </fill>
    <fill>
      <patternFill patternType="solid">
        <fgColor indexed="19"/>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2" tint="-0.249977111117893"/>
        <bgColor indexed="64"/>
      </patternFill>
    </fill>
  </fills>
  <borders count="87">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12"/>
      </left>
      <right style="medium">
        <color indexed="12"/>
      </right>
      <top style="medium">
        <color indexed="12"/>
      </top>
      <bottom style="medium">
        <color indexed="12"/>
      </bottom>
      <diagonal/>
    </border>
    <border>
      <left/>
      <right/>
      <top/>
      <bottom style="medium">
        <color indexed="64"/>
      </bottom>
      <diagonal/>
    </border>
    <border>
      <left/>
      <right/>
      <top/>
      <bottom style="thin">
        <color indexed="4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ck">
        <color indexed="64"/>
      </top>
      <bottom/>
      <diagonal/>
    </border>
    <border>
      <left/>
      <right/>
      <top/>
      <bottom style="thick">
        <color indexed="18"/>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thin">
        <color indexed="8"/>
      </bottom>
      <diagonal/>
    </border>
    <border>
      <left/>
      <right/>
      <top style="thin">
        <color indexed="64"/>
      </top>
      <bottom style="double">
        <color indexed="64"/>
      </bottom>
      <diagonal/>
    </border>
    <border>
      <left/>
      <right/>
      <top style="thin">
        <color indexed="62"/>
      </top>
      <bottom style="double">
        <color indexed="62"/>
      </bottom>
      <diagonal/>
    </border>
  </borders>
  <cellStyleXfs count="137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13" fillId="0" borderId="0"/>
    <xf numFmtId="43" fontId="3" fillId="0" borderId="0" applyFont="0" applyFill="0" applyBorder="0" applyAlignment="0" applyProtection="0"/>
    <xf numFmtId="0" fontId="3" fillId="0" borderId="0"/>
    <xf numFmtId="0" fontId="14" fillId="0" borderId="0" applyNumberFormat="0" applyFill="0" applyBorder="0" applyAlignment="0" applyProtection="0"/>
    <xf numFmtId="0" fontId="15" fillId="0" borderId="0" applyNumberFormat="0" applyFont="0" applyFill="0" applyBorder="0" applyAlignment="0" applyProtection="0"/>
    <xf numFmtId="0" fontId="3" fillId="0" borderId="0"/>
    <xf numFmtId="171" fontId="3" fillId="0" borderId="0" applyFont="0" applyFill="0" applyBorder="0" applyAlignment="0" applyProtection="0"/>
    <xf numFmtId="172"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15" fillId="0" borderId="0" applyNumberForma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0" fontId="16" fillId="0" borderId="0"/>
    <xf numFmtId="0" fontId="3" fillId="0" borderId="0"/>
    <xf numFmtId="0" fontId="3" fillId="0" borderId="0"/>
    <xf numFmtId="0" fontId="3" fillId="0" borderId="0" applyFont="0" applyFill="0" applyBorder="0" applyAlignment="0" applyProtection="0"/>
    <xf numFmtId="177" fontId="3" fillId="0" borderId="0" applyFont="0" applyFill="0" applyBorder="0" applyAlignment="0" applyProtection="0"/>
    <xf numFmtId="169" fontId="3" fillId="0" borderId="0" applyNumberFormat="0" applyFill="0" applyBorder="0" applyAlignment="0"/>
    <xf numFmtId="178" fontId="3" fillId="0" borderId="0" applyFill="0" applyBorder="0" applyProtection="0">
      <alignment horizontal="right"/>
    </xf>
    <xf numFmtId="0" fontId="3" fillId="0" borderId="0" applyFont="0" applyFill="0" applyBorder="0" applyAlignment="0" applyProtection="0"/>
    <xf numFmtId="0" fontId="3" fillId="0" borderId="0" applyFont="0" applyFill="0" applyBorder="0" applyAlignment="0" applyProtection="0"/>
    <xf numFmtId="170" fontId="17" fillId="5" borderId="0">
      <alignment horizontal="left"/>
    </xf>
    <xf numFmtId="179" fontId="18" fillId="0" borderId="0" applyFont="0" applyFill="0" applyBorder="0" applyAlignment="0" applyProtection="0"/>
    <xf numFmtId="180" fontId="19" fillId="0" borderId="0" applyFont="0" applyFill="0" applyBorder="0" applyAlignment="0" applyProtection="0"/>
    <xf numFmtId="0" fontId="3"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168" fontId="22" fillId="6" borderId="0" applyNumberFormat="0" applyFill="0" applyBorder="0" applyAlignment="0" applyProtection="0">
      <alignment horizontal="right"/>
    </xf>
    <xf numFmtId="0" fontId="3" fillId="0" borderId="0" applyFont="0" applyFill="0" applyBorder="0" applyAlignment="0" applyProtection="0"/>
    <xf numFmtId="181" fontId="3" fillId="0" borderId="0" applyFont="0" applyFill="0" applyBorder="0" applyAlignment="0" applyProtection="0"/>
    <xf numFmtId="0" fontId="3" fillId="0" borderId="0"/>
    <xf numFmtId="182" fontId="23" fillId="0" borderId="0" applyFill="0" applyBorder="0" applyAlignment="0" applyProtection="0">
      <protection locked="0"/>
    </xf>
    <xf numFmtId="0" fontId="24" fillId="7" borderId="0"/>
    <xf numFmtId="171" fontId="18" fillId="0" borderId="0" applyNumberFormat="0" applyFont="0" applyAlignment="0" applyProtection="0"/>
    <xf numFmtId="0" fontId="25" fillId="8" borderId="0" applyNumberFormat="0" applyBorder="0">
      <alignment horizontal="center" vertical="center"/>
    </xf>
    <xf numFmtId="0" fontId="23" fillId="0" borderId="8" applyNumberFormat="0" applyFont="0" applyFill="0" applyAlignment="0" applyProtection="0"/>
    <xf numFmtId="0" fontId="23" fillId="0" borderId="9" applyNumberFormat="0" applyFont="0" applyFill="0" applyAlignment="0" applyProtection="0"/>
    <xf numFmtId="0" fontId="26" fillId="0" borderId="0" applyFont="0" applyFill="0" applyBorder="0" applyAlignment="0" applyProtection="0"/>
    <xf numFmtId="0" fontId="3" fillId="0" borderId="0"/>
    <xf numFmtId="39" fontId="27" fillId="0" borderId="4" applyNumberFormat="0" applyFill="0" applyBorder="0"/>
    <xf numFmtId="182" fontId="23" fillId="0" borderId="0" applyFont="0" applyFill="0" applyBorder="0" applyAlignment="0" applyProtection="0">
      <protection locked="0"/>
    </xf>
    <xf numFmtId="183" fontId="28" fillId="0" borderId="0" applyNumberFormat="0" applyAlignment="0">
      <alignment vertical="center"/>
    </xf>
    <xf numFmtId="0" fontId="29" fillId="0" borderId="0">
      <alignment horizontal="center" wrapText="1"/>
      <protection hidden="1"/>
    </xf>
    <xf numFmtId="0" fontId="30" fillId="9" borderId="8" applyNumberFormat="0" applyProtection="0">
      <alignment horizontal="center" vertical="center" wrapText="1"/>
    </xf>
    <xf numFmtId="0" fontId="30" fillId="9" borderId="0" applyNumberFormat="0" applyBorder="0" applyProtection="0">
      <alignment horizontal="centerContinuous" vertical="center"/>
    </xf>
    <xf numFmtId="0" fontId="30" fillId="9" borderId="10" applyNumberFormat="0" applyBorder="0" applyProtection="0">
      <alignment horizontal="center" vertical="center" wrapText="1"/>
    </xf>
    <xf numFmtId="0" fontId="31" fillId="10" borderId="0" applyNumberFormat="0">
      <alignment horizontal="center" vertical="top" wrapText="1"/>
    </xf>
    <xf numFmtId="0" fontId="31" fillId="10" borderId="0" applyNumberFormat="0">
      <alignment horizontal="left" vertical="top" wrapText="1"/>
    </xf>
    <xf numFmtId="0" fontId="31" fillId="10" borderId="0" applyNumberFormat="0">
      <alignment horizontal="centerContinuous" vertical="top"/>
    </xf>
    <xf numFmtId="0" fontId="32" fillId="10" borderId="0" applyNumberFormat="0">
      <alignment horizontal="center" vertical="top" wrapText="1"/>
    </xf>
    <xf numFmtId="0" fontId="31" fillId="11" borderId="0" applyNumberFormat="0">
      <alignment horizontal="center" vertical="top" wrapText="1"/>
    </xf>
    <xf numFmtId="0" fontId="18" fillId="0" borderId="11" applyNumberFormat="0" applyFont="0" applyFill="0" applyAlignment="0" applyProtection="0">
      <alignment horizontal="left"/>
    </xf>
    <xf numFmtId="170" fontId="3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alignment horizontal="right"/>
    </xf>
    <xf numFmtId="43"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35" fillId="0" borderId="0" applyFont="0" applyFill="0" applyBorder="0" applyAlignment="0" applyProtection="0"/>
    <xf numFmtId="171" fontId="13" fillId="0" borderId="0"/>
    <xf numFmtId="3" fontId="36" fillId="0" borderId="0" applyFont="0" applyFill="0" applyBorder="0" applyAlignment="0" applyProtection="0"/>
    <xf numFmtId="0" fontId="37" fillId="12" borderId="0">
      <alignment horizontal="center" vertical="center" wrapText="1"/>
    </xf>
    <xf numFmtId="0" fontId="3" fillId="0" borderId="0">
      <alignment horizontal="left"/>
    </xf>
    <xf numFmtId="0" fontId="3" fillId="0" borderId="0"/>
    <xf numFmtId="0" fontId="3" fillId="0" borderId="0">
      <alignment horizontal="left"/>
    </xf>
    <xf numFmtId="184" fontId="29" fillId="0" borderId="0" applyFill="0" applyBorder="0">
      <alignment horizontal="right"/>
      <protection locked="0"/>
    </xf>
    <xf numFmtId="185" fontId="38" fillId="0" borderId="0" applyFont="0"/>
    <xf numFmtId="186" fontId="32" fillId="0" borderId="0" applyFont="0" applyFill="0" applyBorder="0" applyAlignment="0" applyProtection="0">
      <alignment vertical="center"/>
    </xf>
    <xf numFmtId="187" fontId="38" fillId="0" borderId="0" applyFont="0"/>
    <xf numFmtId="188" fontId="3" fillId="0" borderId="0"/>
    <xf numFmtId="189" fontId="3" fillId="0" borderId="0" applyFont="0" applyFill="0" applyBorder="0" applyAlignment="0"/>
    <xf numFmtId="0" fontId="34" fillId="0" borderId="0" applyFont="0" applyFill="0" applyBorder="0" applyAlignment="0" applyProtection="0">
      <alignment horizontal="right"/>
    </xf>
    <xf numFmtId="0" fontId="34" fillId="0" borderId="0" applyFont="0" applyFill="0" applyBorder="0" applyAlignment="0" applyProtection="0">
      <alignment horizontal="right"/>
    </xf>
    <xf numFmtId="190" fontId="32" fillId="0" borderId="0" applyFont="0" applyFill="0" applyBorder="0" applyAlignment="0" applyProtection="0">
      <alignment vertical="center"/>
    </xf>
    <xf numFmtId="191" fontId="32" fillId="0" borderId="0" applyFont="0" applyFill="0" applyBorder="0" applyAlignment="0" applyProtection="0">
      <alignment vertical="center"/>
    </xf>
    <xf numFmtId="192" fontId="32" fillId="0" borderId="0" applyFont="0" applyFill="0" applyBorder="0" applyAlignment="0" applyProtection="0">
      <alignment vertical="center"/>
    </xf>
    <xf numFmtId="193" fontId="32" fillId="0" borderId="0" applyFont="0" applyFill="0" applyBorder="0" applyAlignment="0" applyProtection="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196" fontId="32" fillId="0" borderId="0" applyFont="0" applyFill="0" applyBorder="0" applyAlignment="0" applyProtection="0">
      <alignment vertical="center"/>
    </xf>
    <xf numFmtId="197" fontId="32" fillId="0" borderId="0" applyFont="0" applyFill="0" applyBorder="0" applyAlignment="0" applyProtection="0">
      <alignment vertical="center"/>
    </xf>
    <xf numFmtId="198" fontId="32" fillId="0" borderId="0" applyFont="0" applyFill="0" applyBorder="0" applyAlignment="0" applyProtection="0">
      <alignment vertical="center"/>
    </xf>
    <xf numFmtId="199" fontId="32" fillId="0" borderId="0" applyFont="0" applyFill="0" applyBorder="0" applyAlignment="0" applyProtection="0">
      <alignment vertical="center"/>
    </xf>
    <xf numFmtId="200" fontId="32" fillId="0" borderId="0" applyFont="0" applyFill="0" applyBorder="0" applyAlignment="0" applyProtection="0">
      <alignment vertical="center"/>
    </xf>
    <xf numFmtId="201" fontId="32" fillId="0" borderId="0" applyFont="0" applyFill="0" applyBorder="0" applyAlignment="0" applyProtection="0">
      <alignment vertical="center"/>
    </xf>
    <xf numFmtId="202" fontId="3" fillId="0" borderId="0" applyFont="0" applyFill="0" applyBorder="0" applyAlignment="0" applyProtection="0"/>
    <xf numFmtId="0" fontId="3" fillId="0" borderId="0">
      <alignment horizontal="right"/>
      <protection locked="0"/>
    </xf>
    <xf numFmtId="203" fontId="32" fillId="0" borderId="0" applyFont="0" applyFill="0" applyBorder="0" applyAlignment="0" applyProtection="0">
      <alignment vertical="center"/>
    </xf>
    <xf numFmtId="204" fontId="32" fillId="0" borderId="0" applyFont="0" applyFill="0" applyBorder="0" applyAlignment="0" applyProtection="0">
      <alignment vertical="center"/>
    </xf>
    <xf numFmtId="15" fontId="39" fillId="0" borderId="0" applyFill="0" applyBorder="0" applyAlignment="0"/>
    <xf numFmtId="0" fontId="39" fillId="5" borderId="0" applyFont="0" applyFill="0" applyBorder="0" applyAlignment="0" applyProtection="0"/>
    <xf numFmtId="205" fontId="3" fillId="5" borderId="12" applyFont="0" applyFill="0" applyBorder="0" applyAlignment="0" applyProtection="0"/>
    <xf numFmtId="206" fontId="3" fillId="5" borderId="0" applyFont="0" applyFill="0" applyBorder="0" applyAlignment="0" applyProtection="0"/>
    <xf numFmtId="17" fontId="39" fillId="0" borderId="0" applyFill="0" applyBorder="0">
      <alignment horizontal="right"/>
    </xf>
    <xf numFmtId="164" fontId="3" fillId="0" borderId="6" applyFont="0" applyFill="0" applyBorder="0" applyAlignment="0" applyProtection="0"/>
    <xf numFmtId="0" fontId="34" fillId="0" borderId="0" applyFont="0" applyFill="0" applyBorder="0" applyAlignment="0" applyProtection="0"/>
    <xf numFmtId="0" fontId="3" fillId="0" borderId="0">
      <alignment horizontal="right"/>
      <protection locked="0"/>
    </xf>
    <xf numFmtId="206" fontId="3" fillId="0" borderId="0" applyFill="0" applyBorder="0">
      <alignment horizontal="right"/>
    </xf>
    <xf numFmtId="14" fontId="40" fillId="0" borderId="0" applyFont="0" applyFill="0" applyBorder="0" applyAlignment="0" applyProtection="0">
      <alignment horizontal="center"/>
    </xf>
    <xf numFmtId="207" fontId="40" fillId="0" borderId="0" applyFont="0" applyFill="0" applyBorder="0" applyAlignment="0" applyProtection="0">
      <alignment horizontal="center"/>
    </xf>
    <xf numFmtId="208" fontId="41" fillId="0" borderId="4" applyNumberFormat="0" applyFill="0" applyBorder="0" applyAlignment="0">
      <alignment horizontal="left"/>
      <protection locked="0"/>
    </xf>
    <xf numFmtId="209" fontId="18" fillId="0" borderId="0" applyFont="0" applyFill="0" applyBorder="0" applyAlignment="0" applyProtection="0"/>
    <xf numFmtId="0" fontId="42" fillId="0" borderId="0">
      <protection locked="0"/>
    </xf>
    <xf numFmtId="189" fontId="23" fillId="0" borderId="0" applyFont="0" applyFill="0" applyBorder="0" applyAlignment="0" applyProtection="0"/>
    <xf numFmtId="0" fontId="13" fillId="0" borderId="0"/>
    <xf numFmtId="210" fontId="23" fillId="0" borderId="0" applyFont="0" applyFill="0" applyBorder="0" applyAlignment="0" applyProtection="0"/>
    <xf numFmtId="0" fontId="34" fillId="0" borderId="13" applyNumberFormat="0" applyFont="0" applyFill="0" applyAlignment="0" applyProtection="0"/>
    <xf numFmtId="0" fontId="43" fillId="0" borderId="0" applyFill="0" applyBorder="0" applyAlignment="0" applyProtection="0"/>
    <xf numFmtId="165" fontId="44" fillId="0" borderId="14" applyNumberFormat="0" applyAlignment="0" applyProtection="0">
      <alignment vertical="top"/>
    </xf>
    <xf numFmtId="0" fontId="13" fillId="13" borderId="0" applyNumberFormat="0" applyFont="0" applyBorder="0" applyAlignment="0" applyProtection="0"/>
    <xf numFmtId="211" fontId="18" fillId="0" borderId="0" applyFont="0" applyFill="0" applyBorder="0" applyAlignment="0"/>
    <xf numFmtId="189" fontId="23" fillId="0" borderId="0" applyFont="0" applyFill="0" applyBorder="0" applyAlignment="0" applyProtection="0">
      <alignment horizontal="right"/>
    </xf>
    <xf numFmtId="212" fontId="18" fillId="0" borderId="0" applyFont="0" applyFill="0" applyBorder="0" applyProtection="0">
      <alignment horizontal="left"/>
      <protection locked="0"/>
    </xf>
    <xf numFmtId="213" fontId="18" fillId="0" borderId="0" applyFont="0" applyFill="0" applyBorder="0" applyProtection="0">
      <alignment horizontal="left"/>
      <protection locked="0"/>
    </xf>
    <xf numFmtId="189" fontId="3" fillId="0" borderId="0"/>
    <xf numFmtId="165" fontId="3" fillId="0" borderId="0"/>
    <xf numFmtId="171" fontId="3" fillId="0" borderId="0"/>
    <xf numFmtId="214" fontId="3" fillId="0" borderId="0" applyFont="0" applyFill="0" applyBorder="0" applyAlignment="0" applyProtection="0"/>
    <xf numFmtId="215" fontId="18" fillId="6" borderId="0">
      <alignment horizontal="right"/>
    </xf>
    <xf numFmtId="3" fontId="45" fillId="0" borderId="0" applyNumberFormat="0" applyFont="0" applyFill="0" applyBorder="0" applyAlignment="0" applyProtection="0">
      <alignment horizontal="left"/>
    </xf>
    <xf numFmtId="2" fontId="36" fillId="0" borderId="0" applyFont="0" applyFill="0" applyBorder="0" applyAlignment="0" applyProtection="0"/>
    <xf numFmtId="0" fontId="3" fillId="5" borderId="0" applyFont="0" applyFill="0" applyBorder="0" applyAlignment="0"/>
    <xf numFmtId="0" fontId="13" fillId="0" borderId="0"/>
    <xf numFmtId="0" fontId="46" fillId="0" borderId="0" applyNumberFormat="0" applyFill="0" applyBorder="0" applyAlignment="0" applyProtection="0">
      <alignment vertical="top"/>
      <protection locked="0"/>
    </xf>
    <xf numFmtId="0" fontId="3" fillId="0" borderId="0">
      <alignment horizontal="left"/>
    </xf>
    <xf numFmtId="0" fontId="3" fillId="0" borderId="0">
      <alignment horizontal="left"/>
    </xf>
    <xf numFmtId="0" fontId="3" fillId="0" borderId="0" applyFill="0" applyBorder="0" applyProtection="0">
      <alignment horizontal="left"/>
    </xf>
    <xf numFmtId="0" fontId="3" fillId="0" borderId="0">
      <alignment horizontal="left"/>
    </xf>
    <xf numFmtId="0" fontId="3" fillId="0" borderId="0">
      <alignment horizontal="left"/>
    </xf>
    <xf numFmtId="0" fontId="13" fillId="0" borderId="0"/>
    <xf numFmtId="216" fontId="23" fillId="0" borderId="0" applyFill="0" applyBorder="0" applyAlignment="0" applyProtection="0">
      <protection locked="0"/>
    </xf>
    <xf numFmtId="38" fontId="13" fillId="14" borderId="0" applyNumberFormat="0" applyFont="0" applyBorder="0" applyAlignment="0">
      <protection hidden="1"/>
    </xf>
    <xf numFmtId="217" fontId="47" fillId="0" borderId="0" applyFill="0" applyBorder="0" applyAlignment="0" applyProtection="0"/>
    <xf numFmtId="217" fontId="48" fillId="0" borderId="0" applyAlignment="0">
      <alignment horizontal="left"/>
      <protection locked="0"/>
    </xf>
    <xf numFmtId="0" fontId="49" fillId="10" borderId="0" applyNumberFormat="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horizontal="left" vertical="center"/>
    </xf>
    <xf numFmtId="0" fontId="31" fillId="0" borderId="0" applyNumberFormat="0" applyFill="0" applyBorder="0" applyAlignment="0" applyProtection="0">
      <alignment vertical="center"/>
    </xf>
    <xf numFmtId="0" fontId="18" fillId="0" borderId="0"/>
    <xf numFmtId="218" fontId="53" fillId="0" borderId="0" applyNumberFormat="0" applyFill="0" applyBorder="0" applyAlignment="0" applyProtection="0"/>
    <xf numFmtId="2" fontId="54" fillId="15" borderId="0"/>
    <xf numFmtId="219" fontId="39" fillId="5" borderId="10" applyNumberFormat="0" applyFont="0" applyAlignment="0"/>
    <xf numFmtId="0" fontId="34" fillId="0" borderId="0" applyFont="0" applyFill="0" applyBorder="0" applyAlignment="0" applyProtection="0">
      <alignment horizontal="right"/>
    </xf>
    <xf numFmtId="0" fontId="3" fillId="1" borderId="0" applyNumberFormat="0" applyBorder="0" applyProtection="0">
      <alignment horizontal="left" vertical="center"/>
    </xf>
    <xf numFmtId="0" fontId="3" fillId="0" borderId="0" applyProtection="0">
      <alignment horizontal="right"/>
    </xf>
    <xf numFmtId="0" fontId="3" fillId="0" borderId="0">
      <alignment horizontal="left"/>
    </xf>
    <xf numFmtId="0" fontId="55" fillId="16" borderId="0">
      <alignment horizontal="left"/>
    </xf>
    <xf numFmtId="0" fontId="3" fillId="17" borderId="0"/>
    <xf numFmtId="0" fontId="3" fillId="0" borderId="0">
      <alignment horizontal="left"/>
    </xf>
    <xf numFmtId="0" fontId="3" fillId="0" borderId="4">
      <alignment horizontal="left" vertical="top"/>
    </xf>
    <xf numFmtId="0" fontId="3" fillId="0" borderId="0">
      <alignment horizontal="left"/>
    </xf>
    <xf numFmtId="0" fontId="3" fillId="0" borderId="4">
      <alignment horizontal="left" vertical="top"/>
    </xf>
    <xf numFmtId="0" fontId="3" fillId="0" borderId="0">
      <alignment horizontal="left"/>
    </xf>
    <xf numFmtId="0" fontId="56" fillId="0" borderId="0"/>
    <xf numFmtId="0" fontId="32" fillId="2" borderId="0" applyNumberFormat="0" applyFont="0" applyBorder="0" applyAlignment="0" applyProtection="0">
      <alignment vertical="center"/>
    </xf>
    <xf numFmtId="220" fontId="57" fillId="0" borderId="0" applyNumberFormat="0" applyFill="0" applyBorder="0" applyAlignment="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216" fontId="23" fillId="0" borderId="0" applyFill="0" applyBorder="0" applyAlignment="0" applyProtection="0">
      <alignment horizontal="right"/>
      <protection locked="0"/>
    </xf>
    <xf numFmtId="0" fontId="34" fillId="0" borderId="0" applyNumberFormat="0" applyFill="0" applyBorder="0" applyAlignment="0" applyProtection="0"/>
    <xf numFmtId="10" fontId="13" fillId="5" borderId="10" applyNumberFormat="0" applyBorder="0" applyAlignment="0" applyProtection="0"/>
    <xf numFmtId="0" fontId="32" fillId="0" borderId="15" applyNumberFormat="0" applyAlignment="0">
      <alignment vertical="center"/>
    </xf>
    <xf numFmtId="189" fontId="13" fillId="0" borderId="0"/>
    <xf numFmtId="0" fontId="32" fillId="0" borderId="16" applyNumberFormat="0" applyAlignment="0">
      <alignment vertical="center"/>
      <protection locked="0"/>
    </xf>
    <xf numFmtId="206" fontId="3" fillId="5" borderId="0" applyFont="0" applyBorder="0" applyAlignment="0" applyProtection="0">
      <protection locked="0"/>
    </xf>
    <xf numFmtId="221" fontId="32" fillId="18" borderId="16" applyNumberFormat="0" applyAlignment="0">
      <alignment vertical="center"/>
      <protection locked="0"/>
    </xf>
    <xf numFmtId="0" fontId="13" fillId="5" borderId="0" applyFont="0" applyBorder="0" applyAlignment="0">
      <protection locked="0"/>
    </xf>
    <xf numFmtId="0" fontId="32" fillId="10" borderId="0" applyNumberFormat="0" applyAlignment="0">
      <alignment vertical="center"/>
    </xf>
    <xf numFmtId="0" fontId="32" fillId="19" borderId="0" applyNumberFormat="0" applyAlignment="0">
      <alignment vertical="center"/>
    </xf>
    <xf numFmtId="0" fontId="54" fillId="0" borderId="0" applyNumberFormat="0" applyFill="0" applyBorder="0" applyAlignment="0" applyProtection="0"/>
    <xf numFmtId="216" fontId="13" fillId="5" borderId="0">
      <protection locked="0"/>
    </xf>
    <xf numFmtId="0" fontId="32" fillId="0" borderId="17" applyNumberFormat="0" applyAlignment="0">
      <alignment vertical="center"/>
      <protection locked="0"/>
    </xf>
    <xf numFmtId="222" fontId="3" fillId="5" borderId="0" applyFont="0" applyBorder="0" applyAlignment="0">
      <protection locked="0"/>
    </xf>
    <xf numFmtId="10" fontId="13" fillId="5" borderId="0">
      <protection locked="0"/>
    </xf>
    <xf numFmtId="0" fontId="13" fillId="5" borderId="0" applyFont="0" applyBorder="0" applyAlignment="0">
      <protection locked="0"/>
    </xf>
    <xf numFmtId="216" fontId="60" fillId="5" borderId="0" applyNumberFormat="0" applyBorder="0" applyAlignment="0">
      <protection locked="0"/>
    </xf>
    <xf numFmtId="10" fontId="3" fillId="0" borderId="0">
      <protection locked="0"/>
    </xf>
    <xf numFmtId="0" fontId="3" fillId="5" borderId="10"/>
    <xf numFmtId="0" fontId="3" fillId="5" borderId="10"/>
    <xf numFmtId="0" fontId="42" fillId="0" borderId="0" applyNumberFormat="0" applyFill="0" applyBorder="0" applyAlignment="0">
      <protection locked="0"/>
    </xf>
    <xf numFmtId="15" fontId="3" fillId="0" borderId="0">
      <protection locked="0"/>
    </xf>
    <xf numFmtId="2" fontId="3" fillId="0" borderId="18">
      <protection locked="0"/>
    </xf>
    <xf numFmtId="0" fontId="3" fillId="0" borderId="0">
      <protection locked="0"/>
    </xf>
    <xf numFmtId="0" fontId="29" fillId="0" borderId="0" applyFill="0" applyBorder="0">
      <alignment horizontal="right"/>
      <protection locked="0"/>
    </xf>
    <xf numFmtId="223" fontId="29" fillId="0" borderId="0" applyFill="0" applyBorder="0">
      <alignment horizontal="right"/>
      <protection locked="0"/>
    </xf>
    <xf numFmtId="224" fontId="42" fillId="20" borderId="0" applyBorder="0"/>
    <xf numFmtId="0" fontId="14" fillId="21" borderId="19">
      <alignment horizontal="left" vertical="center" wrapText="1"/>
    </xf>
    <xf numFmtId="4" fontId="54" fillId="15" borderId="0"/>
    <xf numFmtId="1" fontId="61" fillId="1" borderId="20">
      <protection locked="0"/>
    </xf>
    <xf numFmtId="168" fontId="62" fillId="0" borderId="6" applyNumberFormat="0" applyFill="0">
      <alignment vertical="center"/>
    </xf>
    <xf numFmtId="37" fontId="63" fillId="0" borderId="0" applyNumberFormat="0" applyFill="0" applyBorder="0" applyAlignment="0" applyProtection="0">
      <alignment horizontal="right"/>
    </xf>
    <xf numFmtId="171" fontId="64" fillId="0" borderId="0" applyNumberFormat="0" applyFont="0" applyFill="0" applyBorder="0" applyAlignment="0">
      <protection hidden="1"/>
    </xf>
    <xf numFmtId="0" fontId="65" fillId="0" borderId="0" applyNumberFormat="0" applyFill="0" applyBorder="0" applyProtection="0">
      <alignment horizontal="left" vertical="center"/>
    </xf>
    <xf numFmtId="1" fontId="66" fillId="0" borderId="0"/>
    <xf numFmtId="0" fontId="67" fillId="0" borderId="0"/>
    <xf numFmtId="225" fontId="3" fillId="20" borderId="0" applyBorder="0" applyAlignment="0">
      <alignment horizontal="right"/>
    </xf>
    <xf numFmtId="226" fontId="68" fillId="0" borderId="0" applyFill="0" applyBorder="0" applyAlignment="0" applyProtection="0"/>
    <xf numFmtId="40" fontId="29" fillId="0" borderId="0" applyFont="0" applyFill="0" applyBorder="0" applyAlignment="0" applyProtection="0"/>
    <xf numFmtId="227" fontId="35" fillId="0" borderId="0" applyFont="0" applyFill="0" applyBorder="0" applyAlignment="0" applyProtection="0"/>
    <xf numFmtId="228" fontId="18" fillId="0" borderId="0" applyFont="0" applyFill="0" applyBorder="0" applyAlignment="0" applyProtection="0"/>
    <xf numFmtId="229" fontId="35" fillId="0" borderId="0" applyFont="0" applyFill="0" applyBorder="0" applyAlignment="0" applyProtection="0"/>
    <xf numFmtId="165" fontId="3" fillId="0" borderId="0"/>
    <xf numFmtId="230" fontId="35" fillId="0" borderId="0" applyFont="0" applyFill="0" applyBorder="0" applyAlignment="0" applyProtection="0"/>
    <xf numFmtId="231" fontId="3" fillId="0" borderId="0" applyFont="0" applyFill="0" applyBorder="0" applyAlignment="0"/>
    <xf numFmtId="232" fontId="35" fillId="0" borderId="0" applyFont="0" applyFill="0" applyBorder="0" applyAlignment="0" applyProtection="0"/>
    <xf numFmtId="0" fontId="34" fillId="0" borderId="0" applyFont="0" applyFill="0" applyBorder="0" applyAlignment="0" applyProtection="0">
      <alignment horizontal="right"/>
    </xf>
    <xf numFmtId="169" fontId="3" fillId="14" borderId="0" applyFont="0" applyBorder="0" applyAlignment="0" applyProtection="0">
      <alignment horizontal="right"/>
      <protection hidden="1"/>
    </xf>
    <xf numFmtId="0" fontId="69" fillId="0" borderId="0" applyNumberFormat="0" applyAlignment="0">
      <alignment vertical="center"/>
    </xf>
    <xf numFmtId="0" fontId="42" fillId="0" borderId="21" applyBorder="0" applyAlignment="0" applyProtection="0">
      <alignment horizontal="center"/>
    </xf>
    <xf numFmtId="37" fontId="70" fillId="0" borderId="0"/>
    <xf numFmtId="0" fontId="3" fillId="0" borderId="0"/>
    <xf numFmtId="1" fontId="71" fillId="0" borderId="0" applyFill="0" applyBorder="0"/>
    <xf numFmtId="38" fontId="13" fillId="0" borderId="0" applyFont="0" applyFill="0" applyBorder="0" applyAlignment="0"/>
    <xf numFmtId="216" fontId="3" fillId="0" borderId="0" applyFont="0" applyFill="0" applyBorder="0" applyAlignment="0"/>
    <xf numFmtId="40" fontId="13" fillId="0" borderId="0" applyFont="0" applyFill="0" applyBorder="0" applyAlignment="0"/>
    <xf numFmtId="233" fontId="3" fillId="0" borderId="0" applyFont="0" applyFill="0" applyBorder="0" applyAlignment="0"/>
    <xf numFmtId="0" fontId="3" fillId="0" borderId="0"/>
    <xf numFmtId="0" fontId="3" fillId="0" borderId="0"/>
    <xf numFmtId="0" fontId="3" fillId="0" borderId="0"/>
    <xf numFmtId="216" fontId="39" fillId="0" borderId="0" applyNumberFormat="0" applyFill="0" applyBorder="0" applyAlignment="0" applyProtection="0"/>
    <xf numFmtId="0" fontId="13" fillId="0" borderId="0" applyFont="0" applyFill="0" applyBorder="0" applyAlignment="0" applyProtection="0"/>
    <xf numFmtId="218" fontId="18" fillId="0" borderId="0" applyFill="0" applyBorder="0" applyAlignment="0" applyProtection="0"/>
    <xf numFmtId="0" fontId="3" fillId="0" borderId="0"/>
    <xf numFmtId="166" fontId="3" fillId="0" borderId="0"/>
    <xf numFmtId="37" fontId="72" fillId="0" borderId="0" applyNumberFormat="0" applyFont="0" applyFill="0" applyBorder="0" applyAlignment="0" applyProtection="0"/>
    <xf numFmtId="0" fontId="73" fillId="0" borderId="18"/>
    <xf numFmtId="234" fontId="3" fillId="0" borderId="0" applyFont="0" applyFill="0" applyBorder="0" applyAlignment="0" applyProtection="0"/>
    <xf numFmtId="221" fontId="32" fillId="0" borderId="0" applyFont="0" applyFill="0" applyBorder="0" applyAlignment="0" applyProtection="0">
      <alignment vertical="center"/>
    </xf>
    <xf numFmtId="183" fontId="32" fillId="0" borderId="0" applyFont="0" applyFill="0" applyBorder="0" applyAlignment="0" applyProtection="0">
      <alignment vertical="center"/>
    </xf>
    <xf numFmtId="38" fontId="18" fillId="0" borderId="22" applyFont="0" applyFill="0" applyBorder="0" applyAlignment="0" applyProtection="0"/>
    <xf numFmtId="235" fontId="3" fillId="0" borderId="0" applyFont="0" applyFill="0" applyBorder="0" applyAlignment="0" applyProtection="0"/>
    <xf numFmtId="236" fontId="74" fillId="22" borderId="4" applyFont="0" applyBorder="0"/>
    <xf numFmtId="169" fontId="75" fillId="0" borderId="0"/>
    <xf numFmtId="0" fontId="3" fillId="0" borderId="10">
      <alignment vertical="center" wrapText="1"/>
    </xf>
    <xf numFmtId="1" fontId="3" fillId="0" borderId="0" applyProtection="0">
      <alignment horizontal="right" vertical="center"/>
    </xf>
    <xf numFmtId="0" fontId="30" fillId="0" borderId="23" applyNumberFormat="0" applyAlignment="0" applyProtection="0"/>
    <xf numFmtId="0" fontId="18" fillId="10" borderId="0" applyNumberFormat="0" applyFont="0" applyBorder="0" applyAlignment="0" applyProtection="0"/>
    <xf numFmtId="0" fontId="13" fillId="11" borderId="18" applyNumberFormat="0" applyFont="0" applyBorder="0" applyAlignment="0" applyProtection="0">
      <alignment horizontal="center"/>
    </xf>
    <xf numFmtId="0" fontId="13" fillId="4" borderId="18" applyNumberFormat="0" applyFont="0" applyBorder="0" applyAlignment="0" applyProtection="0">
      <alignment horizontal="center"/>
    </xf>
    <xf numFmtId="0" fontId="18" fillId="0" borderId="24" applyNumberFormat="0" applyAlignment="0" applyProtection="0"/>
    <xf numFmtId="0" fontId="18" fillId="0" borderId="25" applyNumberFormat="0" applyAlignment="0" applyProtection="0"/>
    <xf numFmtId="0" fontId="30" fillId="0" borderId="26" applyNumberFormat="0" applyAlignment="0" applyProtection="0"/>
    <xf numFmtId="0" fontId="42" fillId="0" borderId="6">
      <alignment vertical="center"/>
    </xf>
    <xf numFmtId="0" fontId="13" fillId="0" borderId="0"/>
    <xf numFmtId="165" fontId="76" fillId="0" borderId="0" applyFill="0" applyBorder="0" applyProtection="0">
      <alignment vertical="top"/>
    </xf>
    <xf numFmtId="0" fontId="29" fillId="0" borderId="0" applyFont="0" applyFill="0" applyBorder="0" applyAlignment="0" applyProtection="0"/>
    <xf numFmtId="165" fontId="77" fillId="0" borderId="0" applyFont="0" applyFill="0" applyBorder="0" applyAlignment="0" applyProtection="0"/>
    <xf numFmtId="10" fontId="77" fillId="0" borderId="0" applyFont="0" applyFill="0" applyBorder="0" applyAlignment="0" applyProtection="0"/>
    <xf numFmtId="0" fontId="3" fillId="0" borderId="0" applyFont="0" applyFill="0" applyBorder="0" applyAlignment="0"/>
    <xf numFmtId="222" fontId="3" fillId="0" borderId="0" applyFont="0" applyFill="0" applyBorder="0" applyAlignment="0"/>
    <xf numFmtId="237" fontId="3" fillId="13" borderId="0" applyFont="0" applyFill="0" applyBorder="0" applyAlignment="0" applyProtection="0"/>
    <xf numFmtId="9" fontId="18" fillId="0" borderId="0"/>
    <xf numFmtId="10" fontId="18" fillId="0" borderId="0"/>
    <xf numFmtId="9" fontId="18" fillId="0" borderId="0"/>
    <xf numFmtId="9" fontId="3" fillId="0" borderId="0" applyFont="0" applyFill="0" applyBorder="0" applyAlignment="0" applyProtection="0"/>
    <xf numFmtId="238" fontId="32" fillId="0" borderId="0" applyFont="0" applyFill="0" applyBorder="0" applyAlignment="0" applyProtection="0">
      <alignment horizontal="right" vertical="center"/>
    </xf>
    <xf numFmtId="239" fontId="32" fillId="0" borderId="0" applyFont="0" applyFill="0" applyBorder="0" applyAlignment="0" applyProtection="0">
      <alignment vertical="center"/>
    </xf>
    <xf numFmtId="240" fontId="18" fillId="0" borderId="0" applyFont="0" applyFill="0" applyBorder="0" applyAlignment="0" applyProtection="0"/>
    <xf numFmtId="241" fontId="29" fillId="0" borderId="0" applyFill="0" applyBorder="0">
      <alignment horizontal="right"/>
      <protection locked="0"/>
    </xf>
    <xf numFmtId="217" fontId="23" fillId="0" borderId="0" applyFont="0" applyFill="0" applyBorder="0" applyAlignment="0" applyProtection="0"/>
    <xf numFmtId="177" fontId="3" fillId="0" borderId="0" applyFont="0" applyFill="0" applyBorder="0" applyAlignment="0" applyProtection="0"/>
    <xf numFmtId="189" fontId="23" fillId="0" borderId="0" applyFont="0" applyFill="0" applyBorder="0" applyAlignment="0" applyProtection="0"/>
    <xf numFmtId="216" fontId="23" fillId="0" borderId="0" applyFont="0" applyFill="0" applyBorder="0" applyAlignment="0" applyProtection="0">
      <protection locked="0"/>
    </xf>
    <xf numFmtId="226" fontId="73" fillId="0" borderId="0" applyFill="0" applyBorder="0" applyAlignment="0" applyProtection="0"/>
    <xf numFmtId="242" fontId="3" fillId="0" borderId="0" applyFont="0" applyFill="0" applyBorder="0" applyAlignment="0"/>
    <xf numFmtId="9" fontId="35" fillId="0" borderId="0" applyFont="0" applyFill="0" applyBorder="0" applyAlignment="0" applyProtection="0"/>
    <xf numFmtId="216" fontId="23" fillId="0" borderId="0" applyFill="0" applyBorder="0" applyAlignment="0" applyProtection="0"/>
    <xf numFmtId="38" fontId="23" fillId="0" borderId="0" applyFont="0" applyFill="0" applyBorder="0" applyAlignment="0" applyProtection="0"/>
    <xf numFmtId="189" fontId="78" fillId="0" borderId="27">
      <alignment horizontal="right"/>
    </xf>
    <xf numFmtId="10" fontId="23" fillId="0" borderId="0"/>
    <xf numFmtId="0" fontId="3" fillId="0" borderId="0">
      <alignment horizontal="right"/>
    </xf>
    <xf numFmtId="0" fontId="3" fillId="0" borderId="0"/>
    <xf numFmtId="243" fontId="3" fillId="0" borderId="0"/>
    <xf numFmtId="244" fontId="79" fillId="0" borderId="0"/>
    <xf numFmtId="243" fontId="3" fillId="0" borderId="0"/>
    <xf numFmtId="244" fontId="79" fillId="0" borderId="0"/>
    <xf numFmtId="244" fontId="79" fillId="0" borderId="0"/>
    <xf numFmtId="243" fontId="3" fillId="0" borderId="0"/>
    <xf numFmtId="244" fontId="79" fillId="0" borderId="0"/>
    <xf numFmtId="244" fontId="79" fillId="0" borderId="0"/>
    <xf numFmtId="244" fontId="79" fillId="0" borderId="0"/>
    <xf numFmtId="243" fontId="3" fillId="0" borderId="0"/>
    <xf numFmtId="244" fontId="79" fillId="0" borderId="0"/>
    <xf numFmtId="244" fontId="79" fillId="0" borderId="0"/>
    <xf numFmtId="243" fontId="3" fillId="0" borderId="0"/>
    <xf numFmtId="244" fontId="79" fillId="0" borderId="0"/>
    <xf numFmtId="244" fontId="79" fillId="0" borderId="0"/>
    <xf numFmtId="0" fontId="3" fillId="0" borderId="0"/>
    <xf numFmtId="0" fontId="3" fillId="0" borderId="0"/>
    <xf numFmtId="0" fontId="3" fillId="0" borderId="0"/>
    <xf numFmtId="245" fontId="29" fillId="0" borderId="0">
      <alignment horizontal="right"/>
      <protection locked="0"/>
    </xf>
    <xf numFmtId="216" fontId="80" fillId="0" borderId="0" applyNumberFormat="0" applyFill="0" applyBorder="0" applyAlignment="0" applyProtection="0">
      <alignment horizontal="left"/>
    </xf>
    <xf numFmtId="216" fontId="40" fillId="0" borderId="0" applyFont="0" applyFill="0" applyBorder="0" applyAlignment="0" applyProtection="0"/>
    <xf numFmtId="0" fontId="81" fillId="0" borderId="0" applyNumberFormat="0" applyFill="0" applyBorder="0" applyProtection="0">
      <alignment horizontal="right" vertical="center"/>
    </xf>
    <xf numFmtId="0" fontId="3" fillId="0" borderId="0">
      <alignment horizontal="right"/>
    </xf>
    <xf numFmtId="0" fontId="3" fillId="0" borderId="0">
      <alignment horizontal="right"/>
    </xf>
    <xf numFmtId="0" fontId="3" fillId="0" borderId="0" applyFill="0" applyBorder="0" applyProtection="0">
      <alignment horizontal="right"/>
    </xf>
    <xf numFmtId="0" fontId="3" fillId="0" borderId="0">
      <alignment horizontal="right"/>
    </xf>
    <xf numFmtId="0" fontId="18" fillId="0" borderId="28" applyNumberFormat="0" applyFont="0" applyFill="0" applyAlignment="0" applyProtection="0"/>
    <xf numFmtId="0" fontId="30" fillId="9" borderId="29" applyNumberFormat="0" applyBorder="0" applyProtection="0">
      <alignment horizontal="left" wrapText="1"/>
    </xf>
    <xf numFmtId="0" fontId="30" fillId="9" borderId="0" applyNumberFormat="0" applyBorder="0" applyProtection="0">
      <alignment horizontal="left"/>
    </xf>
    <xf numFmtId="0" fontId="82" fillId="23" borderId="0" applyFont="0" applyFill="0" applyAlignment="0"/>
    <xf numFmtId="0" fontId="31" fillId="0" borderId="0" applyNumberFormat="0" applyFill="0" applyBorder="0">
      <alignment horizontal="left" vertical="center" wrapText="1"/>
    </xf>
    <xf numFmtId="0" fontId="32" fillId="0" borderId="0" applyNumberFormat="0" applyFill="0" applyBorder="0">
      <alignment horizontal="left" vertical="center" wrapText="1" indent="1"/>
    </xf>
    <xf numFmtId="0" fontId="13"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208" fontId="83" fillId="0" borderId="4" applyNumberFormat="0" applyFill="0" applyBorder="0">
      <protection locked="0"/>
    </xf>
    <xf numFmtId="0" fontId="3" fillId="0" borderId="30">
      <alignment vertical="center"/>
    </xf>
    <xf numFmtId="246" fontId="84" fillId="0" borderId="0" applyFill="0" applyBorder="0">
      <alignment horizontal="right"/>
      <protection hidden="1"/>
    </xf>
    <xf numFmtId="0" fontId="85" fillId="0" borderId="0" applyNumberFormat="0" applyFill="0" applyBorder="0" applyProtection="0">
      <alignment horizontal="left" vertical="center"/>
    </xf>
    <xf numFmtId="0" fontId="86" fillId="12" borderId="10">
      <alignment horizontal="center" vertical="center" wrapText="1"/>
      <protection hidden="1"/>
    </xf>
    <xf numFmtId="182" fontId="23" fillId="0" borderId="0" applyFill="0" applyBorder="0" applyAlignment="0" applyProtection="0">
      <protection locked="0"/>
    </xf>
    <xf numFmtId="0" fontId="26" fillId="0" borderId="0" applyFill="0" applyBorder="0" applyAlignment="0" applyProtection="0"/>
    <xf numFmtId="40" fontId="18" fillId="0" borderId="0" applyFont="0" applyFill="0" applyBorder="0" applyAlignment="0" applyProtection="0"/>
    <xf numFmtId="247" fontId="18" fillId="0" borderId="0" applyFont="0" applyFill="0" applyBorder="0" applyAlignment="0" applyProtection="0"/>
    <xf numFmtId="168" fontId="62" fillId="0" borderId="0" applyNumberFormat="0" applyFill="0" applyBorder="0" applyAlignment="0"/>
    <xf numFmtId="0" fontId="29" fillId="0" borderId="0"/>
    <xf numFmtId="0" fontId="18" fillId="0" borderId="0" applyFont="0" applyFill="0" applyBorder="0" applyAlignment="0" applyProtection="0"/>
    <xf numFmtId="0" fontId="13" fillId="10" borderId="0" applyNumberFormat="0" applyFont="0" applyBorder="0" applyAlignment="0">
      <protection hidden="1"/>
    </xf>
    <xf numFmtId="0" fontId="77" fillId="0" borderId="0"/>
    <xf numFmtId="0" fontId="3" fillId="0" borderId="0"/>
    <xf numFmtId="0" fontId="87" fillId="0" borderId="0" applyNumberFormat="0" applyFill="0" applyBorder="0" applyProtection="0">
      <alignment horizontal="left" vertical="center"/>
    </xf>
    <xf numFmtId="221" fontId="31" fillId="0" borderId="31" applyNumberFormat="0" applyFill="0" applyAlignment="0" applyProtection="0">
      <alignment vertical="center"/>
    </xf>
    <xf numFmtId="0" fontId="23" fillId="0" borderId="0"/>
    <xf numFmtId="221" fontId="32" fillId="0" borderId="32" applyNumberFormat="0" applyFont="0" applyFill="0" applyAlignment="0" applyProtection="0">
      <alignment vertical="center"/>
    </xf>
    <xf numFmtId="0" fontId="3" fillId="0" borderId="0" applyBorder="0" applyProtection="0">
      <alignment vertical="center"/>
    </xf>
    <xf numFmtId="0" fontId="34" fillId="0" borderId="6" applyBorder="0" applyProtection="0">
      <alignment horizontal="right" vertical="center"/>
    </xf>
    <xf numFmtId="0" fontId="3" fillId="24" borderId="0" applyBorder="0" applyProtection="0">
      <alignment horizontal="centerContinuous" vertical="center"/>
    </xf>
    <xf numFmtId="0" fontId="3" fillId="7" borderId="6" applyBorder="0" applyProtection="0">
      <alignment horizontal="centerContinuous" vertical="center"/>
    </xf>
    <xf numFmtId="0" fontId="3" fillId="0" borderId="0">
      <alignment horizontal="left"/>
    </xf>
    <xf numFmtId="218" fontId="13" fillId="0" borderId="0">
      <alignment horizontal="right"/>
    </xf>
    <xf numFmtId="3" fontId="13" fillId="0" borderId="0">
      <alignment horizontal="right"/>
    </xf>
    <xf numFmtId="0" fontId="32" fillId="14" borderId="0" applyNumberFormat="0" applyFont="0" applyBorder="0" applyAlignment="0" applyProtection="0">
      <alignment vertical="center"/>
    </xf>
    <xf numFmtId="0" fontId="3" fillId="0" borderId="0">
      <alignment horizontal="left"/>
    </xf>
    <xf numFmtId="0" fontId="88" fillId="0" borderId="0" applyFill="0" applyBorder="0" applyProtection="0"/>
    <xf numFmtId="0" fontId="3" fillId="0" borderId="0"/>
    <xf numFmtId="0" fontId="3" fillId="0" borderId="0" applyFill="0" applyBorder="0" applyProtection="0">
      <alignment horizontal="left"/>
    </xf>
    <xf numFmtId="0" fontId="32" fillId="0" borderId="0" applyNumberFormat="0" applyFont="0" applyFill="0" applyAlignment="0" applyProtection="0">
      <alignment vertical="center"/>
    </xf>
    <xf numFmtId="0" fontId="3" fillId="0" borderId="4" applyFill="0" applyBorder="0" applyProtection="0">
      <alignment horizontal="left" vertical="top"/>
    </xf>
    <xf numFmtId="221" fontId="32" fillId="0" borderId="0" applyNumberFormat="0" applyFont="0" applyBorder="0" applyAlignment="0" applyProtection="0">
      <alignment vertical="center"/>
    </xf>
    <xf numFmtId="0" fontId="3" fillId="23" borderId="33" applyNumberFormat="0" applyAlignment="0" applyProtection="0">
      <alignment vertical="center"/>
    </xf>
    <xf numFmtId="0" fontId="23" fillId="0" borderId="0"/>
    <xf numFmtId="0" fontId="89" fillId="0" borderId="0">
      <alignment horizontal="centerContinuous"/>
    </xf>
    <xf numFmtId="0" fontId="3" fillId="19" borderId="0" applyNumberFormat="0" applyFont="0" applyBorder="0" applyAlignment="0" applyProtection="0"/>
    <xf numFmtId="49" fontId="34" fillId="0" borderId="6">
      <alignment vertical="center"/>
    </xf>
    <xf numFmtId="49" fontId="32" fillId="0" borderId="0" applyFont="0" applyFill="0" applyBorder="0" applyAlignment="0" applyProtection="0">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248" fontId="3" fillId="0" borderId="0" applyFill="0" applyBorder="0" applyAlignment="0" applyProtection="0">
      <alignment horizontal="right"/>
    </xf>
    <xf numFmtId="1" fontId="40" fillId="0" borderId="1" applyFill="0" applyBorder="0" applyProtection="0">
      <alignment horizontal="right"/>
    </xf>
    <xf numFmtId="249" fontId="3" fillId="0" borderId="0"/>
    <xf numFmtId="0" fontId="18" fillId="0" borderId="0" applyNumberFormat="0" applyFill="0" applyBorder="0" applyAlignment="0" applyProtection="0"/>
    <xf numFmtId="0" fontId="38" fillId="0" borderId="0" applyNumberFormat="0" applyFill="0" applyBorder="0" applyAlignment="0" applyProtection="0"/>
    <xf numFmtId="250" fontId="79" fillId="0" borderId="0"/>
    <xf numFmtId="0" fontId="30" fillId="9" borderId="8" applyNumberFormat="0" applyProtection="0">
      <alignment horizontal="left" vertical="center"/>
    </xf>
    <xf numFmtId="0" fontId="40" fillId="0" borderId="0" applyFill="0" applyBorder="0" applyProtection="0"/>
    <xf numFmtId="0" fontId="3" fillId="0" borderId="34"/>
    <xf numFmtId="216" fontId="90" fillId="0" borderId="35"/>
    <xf numFmtId="216" fontId="78" fillId="0" borderId="0" applyNumberFormat="0" applyFill="0" applyBorder="0" applyAlignment="0" applyProtection="0"/>
    <xf numFmtId="0" fontId="29" fillId="0" borderId="0" applyBorder="0"/>
    <xf numFmtId="208" fontId="19" fillId="0" borderId="0" applyNumberFormat="0" applyFill="0" applyBorder="0" applyAlignment="0"/>
    <xf numFmtId="0" fontId="3" fillId="0" borderId="0"/>
    <xf numFmtId="0" fontId="3" fillId="0" borderId="0"/>
    <xf numFmtId="0" fontId="3" fillId="0" borderId="0" applyNumberFormat="0" applyFont="0" applyFill="0" applyBorder="0" applyAlignment="0">
      <alignment horizontal="left" vertical="center"/>
    </xf>
    <xf numFmtId="171" fontId="3" fillId="0" borderId="3" applyNumberFormat="0" applyFont="0" applyFill="0" applyAlignment="0"/>
    <xf numFmtId="0" fontId="31" fillId="10" borderId="0" applyNumberFormat="0" applyAlignment="0" applyProtection="0">
      <alignment horizontal="left" vertical="center" wrapText="1"/>
    </xf>
    <xf numFmtId="233" fontId="3" fillId="0" borderId="0" applyFont="0" applyFill="0" applyBorder="0" applyAlignment="0" applyProtection="0"/>
    <xf numFmtId="251" fontId="3" fillId="0" borderId="0" applyFont="0" applyFill="0" applyBorder="0" applyAlignment="0" applyProtection="0"/>
    <xf numFmtId="181" fontId="3" fillId="0" borderId="0" applyFont="0" applyFill="0" applyBorder="0" applyAlignment="0" applyProtection="0"/>
    <xf numFmtId="170" fontId="91" fillId="0" borderId="6" applyAlignment="0">
      <alignment horizontal="left"/>
      <protection locked="0"/>
    </xf>
    <xf numFmtId="0" fontId="32" fillId="0" borderId="0" applyNumberFormat="0" applyFont="0" applyBorder="0" applyAlignment="0" applyProtection="0">
      <alignment vertical="center"/>
    </xf>
    <xf numFmtId="0" fontId="3" fillId="0" borderId="0"/>
    <xf numFmtId="0" fontId="92" fillId="0" borderId="0"/>
    <xf numFmtId="0" fontId="32" fillId="0" borderId="0" applyNumberFormat="0" applyFont="0" applyAlignment="0" applyProtection="0">
      <alignment vertical="center"/>
    </xf>
    <xf numFmtId="252" fontId="3" fillId="0" borderId="0" applyNumberFormat="0"/>
    <xf numFmtId="0" fontId="93" fillId="0" borderId="0" applyNumberFormat="0" applyFont="0" applyFill="0" applyBorder="0" applyAlignment="0" applyProtection="0">
      <alignment horizontal="left"/>
    </xf>
    <xf numFmtId="0" fontId="94" fillId="0" borderId="0" applyNumberFormat="0" applyFill="0" applyBorder="0" applyAlignment="0" applyProtection="0"/>
    <xf numFmtId="1" fontId="23" fillId="0" borderId="0" applyFont="0" applyFill="0" applyBorder="0" applyAlignment="0" applyProtection="0"/>
    <xf numFmtId="0" fontId="18" fillId="9" borderId="0" applyNumberFormat="0" applyBorder="0" applyProtection="0">
      <alignment horizontal="left"/>
    </xf>
    <xf numFmtId="222" fontId="23" fillId="0" borderId="0" applyFont="0" applyFill="0" applyBorder="0" applyProtection="0">
      <alignment horizontal="right"/>
    </xf>
    <xf numFmtId="0" fontId="26" fillId="0" borderId="0" applyFont="0" applyFill="0" applyBorder="0" applyAlignment="0" applyProtection="0"/>
    <xf numFmtId="40" fontId="95" fillId="0" borderId="0" applyFont="0" applyFill="0" applyBorder="0" applyAlignment="0" applyProtection="0"/>
    <xf numFmtId="38"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6" fillId="0" borderId="0"/>
    <xf numFmtId="0" fontId="97" fillId="0" borderId="0" applyFont="0" applyFill="0" applyBorder="0" applyAlignment="0" applyProtection="0"/>
    <xf numFmtId="0" fontId="97" fillId="0" borderId="0" applyFont="0" applyFill="0" applyBorder="0" applyAlignment="0" applyProtection="0"/>
    <xf numFmtId="254" fontId="3" fillId="0" borderId="0" applyFont="0" applyFill="0" applyBorder="0" applyAlignment="0" applyProtection="0"/>
    <xf numFmtId="0" fontId="97" fillId="0" borderId="0" applyFont="0" applyFill="0" applyBorder="0" applyAlignment="0" applyProtection="0"/>
    <xf numFmtId="0" fontId="98" fillId="0" borderId="0"/>
    <xf numFmtId="0" fontId="104" fillId="0" borderId="0"/>
    <xf numFmtId="181" fontId="104" fillId="0" borderId="0" applyFont="0" applyFill="0" applyBorder="0" applyAlignment="0" applyProtection="0"/>
    <xf numFmtId="0" fontId="115" fillId="0" borderId="0"/>
    <xf numFmtId="0" fontId="1" fillId="0" borderId="0"/>
    <xf numFmtId="9" fontId="115" fillId="0" borderId="0" applyFont="0" applyFill="0" applyBorder="0" applyAlignment="0" applyProtection="0"/>
    <xf numFmtId="0" fontId="131" fillId="0" borderId="59" applyNumberFormat="0" applyFill="0" applyAlignment="0" applyProtection="0"/>
    <xf numFmtId="0" fontId="132" fillId="0" borderId="60" applyNumberFormat="0" applyFill="0" applyAlignment="0" applyProtection="0"/>
    <xf numFmtId="0" fontId="133" fillId="0" borderId="61" applyNumberFormat="0" applyFill="0" applyAlignment="0" applyProtection="0"/>
    <xf numFmtId="0" fontId="133" fillId="0" borderId="0" applyNumberFormat="0" applyFill="0" applyBorder="0" applyAlignment="0" applyProtection="0"/>
    <xf numFmtId="0" fontId="134" fillId="34" borderId="0" applyNumberFormat="0" applyBorder="0" applyAlignment="0" applyProtection="0"/>
    <xf numFmtId="0" fontId="135" fillId="35" borderId="0" applyNumberFormat="0" applyBorder="0" applyAlignment="0" applyProtection="0"/>
    <xf numFmtId="0" fontId="136" fillId="37" borderId="62" applyNumberFormat="0" applyAlignment="0" applyProtection="0"/>
    <xf numFmtId="0" fontId="137" fillId="38" borderId="63" applyNumberFormat="0" applyAlignment="0" applyProtection="0"/>
    <xf numFmtId="0" fontId="138" fillId="38" borderId="62" applyNumberFormat="0" applyAlignment="0" applyProtection="0"/>
    <xf numFmtId="0" fontId="139" fillId="0" borderId="64" applyNumberFormat="0" applyFill="0" applyAlignment="0" applyProtection="0"/>
    <xf numFmtId="0" fontId="101" fillId="39" borderId="65"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2" fillId="0" borderId="67" applyNumberFormat="0" applyFill="0" applyAlignment="0" applyProtection="0"/>
    <xf numFmtId="0" fontId="14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4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42"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4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42"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42"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2" fillId="0" borderId="0"/>
    <xf numFmtId="0" fontId="3" fillId="0" borderId="0" applyNumberFormat="0" applyFill="0" applyBorder="0" applyAlignment="0" applyProtection="0"/>
    <xf numFmtId="261" fontId="3" fillId="0" borderId="0" applyNumberFormat="0" applyFill="0" applyBorder="0" applyAlignment="0" applyProtection="0"/>
    <xf numFmtId="252" fontId="32" fillId="0" borderId="0"/>
    <xf numFmtId="0" fontId="2" fillId="0" borderId="0"/>
    <xf numFmtId="0" fontId="144" fillId="0" borderId="0"/>
    <xf numFmtId="261" fontId="3" fillId="0" borderId="0"/>
    <xf numFmtId="0" fontId="144" fillId="0" borderId="0"/>
    <xf numFmtId="0" fontId="3" fillId="0" borderId="0"/>
    <xf numFmtId="0" fontId="144" fillId="0" borderId="0"/>
    <xf numFmtId="0" fontId="3" fillId="0" borderId="0"/>
    <xf numFmtId="0" fontId="3" fillId="0" borderId="0"/>
    <xf numFmtId="0" fontId="2" fillId="0" borderId="0"/>
    <xf numFmtId="0" fontId="2" fillId="0" borderId="0"/>
    <xf numFmtId="0" fontId="2" fillId="0" borderId="0"/>
    <xf numFmtId="0" fontId="2" fillId="0" borderId="0"/>
    <xf numFmtId="262" fontId="3" fillId="0" borderId="0" applyFont="0" applyFill="0" applyBorder="0" applyAlignment="0" applyProtection="0"/>
    <xf numFmtId="263" fontId="3" fillId="0" borderId="0" applyFont="0" applyFill="0" applyBorder="0" applyAlignment="0" applyProtection="0"/>
    <xf numFmtId="0" fontId="3" fillId="0" borderId="0" applyFont="0" applyFill="0" applyBorder="0" applyAlignment="0" applyProtection="0"/>
    <xf numFmtId="261" fontId="3" fillId="0" borderId="0" applyFont="0" applyFill="0" applyBorder="0" applyAlignment="0" applyProtection="0"/>
    <xf numFmtId="0" fontId="147" fillId="0" borderId="0"/>
    <xf numFmtId="261" fontId="147" fillId="0" borderId="0"/>
    <xf numFmtId="0" fontId="147" fillId="0" borderId="0"/>
    <xf numFmtId="261" fontId="147" fillId="0" borderId="0"/>
    <xf numFmtId="0" fontId="3" fillId="0" borderId="0" applyFont="0" applyFill="0" applyBorder="0" applyAlignment="0" applyProtection="0"/>
    <xf numFmtId="261" fontId="3" fillId="0" borderId="0" applyFon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47" fillId="0" borderId="0"/>
    <xf numFmtId="261" fontId="147" fillId="0" borderId="0"/>
    <xf numFmtId="0" fontId="15" fillId="0" borderId="0" applyNumberFormat="0" applyFill="0" applyBorder="0" applyAlignment="0" applyProtection="0"/>
    <xf numFmtId="261" fontId="15" fillId="0" borderId="0" applyNumberFormat="0" applyFill="0" applyBorder="0" applyAlignment="0" applyProtection="0"/>
    <xf numFmtId="0" fontId="147" fillId="0" borderId="0"/>
    <xf numFmtId="261" fontId="147" fillId="0" borderId="0"/>
    <xf numFmtId="0" fontId="15" fillId="0" borderId="0" applyNumberFormat="0" applyFill="0" applyBorder="0" applyAlignment="0" applyProtection="0"/>
    <xf numFmtId="261" fontId="15" fillId="0" borderId="0" applyNumberForma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47" fillId="0" borderId="0"/>
    <xf numFmtId="261" fontId="147" fillId="0" borderId="0"/>
    <xf numFmtId="0" fontId="147" fillId="0" borderId="0"/>
    <xf numFmtId="261" fontId="147" fillId="0" borderId="0"/>
    <xf numFmtId="264"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265" fontId="3" fillId="0" borderId="0" applyFont="0" applyFill="0" applyBorder="0" applyAlignment="0" applyProtection="0"/>
    <xf numFmtId="172"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5" fontId="3" fillId="0" borderId="0" applyFont="0" applyFill="0" applyBorder="0" applyAlignment="0" applyProtection="0"/>
    <xf numFmtId="266" fontId="3" fillId="0" borderId="0" applyFont="0" applyFill="0" applyBorder="0" applyAlignment="0" applyProtection="0"/>
    <xf numFmtId="267"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268" fontId="3" fillId="0" borderId="0" applyFont="0" applyFill="0" applyBorder="0" applyAlignment="0" applyProtection="0"/>
    <xf numFmtId="0" fontId="3" fillId="0" borderId="0" applyFont="0" applyFill="0" applyBorder="0" applyAlignment="0" applyProtection="0"/>
    <xf numFmtId="261" fontId="3" fillId="0" borderId="0" applyFont="0" applyFill="0" applyBorder="0" applyAlignment="0" applyProtection="0"/>
    <xf numFmtId="0" fontId="148" fillId="0" borderId="0" applyNumberFormat="0" applyFill="0" applyBorder="0" applyAlignment="0" applyProtection="0"/>
    <xf numFmtId="261" fontId="148" fillId="0" borderId="0" applyNumberFormat="0" applyFill="0" applyBorder="0" applyAlignment="0" applyProtection="0"/>
    <xf numFmtId="0" fontId="148" fillId="0" borderId="0" applyNumberFormat="0" applyFill="0" applyBorder="0" applyAlignment="0" applyProtection="0"/>
    <xf numFmtId="261" fontId="148" fillId="0" borderId="0" applyNumberFormat="0" applyFill="0" applyBorder="0" applyAlignment="0" applyProtection="0"/>
    <xf numFmtId="0" fontId="148" fillId="0" borderId="0" applyNumberFormat="0" applyFill="0" applyBorder="0" applyAlignment="0" applyProtection="0"/>
    <xf numFmtId="261" fontId="148" fillId="0" borderId="0" applyNumberFormat="0" applyFill="0" applyBorder="0" applyAlignment="0" applyProtection="0"/>
    <xf numFmtId="0" fontId="148" fillId="0" borderId="0" applyNumberFormat="0" applyFill="0" applyBorder="0" applyAlignment="0" applyProtection="0"/>
    <xf numFmtId="261" fontId="148" fillId="0" borderId="0" applyNumberFormat="0" applyFill="0" applyBorder="0" applyAlignment="0" applyProtection="0"/>
    <xf numFmtId="0" fontId="148" fillId="0" borderId="0" applyNumberFormat="0" applyFill="0" applyBorder="0" applyAlignment="0" applyProtection="0"/>
    <xf numFmtId="261" fontId="148" fillId="0" borderId="0" applyNumberFormat="0" applyFill="0" applyBorder="0" applyAlignment="0" applyProtection="0"/>
    <xf numFmtId="0" fontId="3" fillId="65" borderId="0" applyNumberFormat="0" applyFont="0" applyAlignment="0" applyProtection="0"/>
    <xf numFmtId="261" fontId="3" fillId="65" borderId="0" applyNumberFormat="0" applyFont="0" applyAlignment="0" applyProtection="0"/>
    <xf numFmtId="0" fontId="3" fillId="0" borderId="0" applyFont="0" applyFill="0" applyBorder="0" applyAlignment="0" applyProtection="0"/>
    <xf numFmtId="261" fontId="3" fillId="0" borderId="0" applyFont="0" applyFill="0" applyBorder="0" applyAlignment="0" applyProtection="0"/>
    <xf numFmtId="0" fontId="3" fillId="0" borderId="0" applyFont="0" applyFill="0" applyBorder="0" applyAlignment="0" applyProtection="0"/>
    <xf numFmtId="261" fontId="3" fillId="0" borderId="0" applyFont="0" applyFill="0" applyBorder="0" applyAlignment="0" applyProtection="0"/>
    <xf numFmtId="269"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270" fontId="3" fillId="0" borderId="0" applyFont="0" applyFill="0" applyBorder="0" applyProtection="0">
      <alignment horizontal="right"/>
    </xf>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262" fontId="3" fillId="0" borderId="0" applyFont="0" applyFill="0" applyBorder="0" applyProtection="0">
      <alignment horizontal="right"/>
    </xf>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0" fontId="15" fillId="0" borderId="0" applyNumberFormat="0" applyFill="0" applyBorder="0" applyAlignment="0" applyProtection="0"/>
    <xf numFmtId="261" fontId="15" fillId="0" borderId="0" applyNumberFormat="0" applyFill="0" applyBorder="0" applyAlignment="0" applyProtection="0"/>
    <xf numFmtId="0" fontId="149" fillId="0" borderId="0" applyNumberFormat="0" applyFill="0" applyBorder="0" applyProtection="0">
      <alignment vertical="top"/>
    </xf>
    <xf numFmtId="261" fontId="149" fillId="0" borderId="0" applyNumberFormat="0" applyFill="0" applyBorder="0" applyProtection="0">
      <alignment vertical="top"/>
    </xf>
    <xf numFmtId="0" fontId="149" fillId="0" borderId="0" applyNumberFormat="0" applyFill="0" applyBorder="0" applyProtection="0">
      <alignment vertical="top"/>
    </xf>
    <xf numFmtId="261" fontId="149" fillId="0" borderId="0" applyNumberFormat="0" applyFill="0" applyBorder="0" applyProtection="0">
      <alignment vertical="top"/>
    </xf>
    <xf numFmtId="0" fontId="149" fillId="0" borderId="0" applyNumberFormat="0" applyFill="0" applyBorder="0" applyProtection="0">
      <alignment vertical="top"/>
    </xf>
    <xf numFmtId="261" fontId="149" fillId="0" borderId="0" applyNumberFormat="0" applyFill="0" applyBorder="0" applyProtection="0">
      <alignment vertical="top"/>
    </xf>
    <xf numFmtId="0" fontId="149" fillId="0" borderId="0" applyNumberFormat="0" applyFill="0" applyBorder="0" applyProtection="0">
      <alignment vertical="top"/>
    </xf>
    <xf numFmtId="261" fontId="149" fillId="0" borderId="0" applyNumberFormat="0" applyFill="0" applyBorder="0" applyProtection="0">
      <alignment vertical="top"/>
    </xf>
    <xf numFmtId="0" fontId="149" fillId="0" borderId="0" applyNumberFormat="0" applyFill="0" applyBorder="0" applyProtection="0">
      <alignment vertical="top"/>
    </xf>
    <xf numFmtId="261" fontId="149" fillId="0" borderId="0" applyNumberFormat="0" applyFill="0" applyBorder="0" applyProtection="0">
      <alignment vertical="top"/>
    </xf>
    <xf numFmtId="0" fontId="150" fillId="0" borderId="68" applyNumberFormat="0" applyFill="0" applyAlignment="0" applyProtection="0"/>
    <xf numFmtId="261" fontId="150" fillId="0" borderId="68" applyNumberFormat="0" applyFill="0" applyAlignment="0" applyProtection="0"/>
    <xf numFmtId="0" fontId="151" fillId="0" borderId="69" applyNumberFormat="0" applyFill="0" applyProtection="0">
      <alignment horizontal="center"/>
    </xf>
    <xf numFmtId="261" fontId="151" fillId="0" borderId="69" applyNumberFormat="0" applyFill="0" applyProtection="0">
      <alignment horizontal="center"/>
    </xf>
    <xf numFmtId="0" fontId="151" fillId="0" borderId="0" applyNumberFormat="0" applyFill="0" applyBorder="0" applyProtection="0">
      <alignment horizontal="left"/>
    </xf>
    <xf numFmtId="261" fontId="151" fillId="0" borderId="0" applyNumberFormat="0" applyFill="0" applyBorder="0" applyProtection="0">
      <alignment horizontal="left"/>
    </xf>
    <xf numFmtId="0" fontId="152" fillId="0" borderId="0" applyNumberFormat="0" applyFill="0" applyBorder="0" applyProtection="0">
      <alignment horizontal="centerContinuous"/>
    </xf>
    <xf numFmtId="261" fontId="152" fillId="0" borderId="0" applyNumberFormat="0" applyFill="0" applyBorder="0" applyProtection="0">
      <alignment horizontal="centerContinuous"/>
    </xf>
    <xf numFmtId="0" fontId="15" fillId="0" borderId="0" applyNumberFormat="0" applyFill="0" applyBorder="0" applyAlignment="0" applyProtection="0"/>
    <xf numFmtId="261" fontId="15" fillId="0" borderId="0" applyNumberFormat="0" applyFill="0" applyBorder="0" applyAlignment="0" applyProtection="0"/>
    <xf numFmtId="0" fontId="3" fillId="0" borderId="0"/>
    <xf numFmtId="0" fontId="3" fillId="0" borderId="0" applyFont="0" applyFill="0" applyBorder="0" applyAlignment="0" applyProtection="0"/>
    <xf numFmtId="261" fontId="3" fillId="0" borderId="0" applyFont="0" applyFill="0" applyBorder="0" applyAlignment="0" applyProtection="0"/>
    <xf numFmtId="271" fontId="153" fillId="0" borderId="0" applyFont="0" applyFill="0" applyBorder="0" applyAlignment="0" applyProtection="0"/>
    <xf numFmtId="272" fontId="153" fillId="0" borderId="0" applyFont="0" applyFill="0" applyBorder="0" applyAlignment="0" applyProtection="0"/>
    <xf numFmtId="0" fontId="3" fillId="0" borderId="0"/>
    <xf numFmtId="0" fontId="38" fillId="0" borderId="0" applyNumberFormat="0" applyFill="0" applyBorder="0" applyAlignment="0" applyProtection="0"/>
    <xf numFmtId="0" fontId="144" fillId="0" borderId="0"/>
    <xf numFmtId="261" fontId="3" fillId="0" borderId="0"/>
    <xf numFmtId="0" fontId="3" fillId="0" borderId="0"/>
    <xf numFmtId="0" fontId="153" fillId="0" borderId="0"/>
    <xf numFmtId="261" fontId="153" fillId="0" borderId="0"/>
    <xf numFmtId="1" fontId="29" fillId="0" borderId="0"/>
    <xf numFmtId="273" fontId="50" fillId="0" borderId="0" applyFont="0" applyAlignment="0">
      <alignment horizontal="center"/>
    </xf>
    <xf numFmtId="9" fontId="154" fillId="0" borderId="0" applyFont="0" applyFill="0" applyBorder="0" applyAlignment="0" applyProtection="0"/>
    <xf numFmtId="0" fontId="38" fillId="0" borderId="0"/>
    <xf numFmtId="261" fontId="38" fillId="0" borderId="0"/>
    <xf numFmtId="165" fontId="154" fillId="0" borderId="0" applyFont="0" applyFill="0" applyBorder="0" applyAlignment="0" applyProtection="0"/>
    <xf numFmtId="10" fontId="154" fillId="0" borderId="0" applyFont="0" applyFill="0" applyBorder="0" applyAlignment="0" applyProtection="0"/>
    <xf numFmtId="273" fontId="52" fillId="0" borderId="0" applyFont="0" applyFill="0" applyBorder="0" applyAlignment="0" applyProtection="0"/>
    <xf numFmtId="273" fontId="50" fillId="0" borderId="0" applyFont="0" applyAlignment="0">
      <alignment horizontal="center"/>
    </xf>
    <xf numFmtId="274" fontId="3" fillId="0" borderId="0">
      <alignment horizontal="center"/>
    </xf>
    <xf numFmtId="275" fontId="3" fillId="0" borderId="0">
      <alignment horizontal="left"/>
    </xf>
    <xf numFmtId="276" fontId="3" fillId="0" borderId="0">
      <alignment horizontal="left"/>
    </xf>
    <xf numFmtId="216" fontId="154" fillId="0" borderId="0" applyFont="0" applyFill="0" applyBorder="0" applyAlignment="0" applyProtection="0"/>
    <xf numFmtId="39" fontId="155" fillId="0" borderId="0" applyFont="0" applyFill="0" applyBorder="0" applyAlignment="0" applyProtection="0"/>
    <xf numFmtId="0" fontId="157" fillId="66" borderId="0" applyNumberFormat="0" applyBorder="0" applyAlignment="0" applyProtection="0"/>
    <xf numFmtId="0" fontId="157" fillId="67" borderId="0" applyNumberFormat="0" applyBorder="0" applyAlignment="0" applyProtection="0"/>
    <xf numFmtId="0" fontId="157" fillId="68" borderId="0" applyNumberFormat="0" applyBorder="0" applyAlignment="0" applyProtection="0"/>
    <xf numFmtId="0" fontId="157" fillId="69" borderId="0" applyNumberFormat="0" applyBorder="0" applyAlignment="0" applyProtection="0"/>
    <xf numFmtId="0" fontId="157" fillId="70" borderId="0" applyNumberFormat="0" applyBorder="0" applyAlignment="0" applyProtection="0"/>
    <xf numFmtId="0" fontId="157" fillId="71" borderId="0" applyNumberFormat="0" applyBorder="0" applyAlignment="0" applyProtection="0"/>
    <xf numFmtId="277" fontId="155" fillId="0" borderId="0" applyFont="0" applyFill="0" applyBorder="0" applyAlignment="0" applyProtection="0"/>
    <xf numFmtId="0" fontId="157" fillId="72" borderId="0" applyNumberFormat="0" applyBorder="0" applyAlignment="0" applyProtection="0"/>
    <xf numFmtId="9" fontId="2" fillId="0" borderId="0" applyFont="0" applyFill="0" applyBorder="0" applyAlignment="0" applyProtection="0"/>
    <xf numFmtId="0" fontId="157" fillId="73" borderId="0" applyNumberFormat="0" applyBorder="0" applyAlignment="0" applyProtection="0"/>
    <xf numFmtId="0" fontId="157" fillId="74" borderId="0" applyNumberFormat="0" applyBorder="0" applyAlignment="0" applyProtection="0"/>
    <xf numFmtId="0" fontId="157" fillId="69" borderId="0" applyNumberFormat="0" applyBorder="0" applyAlignment="0" applyProtection="0"/>
    <xf numFmtId="0" fontId="157" fillId="72" borderId="0" applyNumberFormat="0" applyBorder="0" applyAlignment="0" applyProtection="0"/>
    <xf numFmtId="0" fontId="157" fillId="75" borderId="0" applyNumberFormat="0" applyBorder="0" applyAlignment="0" applyProtection="0"/>
    <xf numFmtId="0" fontId="142" fillId="44" borderId="0" applyNumberFormat="0" applyBorder="0" applyAlignment="0" applyProtection="0"/>
    <xf numFmtId="0" fontId="239" fillId="76" borderId="0" applyNumberFormat="0" applyBorder="0" applyAlignment="0" applyProtection="0"/>
    <xf numFmtId="0" fontId="142" fillId="48" borderId="0" applyNumberFormat="0" applyBorder="0" applyAlignment="0" applyProtection="0"/>
    <xf numFmtId="0" fontId="239" fillId="73" borderId="0" applyNumberFormat="0" applyBorder="0" applyAlignment="0" applyProtection="0"/>
    <xf numFmtId="0" fontId="142" fillId="52" borderId="0" applyNumberFormat="0" applyBorder="0" applyAlignment="0" applyProtection="0"/>
    <xf numFmtId="0" fontId="239" fillId="74" borderId="0" applyNumberFormat="0" applyBorder="0" applyAlignment="0" applyProtection="0"/>
    <xf numFmtId="0" fontId="142" fillId="56" borderId="0" applyNumberFormat="0" applyBorder="0" applyAlignment="0" applyProtection="0"/>
    <xf numFmtId="0" fontId="239" fillId="77" borderId="0" applyNumberFormat="0" applyBorder="0" applyAlignment="0" applyProtection="0"/>
    <xf numFmtId="0" fontId="142" fillId="60" borderId="0" applyNumberFormat="0" applyBorder="0" applyAlignment="0" applyProtection="0"/>
    <xf numFmtId="0" fontId="239" fillId="78" borderId="0" applyNumberFormat="0" applyBorder="0" applyAlignment="0" applyProtection="0"/>
    <xf numFmtId="0" fontId="142" fillId="64" borderId="0" applyNumberFormat="0" applyBorder="0" applyAlignment="0" applyProtection="0"/>
    <xf numFmtId="0" fontId="239" fillId="79" borderId="0" applyNumberFormat="0" applyBorder="0" applyAlignment="0" applyProtection="0"/>
    <xf numFmtId="278" fontId="3" fillId="0" borderId="0">
      <alignment horizontal="center"/>
    </xf>
    <xf numFmtId="0" fontId="77" fillId="0" borderId="0">
      <protection locked="0"/>
    </xf>
    <xf numFmtId="279" fontId="3" fillId="0" borderId="0">
      <alignment horizontal="center"/>
    </xf>
    <xf numFmtId="37" fontId="156" fillId="0" borderId="0"/>
    <xf numFmtId="3" fontId="157" fillId="80" borderId="0">
      <alignment horizontal="left"/>
    </xf>
    <xf numFmtId="0" fontId="239" fillId="81" borderId="0" applyNumberFormat="0" applyBorder="0" applyAlignment="0" applyProtection="0"/>
    <xf numFmtId="0" fontId="239" fillId="82" borderId="0" applyNumberFormat="0" applyBorder="0" applyAlignment="0" applyProtection="0"/>
    <xf numFmtId="0" fontId="239" fillId="83" borderId="0" applyNumberFormat="0" applyBorder="0" applyAlignment="0" applyProtection="0"/>
    <xf numFmtId="0" fontId="239" fillId="77" borderId="0" applyNumberFormat="0" applyBorder="0" applyAlignment="0" applyProtection="0"/>
    <xf numFmtId="0" fontId="239" fillId="78" borderId="0" applyNumberFormat="0" applyBorder="0" applyAlignment="0" applyProtection="0"/>
    <xf numFmtId="0" fontId="239" fillId="84" borderId="0" applyNumberFormat="0" applyBorder="0" applyAlignment="0" applyProtection="0"/>
    <xf numFmtId="0" fontId="3" fillId="0" borderId="0"/>
    <xf numFmtId="261" fontId="3" fillId="0" borderId="0"/>
    <xf numFmtId="0" fontId="3" fillId="0" borderId="0">
      <alignment horizontal="right"/>
    </xf>
    <xf numFmtId="261" fontId="3" fillId="0" borderId="0">
      <alignment horizontal="right"/>
    </xf>
    <xf numFmtId="3" fontId="5" fillId="85" borderId="70">
      <alignment horizontal="center"/>
    </xf>
    <xf numFmtId="3" fontId="52" fillId="86" borderId="71">
      <alignment horizontal="center"/>
    </xf>
    <xf numFmtId="0" fontId="158" fillId="0" borderId="0">
      <alignment horizontal="center" wrapText="1"/>
      <protection locked="0"/>
    </xf>
    <xf numFmtId="0" fontId="23" fillId="0" borderId="0">
      <alignment horizontal="center" wrapText="1"/>
      <protection locked="0"/>
    </xf>
    <xf numFmtId="3" fontId="3" fillId="0" borderId="0" applyFill="0" applyBorder="0" applyAlignment="0" applyProtection="0"/>
    <xf numFmtId="327" fontId="3" fillId="0" borderId="0" applyFont="0" applyFill="0" applyBorder="0" applyAlignment="0" applyProtection="0"/>
    <xf numFmtId="0" fontId="245" fillId="67" borderId="0" applyNumberFormat="0" applyBorder="0" applyAlignment="0" applyProtection="0"/>
    <xf numFmtId="0" fontId="159" fillId="0" borderId="0" applyFont="0" applyFill="0" applyBorder="0" applyAlignment="0" applyProtection="0">
      <alignment horizontal="right"/>
    </xf>
    <xf numFmtId="261" fontId="159" fillId="0" borderId="0" applyFont="0" applyFill="0" applyBorder="0" applyAlignment="0" applyProtection="0">
      <alignment horizontal="right"/>
    </xf>
    <xf numFmtId="171" fontId="18" fillId="0" borderId="0" applyNumberFormat="0" applyFont="0" applyAlignment="0" applyProtection="0"/>
    <xf numFmtId="171" fontId="18" fillId="0" borderId="0" applyNumberFormat="0" applyFont="0" applyAlignment="0" applyProtection="0"/>
    <xf numFmtId="0" fontId="229" fillId="0" borderId="0" applyNumberFormat="0" applyFill="0" applyBorder="0" applyAlignment="0" applyProtection="0"/>
    <xf numFmtId="0" fontId="160" fillId="0" borderId="0"/>
    <xf numFmtId="261" fontId="160" fillId="0" borderId="0"/>
    <xf numFmtId="0" fontId="161" fillId="0" borderId="6" applyNumberFormat="0" applyFill="0" applyAlignment="0" applyProtection="0"/>
    <xf numFmtId="261" fontId="161" fillId="0" borderId="6" applyNumberFormat="0" applyFill="0" applyAlignment="0" applyProtection="0"/>
    <xf numFmtId="280" fontId="162" fillId="0" borderId="0" applyFill="0" applyBorder="0" applyProtection="0"/>
    <xf numFmtId="281" fontId="153" fillId="0" borderId="0" applyFont="0" applyFill="0" applyBorder="0" applyAlignment="0" applyProtection="0"/>
    <xf numFmtId="1" fontId="163" fillId="0" borderId="0">
      <protection locked="0"/>
    </xf>
    <xf numFmtId="1" fontId="163" fillId="0" borderId="0">
      <protection locked="0"/>
    </xf>
    <xf numFmtId="0" fontId="50" fillId="0" borderId="0" applyNumberFormat="0" applyFill="0" applyBorder="0" applyAlignment="0" applyProtection="0"/>
    <xf numFmtId="261" fontId="50" fillId="0" borderId="0" applyNumberFormat="0" applyFill="0" applyBorder="0" applyAlignment="0" applyProtection="0"/>
    <xf numFmtId="0" fontId="52" fillId="0" borderId="0" applyNumberFormat="0" applyFill="0" applyBorder="0" applyAlignment="0" applyProtection="0"/>
    <xf numFmtId="261" fontId="52" fillId="0" borderId="0" applyNumberFormat="0" applyFill="0" applyBorder="0" applyAlignment="0" applyProtection="0"/>
    <xf numFmtId="0" fontId="164" fillId="0" borderId="0" applyNumberFormat="0" applyFill="0" applyBorder="0" applyAlignment="0" applyProtection="0"/>
    <xf numFmtId="0" fontId="158" fillId="0" borderId="0" applyNumberFormat="0" applyFill="0" applyBorder="0" applyAlignment="0" applyProtection="0"/>
    <xf numFmtId="0" fontId="165" fillId="0" borderId="0" applyFill="0" applyBorder="0" applyAlignment="0"/>
    <xf numFmtId="0" fontId="241" fillId="17" borderId="72" applyNumberFormat="0" applyAlignment="0" applyProtection="0"/>
    <xf numFmtId="0" fontId="62" fillId="0" borderId="0"/>
    <xf numFmtId="1" fontId="230" fillId="0" borderId="0"/>
    <xf numFmtId="0" fontId="39" fillId="0" borderId="0">
      <alignment horizontal="center"/>
    </xf>
    <xf numFmtId="0" fontId="143" fillId="87" borderId="73" applyNumberFormat="0" applyAlignment="0" applyProtection="0"/>
    <xf numFmtId="0" fontId="39" fillId="0" borderId="53">
      <alignment horizontal="center"/>
    </xf>
    <xf numFmtId="43" fontId="2" fillId="0" borderId="0" applyFont="0" applyFill="0" applyBorder="0" applyAlignment="0" applyProtection="0"/>
    <xf numFmtId="41" fontId="251" fillId="0" borderId="0" applyFont="0" applyFill="0" applyBorder="0" applyAlignment="0" applyProtection="0"/>
    <xf numFmtId="259" fontId="3" fillId="0" borderId="0" applyFont="0" applyFill="0" applyBorder="0" applyAlignment="0" applyProtection="0">
      <alignment horizontal="right"/>
    </xf>
    <xf numFmtId="0" fontId="34"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5" fillId="0" borderId="0" applyFont="0" applyFill="0" applyBorder="0" applyAlignment="0" applyProtection="0"/>
    <xf numFmtId="43" fontId="1" fillId="0" borderId="0" applyFont="0" applyFill="0" applyBorder="0" applyAlignment="0" applyProtection="0"/>
    <xf numFmtId="43" fontId="251" fillId="0" borderId="0" applyFont="0" applyFill="0" applyBorder="0" applyAlignment="0" applyProtection="0"/>
    <xf numFmtId="43" fontId="1" fillId="0" borderId="0" applyFont="0" applyFill="0" applyBorder="0" applyAlignment="0" applyProtection="0"/>
    <xf numFmtId="43" fontId="14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55" fontId="3" fillId="0" borderId="0" applyFont="0" applyFill="0" applyBorder="0" applyAlignment="0" applyProtection="0">
      <alignment horizontal="right"/>
    </xf>
    <xf numFmtId="43"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44"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31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ill="0" applyBorder="0" applyAlignment="0" applyProtection="0"/>
    <xf numFmtId="0" fontId="77" fillId="0" borderId="0"/>
    <xf numFmtId="261" fontId="77" fillId="0" borderId="0"/>
    <xf numFmtId="0" fontId="77" fillId="0" borderId="0"/>
    <xf numFmtId="261" fontId="77" fillId="0" borderId="0"/>
    <xf numFmtId="0" fontId="166" fillId="0" borderId="0"/>
    <xf numFmtId="261" fontId="166" fillId="0" borderId="0"/>
    <xf numFmtId="0" fontId="13" fillId="0" borderId="0"/>
    <xf numFmtId="0" fontId="77" fillId="0" borderId="0"/>
    <xf numFmtId="261" fontId="77" fillId="0" borderId="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 fillId="0" borderId="0" applyFont="0" applyFill="0" applyBorder="0" applyAlignment="0" applyProtection="0"/>
    <xf numFmtId="0" fontId="166" fillId="0" borderId="0"/>
    <xf numFmtId="261" fontId="166" fillId="0" borderId="0"/>
    <xf numFmtId="0" fontId="77" fillId="0" borderId="0"/>
    <xf numFmtId="261" fontId="77" fillId="0" borderId="0"/>
    <xf numFmtId="171" fontId="167" fillId="0" borderId="0"/>
    <xf numFmtId="37" fontId="14" fillId="0" borderId="0" applyBorder="0" applyAlignment="0">
      <alignment horizontal="center"/>
    </xf>
    <xf numFmtId="171" fontId="168" fillId="0" borderId="0" applyFill="0" applyBorder="0" applyAlignment="0" applyProtection="0">
      <alignment horizontal="left"/>
    </xf>
    <xf numFmtId="282" fontId="13" fillId="0" borderId="0" applyFill="0" applyBorder="0" applyAlignment="0" applyProtection="0">
      <alignment horizontal="left"/>
    </xf>
    <xf numFmtId="253" fontId="251" fillId="0" borderId="0" applyFont="0" applyFill="0" applyBorder="0" applyAlignment="0" applyProtection="0"/>
    <xf numFmtId="283" fontId="169" fillId="0" borderId="0" applyBorder="0"/>
    <xf numFmtId="189" fontId="3" fillId="0" borderId="0" applyFont="0" applyFill="0" applyBorder="0" applyAlignment="0"/>
    <xf numFmtId="189" fontId="169" fillId="0" borderId="0" applyBorder="0"/>
    <xf numFmtId="284" fontId="3" fillId="0" borderId="0" applyFont="0" applyFill="0" applyBorder="0" applyAlignment="0" applyProtection="0">
      <alignment horizontal="right"/>
    </xf>
    <xf numFmtId="0" fontId="34" fillId="0" borderId="0" applyFont="0" applyFill="0" applyBorder="0" applyAlignment="0" applyProtection="0">
      <alignment horizontal="right"/>
    </xf>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77" fontId="3" fillId="0" borderId="0" applyFont="0" applyFill="0" applyBorder="0" applyAlignment="0" applyProtection="0">
      <alignment horizontal="right"/>
    </xf>
    <xf numFmtId="260" fontId="222" fillId="0" borderId="0" applyFont="0" applyFill="0" applyBorder="0" applyAlignment="0" applyProtection="0"/>
    <xf numFmtId="0" fontId="34" fillId="0" borderId="0" applyFont="0" applyFill="0" applyBorder="0" applyAlignment="0" applyProtection="0">
      <alignment horizontal="right"/>
    </xf>
    <xf numFmtId="285" fontId="3" fillId="0" borderId="0" applyFont="0" applyFill="0" applyBorder="0" applyAlignment="0" applyProtection="0"/>
    <xf numFmtId="260" fontId="251"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258" fontId="3" fillId="0" borderId="0" applyFont="0" applyFill="0" applyBorder="0" applyAlignment="0" applyProtection="0"/>
    <xf numFmtId="326" fontId="3" fillId="0" borderId="0" applyFont="0" applyFill="0" applyBorder="0" applyAlignment="0" applyProtection="0"/>
    <xf numFmtId="286" fontId="153" fillId="0" borderId="0" applyFont="0" applyFill="0" applyBorder="0" applyAlignment="0" applyProtection="0"/>
    <xf numFmtId="0" fontId="170" fillId="0" borderId="0">
      <protection locked="0"/>
    </xf>
    <xf numFmtId="261" fontId="170" fillId="0" borderId="0">
      <protection locked="0"/>
    </xf>
    <xf numFmtId="14" fontId="153" fillId="0" borderId="0" applyFont="0" applyFill="0" applyBorder="0" applyAlignment="0" applyProtection="0"/>
    <xf numFmtId="0" fontId="77" fillId="0" borderId="0"/>
    <xf numFmtId="261" fontId="77" fillId="0" borderId="0"/>
    <xf numFmtId="0" fontId="3" fillId="0" borderId="0">
      <alignment horizontal="right"/>
      <protection locked="0"/>
    </xf>
    <xf numFmtId="15" fontId="227" fillId="0" borderId="0" applyFont="0" applyFill="0" applyBorder="0" applyAlignment="0" applyProtection="0">
      <protection locked="0"/>
    </xf>
    <xf numFmtId="287" fontId="3" fillId="0" borderId="0" applyFont="0" applyFill="0" applyBorder="0" applyAlignment="0" applyProtection="0"/>
    <xf numFmtId="0" fontId="34" fillId="0" borderId="0" applyFont="0" applyFill="0" applyBorder="0" applyAlignment="0" applyProtection="0"/>
    <xf numFmtId="0" fontId="3" fillId="0" borderId="0" applyNumberFormat="0" applyFont="0" applyBorder="0" applyAlignment="0"/>
    <xf numFmtId="261" fontId="3" fillId="0" borderId="0" applyNumberFormat="0" applyFont="0" applyBorder="0" applyAlignment="0"/>
    <xf numFmtId="41" fontId="3" fillId="0" borderId="0" applyFont="0" applyFill="0" applyBorder="0" applyAlignment="0" applyProtection="0"/>
    <xf numFmtId="43" fontId="3" fillId="0" borderId="0" applyFont="0" applyFill="0" applyBorder="0" applyAlignment="0" applyProtection="0"/>
    <xf numFmtId="0" fontId="170" fillId="0" borderId="0">
      <protection locked="0"/>
    </xf>
    <xf numFmtId="261" fontId="170" fillId="0" borderId="0">
      <protection locked="0"/>
    </xf>
    <xf numFmtId="0" fontId="3" fillId="0" borderId="0" applyFill="0" applyBorder="0"/>
    <xf numFmtId="261" fontId="3" fillId="0" borderId="0" applyFill="0" applyBorder="0"/>
    <xf numFmtId="0" fontId="3" fillId="0" borderId="0" applyFill="0" applyBorder="0"/>
    <xf numFmtId="0" fontId="3" fillId="0" borderId="0" applyFill="0" applyBorder="0"/>
    <xf numFmtId="0" fontId="3" fillId="0" borderId="0"/>
    <xf numFmtId="3" fontId="171" fillId="88" borderId="71">
      <alignment horizontal="center"/>
    </xf>
    <xf numFmtId="288" fontId="3" fillId="0" borderId="0"/>
    <xf numFmtId="189" fontId="23" fillId="0" borderId="0" applyFont="0" applyFill="0" applyBorder="0" applyAlignment="0" applyProtection="0"/>
    <xf numFmtId="289" fontId="3" fillId="0" borderId="13" applyNumberFormat="0" applyFont="0" applyFill="0" applyAlignment="0" applyProtection="0"/>
    <xf numFmtId="0" fontId="34" fillId="0" borderId="13" applyNumberFormat="0" applyFont="0" applyFill="0" applyAlignment="0" applyProtection="0"/>
    <xf numFmtId="165" fontId="231" fillId="0" borderId="0" applyNumberFormat="0"/>
    <xf numFmtId="0" fontId="163" fillId="0" borderId="0">
      <protection locked="0"/>
    </xf>
    <xf numFmtId="261" fontId="163" fillId="0" borderId="0">
      <protection locked="0"/>
    </xf>
    <xf numFmtId="0" fontId="163" fillId="0" borderId="0">
      <protection locked="0"/>
    </xf>
    <xf numFmtId="261" fontId="163" fillId="0" borderId="0">
      <protection locked="0"/>
    </xf>
    <xf numFmtId="0" fontId="232" fillId="0" borderId="0"/>
    <xf numFmtId="0" fontId="232" fillId="0" borderId="0"/>
    <xf numFmtId="0" fontId="232" fillId="0" borderId="0"/>
    <xf numFmtId="0" fontId="15" fillId="0" borderId="0" applyNumberFormat="0" applyFill="0" applyBorder="0" applyAlignment="0" applyProtection="0"/>
    <xf numFmtId="261" fontId="15" fillId="0" borderId="0" applyNumberFormat="0" applyFill="0" applyBorder="0" applyAlignment="0" applyProtection="0"/>
    <xf numFmtId="0" fontId="38" fillId="0" borderId="0"/>
    <xf numFmtId="0" fontId="3" fillId="0" borderId="0"/>
    <xf numFmtId="261" fontId="3" fillId="0" borderId="0"/>
    <xf numFmtId="260" fontId="144" fillId="0" borderId="0" applyFont="0" applyFill="0" applyBorder="0" applyAlignment="0" applyProtection="0"/>
    <xf numFmtId="290" fontId="13" fillId="0" borderId="0" applyFont="0" applyFill="0" applyBorder="0" applyAlignment="0" applyProtection="0"/>
    <xf numFmtId="260" fontId="144" fillId="0" borderId="0" applyFont="0" applyFill="0" applyBorder="0" applyAlignment="0" applyProtection="0"/>
    <xf numFmtId="261" fontId="172" fillId="0" borderId="0" applyFont="0" applyFill="0" applyBorder="0" applyAlignment="0" applyProtection="0"/>
    <xf numFmtId="214" fontId="3" fillId="0" borderId="0" applyFont="0" applyFill="0" applyBorder="0" applyAlignment="0" applyProtection="0"/>
    <xf numFmtId="222" fontId="173" fillId="0" borderId="0"/>
    <xf numFmtId="0" fontId="248" fillId="0" borderId="0" applyNumberFormat="0" applyFill="0" applyBorder="0" applyAlignment="0" applyProtection="0"/>
    <xf numFmtId="0" fontId="38" fillId="0" borderId="0" applyNumberFormat="0" applyFill="0" applyBorder="0" applyAlignment="0" applyProtection="0"/>
    <xf numFmtId="261" fontId="38" fillId="0" borderId="0" applyNumberFormat="0" applyFill="0" applyBorder="0" applyAlignment="0" applyProtection="0"/>
    <xf numFmtId="0" fontId="174" fillId="0" borderId="0"/>
    <xf numFmtId="261" fontId="174" fillId="0" borderId="0"/>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0" fontId="174" fillId="0" borderId="0"/>
    <xf numFmtId="261" fontId="174" fillId="0" borderId="0"/>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0" fontId="174" fillId="0" borderId="0"/>
    <xf numFmtId="261" fontId="174" fillId="0" borderId="0"/>
    <xf numFmtId="9" fontId="175" fillId="14" borderId="2" applyNumberFormat="0" applyFont="0" applyFill="0" applyBorder="0" applyAlignment="0" applyProtection="0">
      <alignment horizontal="left" vertical="center" wrapText="1"/>
      <protection hidden="1"/>
    </xf>
    <xf numFmtId="0" fontId="174" fillId="0" borderId="0"/>
    <xf numFmtId="261" fontId="174" fillId="0" borderId="0"/>
    <xf numFmtId="0" fontId="174" fillId="0" borderId="0"/>
    <xf numFmtId="261" fontId="174" fillId="0" borderId="0"/>
    <xf numFmtId="0" fontId="174" fillId="0" borderId="0"/>
    <xf numFmtId="261" fontId="174" fillId="0" borderId="0"/>
    <xf numFmtId="0" fontId="174" fillId="0" borderId="0"/>
    <xf numFmtId="261" fontId="174" fillId="0" borderId="0"/>
    <xf numFmtId="0" fontId="174" fillId="0" borderId="0"/>
    <xf numFmtId="261" fontId="174" fillId="0" borderId="0"/>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0" fontId="174" fillId="0" borderId="0"/>
    <xf numFmtId="261" fontId="174" fillId="0" borderId="0"/>
    <xf numFmtId="0" fontId="174" fillId="0" borderId="0"/>
    <xf numFmtId="261" fontId="174" fillId="0" borderId="0"/>
    <xf numFmtId="0" fontId="174" fillId="0" borderId="0"/>
    <xf numFmtId="261" fontId="174" fillId="0" borderId="0"/>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9" fontId="175" fillId="14" borderId="2" applyNumberFormat="0" applyFont="0" applyFill="0" applyBorder="0" applyAlignment="0" applyProtection="0">
      <alignment horizontal="left" vertical="center" wrapText="1"/>
      <protection hidden="1"/>
    </xf>
    <xf numFmtId="0" fontId="174" fillId="0" borderId="0"/>
    <xf numFmtId="261" fontId="174" fillId="0" borderId="0"/>
    <xf numFmtId="0" fontId="170" fillId="0" borderId="0">
      <protection locked="0"/>
    </xf>
    <xf numFmtId="261" fontId="170" fillId="0" borderId="0">
      <protection locked="0"/>
    </xf>
    <xf numFmtId="0" fontId="170" fillId="0" borderId="0">
      <protection locked="0"/>
    </xf>
    <xf numFmtId="261" fontId="170" fillId="0" borderId="0">
      <protection locked="0"/>
    </xf>
    <xf numFmtId="0" fontId="170" fillId="0" borderId="0">
      <protection locked="0"/>
    </xf>
    <xf numFmtId="261" fontId="170" fillId="0" borderId="0">
      <protection locked="0"/>
    </xf>
    <xf numFmtId="0" fontId="170" fillId="0" borderId="0">
      <protection locked="0"/>
    </xf>
    <xf numFmtId="261" fontId="170" fillId="0" borderId="0">
      <protection locked="0"/>
    </xf>
    <xf numFmtId="0" fontId="170" fillId="0" borderId="0">
      <protection locked="0"/>
    </xf>
    <xf numFmtId="261" fontId="170" fillId="0" borderId="0">
      <protection locked="0"/>
    </xf>
    <xf numFmtId="0" fontId="170" fillId="0" borderId="0">
      <protection locked="0"/>
    </xf>
    <xf numFmtId="261" fontId="170" fillId="0" borderId="0">
      <protection locked="0"/>
    </xf>
    <xf numFmtId="0" fontId="170" fillId="0" borderId="0">
      <protection locked="0"/>
    </xf>
    <xf numFmtId="261" fontId="170" fillId="0" borderId="0">
      <protection locked="0"/>
    </xf>
    <xf numFmtId="0" fontId="23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70" fillId="0" borderId="0">
      <protection locked="0"/>
    </xf>
    <xf numFmtId="261" fontId="170" fillId="0" borderId="0">
      <protection locked="0"/>
    </xf>
    <xf numFmtId="0" fontId="170" fillId="0" borderId="0">
      <protection locked="0"/>
    </xf>
    <xf numFmtId="261" fontId="170" fillId="0" borderId="0">
      <protection locked="0"/>
    </xf>
    <xf numFmtId="0" fontId="234" fillId="89" borderId="0"/>
    <xf numFmtId="0" fontId="13" fillId="0" borderId="0" applyFont="0" applyFill="0" applyBorder="0" applyAlignment="0" applyProtection="0">
      <alignment horizontal="right"/>
    </xf>
    <xf numFmtId="261" fontId="13" fillId="0" borderId="0" applyFont="0" applyFill="0" applyBorder="0" applyAlignment="0" applyProtection="0">
      <alignment horizontal="right"/>
    </xf>
    <xf numFmtId="2" fontId="36" fillId="0" borderId="0" applyFont="0" applyFill="0" applyBorder="0" applyAlignment="0" applyProtection="0"/>
    <xf numFmtId="2" fontId="36" fillId="0" borderId="0" applyFont="0" applyFill="0" applyBorder="0" applyAlignment="0" applyProtection="0"/>
    <xf numFmtId="291" fontId="170" fillId="0" borderId="0">
      <protection locked="0"/>
    </xf>
    <xf numFmtId="0" fontId="176" fillId="0" borderId="0" applyFill="0" applyBorder="0" applyProtection="0">
      <alignment horizontal="left"/>
    </xf>
    <xf numFmtId="261" fontId="176" fillId="0" borderId="0" applyFill="0" applyBorder="0" applyProtection="0">
      <alignment horizontal="left"/>
    </xf>
    <xf numFmtId="0" fontId="3" fillId="0" borderId="0" applyFill="0" applyBorder="0" applyProtection="0">
      <alignment horizontal="left"/>
    </xf>
    <xf numFmtId="3" fontId="39" fillId="0" borderId="0">
      <alignment horizontal="right" shrinkToFit="1"/>
    </xf>
    <xf numFmtId="0" fontId="159" fillId="0" borderId="0" applyFont="0" applyFill="0" applyBorder="0" applyAlignment="0" applyProtection="0">
      <alignment horizontal="right"/>
    </xf>
    <xf numFmtId="0" fontId="240" fillId="68" borderId="0" applyNumberFormat="0" applyBorder="0" applyAlignment="0" applyProtection="0"/>
    <xf numFmtId="38" fontId="13" fillId="14" borderId="0" applyNumberFormat="0" applyBorder="0" applyAlignment="0" applyProtection="0"/>
    <xf numFmtId="38" fontId="13" fillId="14" borderId="0" applyNumberFormat="0" applyFont="0" applyBorder="0" applyAlignment="0">
      <protection hidden="1"/>
    </xf>
    <xf numFmtId="41" fontId="5" fillId="0" borderId="0"/>
    <xf numFmtId="292" fontId="3" fillId="0" borderId="0" applyFont="0" applyFill="0" applyBorder="0" applyAlignment="0" applyProtection="0">
      <alignment horizontal="right"/>
    </xf>
    <xf numFmtId="0" fontId="34" fillId="0" borderId="0" applyFont="0" applyFill="0" applyBorder="0" applyAlignment="0" applyProtection="0">
      <alignment horizontal="right"/>
    </xf>
    <xf numFmtId="0" fontId="89" fillId="0" borderId="0"/>
    <xf numFmtId="261" fontId="89" fillId="0" borderId="0"/>
    <xf numFmtId="0" fontId="3" fillId="0" borderId="0" applyProtection="0">
      <alignment horizontal="right"/>
    </xf>
    <xf numFmtId="0" fontId="3" fillId="0" borderId="0" applyProtection="0">
      <alignment horizontal="right"/>
    </xf>
    <xf numFmtId="0" fontId="52" fillId="0" borderId="52" applyNumberFormat="0" applyAlignment="0" applyProtection="0">
      <alignment horizontal="left" vertical="center"/>
    </xf>
    <xf numFmtId="261" fontId="52" fillId="0" borderId="52" applyNumberFormat="0" applyAlignment="0" applyProtection="0">
      <alignment horizontal="left" vertical="center"/>
    </xf>
    <xf numFmtId="0" fontId="52" fillId="0" borderId="1">
      <alignment horizontal="left" vertical="center"/>
    </xf>
    <xf numFmtId="261" fontId="52" fillId="0" borderId="1">
      <alignment horizontal="left" vertical="center"/>
    </xf>
    <xf numFmtId="0" fontId="225" fillId="0" borderId="0" applyNumberFormat="0" applyFill="0" applyBorder="0" applyAlignment="0" applyProtection="0">
      <protection locked="0"/>
    </xf>
    <xf numFmtId="0" fontId="249" fillId="0" borderId="74" applyNumberFormat="0" applyFill="0" applyAlignment="0" applyProtection="0"/>
    <xf numFmtId="0" fontId="177" fillId="0" borderId="0" applyProtection="0">
      <alignment horizontal="left"/>
    </xf>
    <xf numFmtId="261" fontId="177" fillId="0" borderId="0" applyProtection="0">
      <alignment horizontal="left"/>
    </xf>
    <xf numFmtId="222" fontId="228" fillId="0" borderId="0" applyNumberFormat="0" applyFill="0" applyBorder="0" applyAlignment="0" applyProtection="0">
      <protection locked="0"/>
    </xf>
    <xf numFmtId="0" fontId="250" fillId="0" borderId="75" applyNumberFormat="0" applyFill="0" applyAlignment="0" applyProtection="0"/>
    <xf numFmtId="0" fontId="178" fillId="0" borderId="0" applyProtection="0">
      <alignment horizontal="left"/>
    </xf>
    <xf numFmtId="261" fontId="178" fillId="0" borderId="0" applyProtection="0">
      <alignment horizontal="left"/>
    </xf>
    <xf numFmtId="222" fontId="226" fillId="0" borderId="0" applyNumberFormat="0" applyFill="0" applyBorder="0" applyAlignment="0" applyProtection="0">
      <protection locked="0"/>
    </xf>
    <xf numFmtId="0" fontId="243" fillId="0" borderId="76" applyNumberFormat="0" applyFill="0" applyAlignment="0" applyProtection="0"/>
    <xf numFmtId="0" fontId="243" fillId="0" borderId="0" applyNumberFormat="0" applyFill="0" applyBorder="0" applyAlignment="0" applyProtection="0"/>
    <xf numFmtId="170" fontId="179" fillId="0" borderId="0" applyNumberFormat="0" applyFont="0" applyFill="0" applyBorder="0" applyAlignment="0">
      <alignment horizontal="left"/>
    </xf>
    <xf numFmtId="0" fontId="172" fillId="0" borderId="0">
      <alignment wrapText="1"/>
    </xf>
    <xf numFmtId="0" fontId="59" fillId="0" borderId="0" applyNumberFormat="0" applyFill="0" applyBorder="0" applyAlignment="0" applyProtection="0">
      <alignment vertical="top"/>
      <protection locked="0"/>
    </xf>
    <xf numFmtId="261" fontId="59"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261" fontId="4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52" fillId="0" borderId="0" applyNumberFormat="0" applyFill="0" applyBorder="0" applyAlignment="0" applyProtection="0"/>
    <xf numFmtId="0" fontId="155" fillId="0" borderId="0"/>
    <xf numFmtId="261" fontId="155" fillId="0" borderId="0"/>
    <xf numFmtId="4" fontId="3" fillId="90" borderId="0"/>
    <xf numFmtId="165" fontId="180" fillId="14" borderId="0">
      <protection locked="0"/>
    </xf>
    <xf numFmtId="3" fontId="181" fillId="14" borderId="0">
      <alignment horizontal="right"/>
      <protection locked="0"/>
    </xf>
    <xf numFmtId="170" fontId="180" fillId="14" borderId="0" applyBorder="0">
      <alignment horizontal="right"/>
      <protection locked="0"/>
    </xf>
    <xf numFmtId="283" fontId="13" fillId="5" borderId="10" applyNumberFormat="0" applyAlignment="0">
      <protection locked="0"/>
    </xf>
    <xf numFmtId="0" fontId="244" fillId="71" borderId="72" applyNumberFormat="0" applyAlignment="0" applyProtection="0"/>
    <xf numFmtId="283" fontId="13" fillId="5" borderId="10" applyNumberFormat="0" applyAlignment="0">
      <protection locked="0"/>
    </xf>
    <xf numFmtId="283" fontId="13" fillId="5" borderId="10" applyNumberFormat="0" applyAlignment="0">
      <protection locked="0"/>
    </xf>
    <xf numFmtId="283" fontId="13" fillId="5" borderId="10" applyNumberFormat="0" applyAlignment="0">
      <protection locked="0"/>
    </xf>
    <xf numFmtId="283" fontId="13" fillId="5" borderId="10" applyNumberFormat="0" applyAlignment="0">
      <protection locked="0"/>
    </xf>
    <xf numFmtId="283" fontId="13" fillId="5" borderId="10" applyNumberFormat="0" applyAlignment="0">
      <protection locked="0"/>
    </xf>
    <xf numFmtId="3" fontId="182" fillId="0" borderId="20" applyNumberFormat="0" applyFont="0" applyFill="0" applyAlignment="0">
      <alignment horizontal="center" vertical="top"/>
      <protection locked="0"/>
    </xf>
    <xf numFmtId="171" fontId="156" fillId="91" borderId="0"/>
    <xf numFmtId="3" fontId="13" fillId="0" borderId="0" applyFill="0">
      <alignment horizontal="right" shrinkToFit="1"/>
      <protection locked="0"/>
    </xf>
    <xf numFmtId="3" fontId="13" fillId="0" borderId="0" applyFill="0">
      <alignment horizontal="right" shrinkToFit="1"/>
      <protection locked="0"/>
    </xf>
    <xf numFmtId="165" fontId="13" fillId="5" borderId="6" applyNumberFormat="0" applyFont="0" applyAlignment="0" applyProtection="0">
      <alignment horizontal="center"/>
      <protection locked="0"/>
    </xf>
    <xf numFmtId="293" fontId="153" fillId="0" borderId="0" applyFont="0" applyFill="0" applyBorder="0" applyAlignment="0" applyProtection="0"/>
    <xf numFmtId="38" fontId="183" fillId="0" borderId="0"/>
    <xf numFmtId="38" fontId="184" fillId="0" borderId="0"/>
    <xf numFmtId="38" fontId="185" fillId="0" borderId="0"/>
    <xf numFmtId="38" fontId="186" fillId="0" borderId="0"/>
    <xf numFmtId="0" fontId="153" fillId="0" borderId="0"/>
    <xf numFmtId="261" fontId="153" fillId="0" borderId="0"/>
    <xf numFmtId="0" fontId="153" fillId="0" borderId="0"/>
    <xf numFmtId="261" fontId="153" fillId="0" borderId="0"/>
    <xf numFmtId="0" fontId="172" fillId="0" borderId="0" applyProtection="0">
      <alignment horizontal="center"/>
    </xf>
    <xf numFmtId="261" fontId="172" fillId="0" borderId="0" applyProtection="0">
      <alignment horizontal="center"/>
    </xf>
    <xf numFmtId="1" fontId="63" fillId="0" borderId="0" applyNumberFormat="0" applyFill="0" applyBorder="0" applyAlignment="0" applyProtection="0">
      <alignment horizontal="right"/>
    </xf>
    <xf numFmtId="0" fontId="242" fillId="0" borderId="77" applyNumberFormat="0" applyFill="0" applyAlignment="0" applyProtection="0"/>
    <xf numFmtId="171" fontId="3" fillId="92" borderId="0"/>
    <xf numFmtId="328" fontId="20" fillId="20" borderId="0" applyBorder="0" applyAlignment="0">
      <alignment horizontal="right"/>
    </xf>
    <xf numFmtId="0" fontId="234" fillId="0" borderId="0"/>
    <xf numFmtId="0" fontId="235" fillId="0" borderId="0"/>
    <xf numFmtId="0" fontId="236" fillId="0" borderId="0"/>
    <xf numFmtId="294" fontId="29" fillId="0" borderId="0" applyFont="0" applyFill="0" applyBorder="0" applyAlignment="0" applyProtection="0"/>
    <xf numFmtId="41" fontId="3" fillId="0" borderId="0" applyFont="0" applyFill="0" applyBorder="0" applyAlignment="0" applyProtection="0"/>
    <xf numFmtId="43" fontId="144"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145" fillId="0" borderId="0" applyFont="0" applyFill="0" applyBorder="0" applyAlignment="0" applyProtection="0"/>
    <xf numFmtId="43" fontId="3" fillId="0" borderId="0" applyFont="0" applyFill="0" applyBorder="0" applyAlignment="0" applyProtection="0"/>
    <xf numFmtId="37" fontId="3" fillId="0" borderId="0" applyFont="0" applyFill="0" applyBorder="0" applyAlignment="0" applyProtection="0"/>
    <xf numFmtId="295" fontId="3" fillId="0" borderId="0" applyFont="0" applyFill="0" applyBorder="0" applyAlignment="0" applyProtection="0"/>
    <xf numFmtId="296" fontId="3" fillId="0" borderId="0" applyFont="0" applyFill="0" applyBorder="0" applyAlignment="0" applyProtection="0"/>
    <xf numFmtId="0" fontId="3" fillId="0" borderId="8"/>
    <xf numFmtId="323" fontId="3" fillId="0" borderId="0" applyFont="0" applyFill="0" applyBorder="0" applyAlignment="0" applyProtection="0"/>
    <xf numFmtId="285" fontId="3" fillId="0" borderId="0" applyFont="0" applyFill="0" applyBorder="0" applyAlignment="0" applyProtection="0"/>
    <xf numFmtId="303" fontId="3" fillId="0" borderId="0" applyFont="0" applyFill="0" applyBorder="0" applyAlignment="0" applyProtection="0"/>
    <xf numFmtId="297" fontId="3" fillId="0" borderId="0" applyFill="0" applyBorder="0" applyAlignment="0" applyProtection="0"/>
    <xf numFmtId="253" fontId="3" fillId="0" borderId="0" applyFont="0" applyFill="0" applyBorder="0" applyAlignment="0" applyProtection="0"/>
    <xf numFmtId="260" fontId="3" fillId="0" borderId="0" applyFont="0" applyFill="0" applyBorder="0" applyAlignment="0" applyProtection="0"/>
    <xf numFmtId="298" fontId="3" fillId="0" borderId="0" applyFont="0" applyFill="0" applyBorder="0" applyAlignment="0" applyProtection="0"/>
    <xf numFmtId="299"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300" fontId="3" fillId="0" borderId="0" applyFont="0" applyFill="0" applyBorder="0" applyAlignment="0" applyProtection="0"/>
    <xf numFmtId="300" fontId="3" fillId="0" borderId="0" applyFont="0" applyFill="0" applyBorder="0" applyAlignment="0" applyProtection="0"/>
    <xf numFmtId="301" fontId="3" fillId="0" borderId="0" applyFont="0" applyFill="0" applyBorder="0" applyAlignment="0" applyProtection="0"/>
    <xf numFmtId="302"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170" fillId="0" borderId="0">
      <protection locked="0"/>
    </xf>
    <xf numFmtId="261" fontId="170" fillId="0" borderId="0">
      <protection locked="0"/>
    </xf>
    <xf numFmtId="303" fontId="13" fillId="0" borderId="0" applyFont="0" applyFill="0" applyBorder="0" applyAlignment="0" applyProtection="0"/>
    <xf numFmtId="303" fontId="13" fillId="0" borderId="0" applyFont="0" applyFill="0" applyBorder="0" applyAlignment="0" applyProtection="0"/>
    <xf numFmtId="304" fontId="32" fillId="0" borderId="0"/>
    <xf numFmtId="0" fontId="34" fillId="0" borderId="0" applyFont="0" applyFill="0" applyBorder="0" applyAlignment="0" applyProtection="0">
      <alignment horizontal="right"/>
    </xf>
    <xf numFmtId="0" fontId="253" fillId="36" borderId="0" applyNumberFormat="0" applyBorder="0" applyAlignment="0" applyProtection="0"/>
    <xf numFmtId="0" fontId="246" fillId="65" borderId="0" applyNumberFormat="0" applyBorder="0" applyAlignment="0" applyProtection="0"/>
    <xf numFmtId="37" fontId="13" fillId="0" borderId="0"/>
    <xf numFmtId="305" fontId="3" fillId="0" borderId="0" applyFont="0" applyFill="0" applyBorder="0" applyAlignment="0" applyProtection="0"/>
    <xf numFmtId="0" fontId="155" fillId="0" borderId="0"/>
    <xf numFmtId="0" fontId="187" fillId="0" borderId="0"/>
    <xf numFmtId="261" fontId="187" fillId="0" borderId="0"/>
    <xf numFmtId="0" fontId="187" fillId="0" borderId="0"/>
    <xf numFmtId="261" fontId="187" fillId="0" borderId="0"/>
    <xf numFmtId="0" fontId="187" fillId="0" borderId="0"/>
    <xf numFmtId="261" fontId="187" fillId="0" borderId="0"/>
    <xf numFmtId="0" fontId="187" fillId="0" borderId="0"/>
    <xf numFmtId="261" fontId="187" fillId="0" borderId="0"/>
    <xf numFmtId="0" fontId="187" fillId="0" borderId="0"/>
    <xf numFmtId="261" fontId="187" fillId="0" borderId="0"/>
    <xf numFmtId="0" fontId="187" fillId="0" borderId="0"/>
    <xf numFmtId="261" fontId="187" fillId="0" borderId="0"/>
    <xf numFmtId="0" fontId="187" fillId="0" borderId="0"/>
    <xf numFmtId="261" fontId="187" fillId="0" borderId="0"/>
    <xf numFmtId="261" fontId="3" fillId="0" borderId="0"/>
    <xf numFmtId="0" fontId="3" fillId="0" borderId="0"/>
    <xf numFmtId="0" fontId="3" fillId="0" borderId="0"/>
    <xf numFmtId="0" fontId="3" fillId="0" borderId="0"/>
    <xf numFmtId="0" fontId="3" fillId="0" borderId="0"/>
    <xf numFmtId="261"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261" fontId="3" fillId="0" borderId="0"/>
    <xf numFmtId="261" fontId="3" fillId="0" borderId="0"/>
    <xf numFmtId="0" fontId="3" fillId="0" borderId="0"/>
    <xf numFmtId="261" fontId="3" fillId="0" borderId="0"/>
    <xf numFmtId="222" fontId="2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261" fontId="144" fillId="0" borderId="0"/>
    <xf numFmtId="0" fontId="144" fillId="0" borderId="0"/>
    <xf numFmtId="0" fontId="3" fillId="0" borderId="0"/>
    <xf numFmtId="0" fontId="1" fillId="0" borderId="0"/>
    <xf numFmtId="0" fontId="1" fillId="0" borderId="0"/>
    <xf numFmtId="0" fontId="1" fillId="0" borderId="0"/>
    <xf numFmtId="0" fontId="1" fillId="0" borderId="0"/>
    <xf numFmtId="0" fontId="251" fillId="0" borderId="0"/>
    <xf numFmtId="0" fontId="1" fillId="0" borderId="0"/>
    <xf numFmtId="0" fontId="1" fillId="0" borderId="0"/>
    <xf numFmtId="0" fontId="1" fillId="0" borderId="0"/>
    <xf numFmtId="0" fontId="1" fillId="0" borderId="0"/>
    <xf numFmtId="0" fontId="1" fillId="0" borderId="0"/>
    <xf numFmtId="0" fontId="144" fillId="0" borderId="0"/>
    <xf numFmtId="0" fontId="144" fillId="0" borderId="0"/>
    <xf numFmtId="261" fontId="144" fillId="0" borderId="0"/>
    <xf numFmtId="261" fontId="144" fillId="0" borderId="0"/>
    <xf numFmtId="0" fontId="3" fillId="0" borderId="0"/>
    <xf numFmtId="0" fontId="10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3" fontId="188" fillId="0" borderId="0"/>
    <xf numFmtId="216" fontId="39" fillId="0" borderId="0" applyNumberFormat="0" applyFill="0" applyBorder="0" applyAlignment="0" applyProtection="0"/>
    <xf numFmtId="3" fontId="146" fillId="0" borderId="0">
      <alignment horizontal="left"/>
    </xf>
    <xf numFmtId="3" fontId="29" fillId="17" borderId="22"/>
    <xf numFmtId="0" fontId="189" fillId="0" borderId="0" applyNumberFormat="0" applyFill="0" applyBorder="0" applyAlignment="0" applyProtection="0"/>
    <xf numFmtId="261" fontId="189" fillId="0" borderId="0" applyNumberFormat="0" applyFill="0" applyBorder="0" applyAlignment="0" applyProtection="0"/>
    <xf numFmtId="0" fontId="190" fillId="0" borderId="0" applyNumberFormat="0" applyFill="0" applyBorder="0" applyAlignment="0" applyProtection="0"/>
    <xf numFmtId="261" fontId="190" fillId="0" borderId="0" applyNumberFormat="0" applyFill="0" applyBorder="0" applyAlignment="0" applyProtection="0"/>
    <xf numFmtId="0" fontId="191" fillId="0" borderId="0" applyNumberFormat="0" applyFill="0" applyBorder="0" applyAlignment="0" applyProtection="0"/>
    <xf numFmtId="261" fontId="191" fillId="0" borderId="0" applyNumberFormat="0" applyFill="0" applyBorder="0" applyAlignment="0" applyProtection="0"/>
    <xf numFmtId="0" fontId="1" fillId="40" borderId="66" applyNumberFormat="0" applyFont="0" applyAlignment="0" applyProtection="0"/>
    <xf numFmtId="0" fontId="3" fillId="93" borderId="78" applyNumberFormat="0" applyFont="0" applyAlignment="0" applyProtection="0"/>
    <xf numFmtId="306" fontId="77" fillId="0" borderId="78" applyFill="0" applyBorder="0" applyAlignment="0" applyProtection="0"/>
    <xf numFmtId="216" fontId="32" fillId="0" borderId="0"/>
    <xf numFmtId="221" fontId="32" fillId="0" borderId="0" applyFont="0" applyFill="0" applyBorder="0" applyAlignment="0" applyProtection="0">
      <alignment vertical="center"/>
    </xf>
    <xf numFmtId="221" fontId="32" fillId="0" borderId="0" applyFont="0" applyFill="0" applyBorder="0" applyAlignment="0" applyProtection="0">
      <alignment vertical="center"/>
    </xf>
    <xf numFmtId="43" fontId="18" fillId="0" borderId="0" applyFont="0" applyFill="0" applyBorder="0" applyAlignment="0" applyProtection="0"/>
    <xf numFmtId="41" fontId="18" fillId="0" borderId="0" applyFont="0" applyFill="0" applyBorder="0" applyAlignment="0" applyProtection="0"/>
    <xf numFmtId="0" fontId="247" fillId="17" borderId="79" applyNumberFormat="0" applyAlignment="0" applyProtection="0"/>
    <xf numFmtId="1" fontId="192" fillId="0" borderId="0" applyProtection="0">
      <alignment horizontal="right" vertical="center"/>
    </xf>
    <xf numFmtId="1" fontId="3" fillId="0" borderId="0" applyProtection="0">
      <alignment horizontal="right" vertical="center"/>
    </xf>
    <xf numFmtId="0" fontId="3" fillId="0" borderId="0">
      <alignment horizontal="left"/>
    </xf>
    <xf numFmtId="37" fontId="50" fillId="0" borderId="0" applyNumberFormat="0" applyFill="0" applyBorder="0" applyAlignment="0" applyProtection="0"/>
    <xf numFmtId="307" fontId="5" fillId="0" borderId="0" applyFont="0">
      <alignment horizontal="centerContinuous"/>
    </xf>
    <xf numFmtId="308" fontId="3" fillId="0" borderId="0">
      <alignment horizontal="right"/>
    </xf>
    <xf numFmtId="0" fontId="236" fillId="0" borderId="0"/>
    <xf numFmtId="14" fontId="23" fillId="0" borderId="0">
      <alignment horizontal="center" wrapText="1"/>
      <protection locked="0"/>
    </xf>
    <xf numFmtId="0" fontId="77" fillId="0" borderId="0"/>
    <xf numFmtId="261" fontId="77" fillId="0" borderId="0"/>
    <xf numFmtId="0" fontId="13" fillId="0" borderId="0"/>
    <xf numFmtId="9" fontId="2" fillId="0" borderId="0" applyFont="0" applyFill="0" applyBorder="0" applyAlignment="0" applyProtection="0"/>
    <xf numFmtId="165" fontId="3" fillId="0" borderId="0" applyFont="0" applyFill="0" applyBorder="0" applyAlignment="0" applyProtection="0"/>
    <xf numFmtId="0" fontId="29" fillId="0" borderId="0" applyFont="0" applyFill="0" applyBorder="0" applyAlignment="0" applyProtection="0"/>
    <xf numFmtId="9" fontId="18" fillId="0" borderId="0" applyFont="0" applyFill="0" applyBorder="0" applyAlignment="0" applyProtection="0"/>
    <xf numFmtId="10" fontId="18" fillId="0" borderId="0" applyFont="0" applyFill="0" applyBorder="0" applyAlignment="0" applyProtection="0"/>
    <xf numFmtId="10" fontId="3" fillId="0" borderId="0" applyFont="0" applyFill="0" applyBorder="0" applyAlignment="0" applyProtection="0"/>
    <xf numFmtId="237" fontId="3" fillId="13"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5" fillId="0" borderId="0" applyFont="0" applyFill="0" applyBorder="0" applyAlignment="0" applyProtection="0"/>
    <xf numFmtId="9" fontId="2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309" fontId="170" fillId="0" borderId="0">
      <protection locked="0"/>
    </xf>
    <xf numFmtId="0" fontId="3" fillId="0" borderId="0">
      <protection locked="0"/>
    </xf>
    <xf numFmtId="261" fontId="3" fillId="0" borderId="0">
      <protection locked="0"/>
    </xf>
    <xf numFmtId="0" fontId="3" fillId="0" borderId="0">
      <protection locked="0"/>
    </xf>
    <xf numFmtId="0" fontId="193" fillId="0" borderId="0">
      <protection locked="0"/>
    </xf>
    <xf numFmtId="261" fontId="193" fillId="0" borderId="0">
      <protection locked="0"/>
    </xf>
    <xf numFmtId="0" fontId="3" fillId="0" borderId="0">
      <protection locked="0"/>
    </xf>
    <xf numFmtId="261" fontId="3" fillId="0" borderId="0">
      <protection locked="0"/>
    </xf>
    <xf numFmtId="0" fontId="3" fillId="0" borderId="0">
      <protection locked="0"/>
    </xf>
    <xf numFmtId="0" fontId="5" fillId="0" borderId="0">
      <protection locked="0"/>
    </xf>
    <xf numFmtId="261" fontId="5" fillId="0" borderId="0">
      <protection locked="0"/>
    </xf>
    <xf numFmtId="310" fontId="170" fillId="0" borderId="0">
      <protection locked="0"/>
    </xf>
    <xf numFmtId="9" fontId="194" fillId="0" borderId="0" applyFont="0" applyFill="0" applyBorder="0" applyAlignment="0" applyProtection="0"/>
    <xf numFmtId="9" fontId="3"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3" fillId="0" borderId="0" applyFont="0" applyFill="0" applyBorder="0" applyAlignment="0" applyProtection="0"/>
    <xf numFmtId="311" fontId="3" fillId="0" borderId="0" applyFont="0" applyFill="0" applyBorder="0" applyAlignment="0" applyProtection="0"/>
    <xf numFmtId="0" fontId="170" fillId="0" borderId="0">
      <protection locked="0"/>
    </xf>
    <xf numFmtId="9" fontId="144" fillId="0" borderId="0" applyFont="0" applyFill="0" applyBorder="0" applyAlignment="0" applyProtection="0"/>
    <xf numFmtId="261" fontId="170" fillId="0" borderId="0">
      <protection locked="0"/>
    </xf>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95" fillId="0" borderId="0" applyFont="0" applyFill="0" applyBorder="0" applyAlignment="0" applyProtection="0"/>
    <xf numFmtId="312" fontId="196" fillId="0" borderId="0">
      <alignment horizontal="right"/>
    </xf>
    <xf numFmtId="313" fontId="197" fillId="0" borderId="0" applyFont="0" applyFill="0" applyBorder="0" applyAlignment="0" applyProtection="0"/>
    <xf numFmtId="189" fontId="78" fillId="0" borderId="27">
      <alignment horizontal="right"/>
    </xf>
    <xf numFmtId="0" fontId="29" fillId="0" borderId="0" applyNumberFormat="0" applyFont="0" applyFill="0" applyBorder="0" applyAlignment="0" applyProtection="0">
      <alignment horizontal="left"/>
    </xf>
    <xf numFmtId="261"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14" fillId="0" borderId="8">
      <alignment horizontal="center"/>
    </xf>
    <xf numFmtId="261" fontId="14" fillId="0" borderId="8">
      <alignment horizontal="center"/>
    </xf>
    <xf numFmtId="3" fontId="29" fillId="0" borderId="0" applyFont="0" applyFill="0" applyBorder="0" applyAlignment="0" applyProtection="0"/>
    <xf numFmtId="0" fontId="29" fillId="94" borderId="0" applyNumberFormat="0" applyFont="0" applyBorder="0" applyAlignment="0" applyProtection="0"/>
    <xf numFmtId="261" fontId="29" fillId="94" borderId="0" applyNumberFormat="0" applyFont="0" applyBorder="0" applyAlignment="0" applyProtection="0"/>
    <xf numFmtId="170" fontId="3" fillId="0" borderId="0" applyFill="0" applyBorder="0" applyAlignment="0" applyProtection="0"/>
    <xf numFmtId="170" fontId="3" fillId="0" borderId="0" applyFill="0" applyBorder="0" applyAlignment="0" applyProtection="0"/>
    <xf numFmtId="170" fontId="3" fillId="0" borderId="0" applyFill="0" applyBorder="0" applyAlignment="0" applyProtection="0"/>
    <xf numFmtId="170" fontId="3" fillId="0" borderId="0" applyFill="0" applyBorder="0" applyAlignment="0" applyProtection="0"/>
    <xf numFmtId="3" fontId="3" fillId="0" borderId="0" applyFill="0" applyBorder="0" applyAlignment="0" applyProtection="0"/>
    <xf numFmtId="0" fontId="168" fillId="0" borderId="0"/>
    <xf numFmtId="0" fontId="13" fillId="0" borderId="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198" fillId="0" borderId="0" applyFont="0" applyFill="0" applyBorder="0" applyAlignment="0" applyProtection="0"/>
    <xf numFmtId="37" fontId="3" fillId="0" borderId="0"/>
    <xf numFmtId="38" fontId="154" fillId="0" borderId="0"/>
    <xf numFmtId="0" fontId="199" fillId="6" borderId="78" applyNumberFormat="0" applyFont="0" applyAlignment="0" applyProtection="0">
      <alignment horizontal="left"/>
    </xf>
    <xf numFmtId="261" fontId="199" fillId="6" borderId="78" applyNumberFormat="0" applyFont="0" applyAlignment="0" applyProtection="0">
      <alignment horizontal="left"/>
    </xf>
    <xf numFmtId="3" fontId="52" fillId="85" borderId="70">
      <alignment horizontal="center"/>
    </xf>
    <xf numFmtId="0" fontId="237" fillId="23" borderId="0" applyNumberFormat="0" applyFont="0" applyFill="0" applyBorder="0" applyAlignment="0" applyProtection="0"/>
    <xf numFmtId="0" fontId="237" fillId="23" borderId="0" applyNumberFormat="0" applyFont="0" applyFill="0" applyBorder="0" applyAlignment="0" applyProtection="0"/>
    <xf numFmtId="0" fontId="237" fillId="23" borderId="0" applyNumberFormat="0" applyFont="0" applyFill="0" applyBorder="0" applyAlignment="0" applyProtection="0"/>
    <xf numFmtId="0" fontId="18" fillId="0" borderId="80" applyNumberFormat="0" applyFont="0" applyFill="0" applyAlignment="0" applyProtection="0"/>
    <xf numFmtId="0" fontId="3" fillId="0" borderId="0"/>
    <xf numFmtId="261" fontId="3" fillId="0" borderId="0"/>
    <xf numFmtId="4" fontId="200" fillId="13" borderId="81" applyNumberFormat="0" applyProtection="0">
      <alignment vertical="center"/>
    </xf>
    <xf numFmtId="4" fontId="201" fillId="13" borderId="81" applyNumberFormat="0" applyProtection="0">
      <alignment vertical="center"/>
    </xf>
    <xf numFmtId="4" fontId="202" fillId="13" borderId="81" applyNumberFormat="0" applyProtection="0">
      <alignment horizontal="left" vertical="center" indent="1"/>
    </xf>
    <xf numFmtId="4" fontId="202" fillId="95" borderId="0" applyNumberFormat="0" applyProtection="0">
      <alignment horizontal="left" vertical="center" indent="1"/>
    </xf>
    <xf numFmtId="4" fontId="202" fillId="96" borderId="81" applyNumberFormat="0" applyProtection="0">
      <alignment horizontal="right" vertical="center"/>
    </xf>
    <xf numFmtId="4" fontId="202" fillId="97" borderId="81" applyNumberFormat="0" applyProtection="0">
      <alignment horizontal="right" vertical="center"/>
    </xf>
    <xf numFmtId="4" fontId="202" fillId="98" borderId="81" applyNumberFormat="0" applyProtection="0">
      <alignment horizontal="right" vertical="center"/>
    </xf>
    <xf numFmtId="4" fontId="202" fillId="10" borderId="81" applyNumberFormat="0" applyProtection="0">
      <alignment horizontal="right" vertical="center"/>
    </xf>
    <xf numFmtId="4" fontId="202" fillId="86" borderId="81" applyNumberFormat="0" applyProtection="0">
      <alignment horizontal="right" vertical="center"/>
    </xf>
    <xf numFmtId="4" fontId="202" fillId="99" borderId="81" applyNumberFormat="0" applyProtection="0">
      <alignment horizontal="right" vertical="center"/>
    </xf>
    <xf numFmtId="4" fontId="202" fillId="100" borderId="81" applyNumberFormat="0" applyProtection="0">
      <alignment horizontal="right" vertical="center"/>
    </xf>
    <xf numFmtId="4" fontId="202" fillId="101" borderId="81" applyNumberFormat="0" applyProtection="0">
      <alignment horizontal="right" vertical="center"/>
    </xf>
    <xf numFmtId="4" fontId="202" fillId="102" borderId="81" applyNumberFormat="0" applyProtection="0">
      <alignment horizontal="right" vertical="center"/>
    </xf>
    <xf numFmtId="4" fontId="200" fillId="103" borderId="82" applyNumberFormat="0" applyProtection="0">
      <alignment horizontal="left" vertical="center" indent="1"/>
    </xf>
    <xf numFmtId="4" fontId="200" fillId="4" borderId="0" applyNumberFormat="0" applyProtection="0">
      <alignment horizontal="left" vertical="center" indent="1"/>
    </xf>
    <xf numFmtId="4" fontId="200" fillId="95" borderId="0" applyNumberFormat="0" applyProtection="0">
      <alignment horizontal="left" vertical="center" indent="1"/>
    </xf>
    <xf numFmtId="4" fontId="202" fillId="4" borderId="81" applyNumberFormat="0" applyProtection="0">
      <alignment horizontal="right" vertical="center"/>
    </xf>
    <xf numFmtId="4" fontId="157" fillId="4" borderId="0" applyNumberFormat="0" applyProtection="0">
      <alignment horizontal="left" vertical="center" indent="1"/>
    </xf>
    <xf numFmtId="4" fontId="157" fillId="95" borderId="0" applyNumberFormat="0" applyProtection="0">
      <alignment horizontal="left" vertical="center" indent="1"/>
    </xf>
    <xf numFmtId="4" fontId="202" fillId="11" borderId="81" applyNumberFormat="0" applyProtection="0">
      <alignment vertical="center"/>
    </xf>
    <xf numFmtId="4" fontId="203" fillId="11" borderId="81" applyNumberFormat="0" applyProtection="0">
      <alignment vertical="center"/>
    </xf>
    <xf numFmtId="4" fontId="200" fillId="4" borderId="83" applyNumberFormat="0" applyProtection="0">
      <alignment horizontal="left" vertical="center" indent="1"/>
    </xf>
    <xf numFmtId="4" fontId="202" fillId="11" borderId="81" applyNumberFormat="0" applyProtection="0">
      <alignment horizontal="right" vertical="center"/>
    </xf>
    <xf numFmtId="4" fontId="201" fillId="11" borderId="81" applyNumberFormat="0" applyProtection="0">
      <alignment horizontal="right" vertical="center"/>
    </xf>
    <xf numFmtId="4" fontId="200" fillId="4" borderId="81" applyNumberFormat="0" applyProtection="0">
      <alignment horizontal="left" vertical="center" indent="1"/>
    </xf>
    <xf numFmtId="4" fontId="204" fillId="104" borderId="83" applyNumberFormat="0" applyProtection="0">
      <alignment horizontal="left" vertical="center" indent="1"/>
    </xf>
    <xf numFmtId="4" fontId="205" fillId="11" borderId="81" applyNumberFormat="0" applyProtection="0">
      <alignment horizontal="right" vertical="center"/>
    </xf>
    <xf numFmtId="316" fontId="216" fillId="0" borderId="0" applyFill="0" applyBorder="0" applyAlignment="0" applyProtection="0"/>
    <xf numFmtId="171" fontId="206" fillId="0" borderId="0">
      <alignment horizontal="left"/>
    </xf>
    <xf numFmtId="314" fontId="207" fillId="0" borderId="0">
      <protection locked="0"/>
    </xf>
    <xf numFmtId="32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315" fontId="144" fillId="0" borderId="0" applyFont="0" applyFill="0" applyBorder="0" applyAlignment="0" applyProtection="0"/>
    <xf numFmtId="315" fontId="144" fillId="0" borderId="0" applyFont="0" applyFill="0" applyBorder="0" applyAlignment="0" applyProtection="0"/>
    <xf numFmtId="315" fontId="14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25" fontId="3" fillId="0" borderId="0" applyFont="0" applyFill="0" applyBorder="0" applyAlignment="0" applyProtection="0"/>
    <xf numFmtId="216" fontId="153" fillId="1" borderId="0" applyNumberFormat="0" applyFont="0" applyBorder="0" applyAlignment="0" applyProtection="0"/>
    <xf numFmtId="171" fontId="208" fillId="0" borderId="0">
      <alignment horizontal="left"/>
    </xf>
    <xf numFmtId="3" fontId="209" fillId="105" borderId="0">
      <alignment horizontal="left"/>
    </xf>
    <xf numFmtId="0" fontId="187" fillId="0" borderId="0"/>
    <xf numFmtId="261" fontId="187" fillId="0" borderId="0"/>
    <xf numFmtId="0" fontId="18" fillId="0" borderId="84"/>
    <xf numFmtId="261" fontId="18" fillId="0" borderId="84"/>
    <xf numFmtId="0" fontId="77" fillId="0" borderId="0"/>
    <xf numFmtId="0" fontId="3" fillId="0" borderId="0"/>
    <xf numFmtId="0" fontId="3" fillId="0" borderId="0" applyFont="0" applyFill="0" applyBorder="0" applyAlignment="0" applyProtection="0"/>
    <xf numFmtId="3" fontId="202" fillId="105" borderId="0">
      <alignment horizontal="left"/>
    </xf>
    <xf numFmtId="3" fontId="210" fillId="0" borderId="0"/>
    <xf numFmtId="222" fontId="211" fillId="0" borderId="0"/>
    <xf numFmtId="3" fontId="212" fillId="0" borderId="0"/>
    <xf numFmtId="3" fontId="150" fillId="0" borderId="3"/>
    <xf numFmtId="258" fontId="5" fillId="0" borderId="85"/>
    <xf numFmtId="0" fontId="213" fillId="0" borderId="0" applyBorder="0" applyProtection="0">
      <alignment vertical="center"/>
    </xf>
    <xf numFmtId="261" fontId="213" fillId="0" borderId="0" applyBorder="0" applyProtection="0">
      <alignment vertical="center"/>
    </xf>
    <xf numFmtId="0" fontId="3" fillId="0" borderId="0" applyBorder="0" applyProtection="0">
      <alignment vertical="center"/>
    </xf>
    <xf numFmtId="0" fontId="3" fillId="0" borderId="0">
      <alignment horizontal="left"/>
    </xf>
    <xf numFmtId="289" fontId="3" fillId="0" borderId="6" applyBorder="0" applyProtection="0">
      <alignment horizontal="right" vertical="center"/>
    </xf>
    <xf numFmtId="0" fontId="34" fillId="0" borderId="6" applyBorder="0" applyProtection="0">
      <alignment horizontal="right" vertical="center"/>
    </xf>
    <xf numFmtId="0" fontId="214" fillId="24" borderId="0" applyBorder="0" applyProtection="0">
      <alignment horizontal="centerContinuous" vertical="center"/>
    </xf>
    <xf numFmtId="261" fontId="214" fillId="24" borderId="0" applyBorder="0" applyProtection="0">
      <alignment horizontal="centerContinuous" vertical="center"/>
    </xf>
    <xf numFmtId="0" fontId="3" fillId="24" borderId="0" applyBorder="0" applyProtection="0">
      <alignment horizontal="centerContinuous" vertical="center"/>
    </xf>
    <xf numFmtId="0" fontId="214" fillId="7" borderId="6" applyBorder="0" applyProtection="0">
      <alignment horizontal="centerContinuous" vertical="center"/>
    </xf>
    <xf numFmtId="261" fontId="214" fillId="7" borderId="6" applyBorder="0" applyProtection="0">
      <alignment horizontal="centerContinuous" vertical="center"/>
    </xf>
    <xf numFmtId="0" fontId="3" fillId="7" borderId="6" applyBorder="0" applyProtection="0">
      <alignment horizontal="centerContinuous" vertical="center"/>
    </xf>
    <xf numFmtId="0" fontId="215" fillId="0" borderId="0" applyFill="0" applyBorder="0" applyProtection="0">
      <alignment horizontal="left"/>
    </xf>
    <xf numFmtId="261" fontId="215" fillId="0" borderId="0" applyFill="0" applyBorder="0" applyProtection="0">
      <alignment horizontal="left"/>
    </xf>
    <xf numFmtId="0" fontId="3" fillId="0" borderId="0" applyFill="0" applyBorder="0" applyProtection="0">
      <alignment horizontal="left"/>
    </xf>
    <xf numFmtId="0" fontId="89" fillId="0" borderId="0">
      <alignment horizontal="centerContinuous"/>
    </xf>
    <xf numFmtId="0" fontId="176" fillId="0" borderId="4" applyFill="0" applyBorder="0" applyProtection="0">
      <alignment horizontal="left" vertical="top"/>
    </xf>
    <xf numFmtId="261" fontId="176" fillId="0" borderId="4" applyFill="0" applyBorder="0" applyProtection="0">
      <alignment horizontal="left" vertical="top"/>
    </xf>
    <xf numFmtId="0" fontId="3" fillId="0" borderId="4" applyFill="0" applyBorder="0" applyProtection="0">
      <alignment horizontal="left" vertical="top"/>
    </xf>
    <xf numFmtId="0" fontId="3" fillId="0" borderId="0"/>
    <xf numFmtId="0" fontId="40" fillId="0" borderId="0"/>
    <xf numFmtId="261" fontId="40" fillId="0" borderId="0"/>
    <xf numFmtId="316" fontId="216" fillId="0" borderId="0" applyFill="0" applyBorder="0" applyAlignment="0" applyProtection="0"/>
    <xf numFmtId="49" fontId="32" fillId="0" borderId="0" applyFont="0" applyFill="0" applyBorder="0" applyAlignment="0" applyProtection="0">
      <alignment horizontal="center" vertical="center"/>
    </xf>
    <xf numFmtId="0" fontId="130" fillId="0" borderId="0" applyNumberFormat="0" applyFill="0" applyBorder="0" applyAlignment="0" applyProtection="0"/>
    <xf numFmtId="0" fontId="224" fillId="0" borderId="0" applyNumberFormat="0" applyFill="0" applyBorder="0" applyAlignment="0" applyProtection="0"/>
    <xf numFmtId="3" fontId="217" fillId="105" borderId="0">
      <alignment horizontal="center"/>
    </xf>
    <xf numFmtId="314" fontId="163" fillId="0" borderId="0">
      <protection locked="0"/>
    </xf>
    <xf numFmtId="314" fontId="163" fillId="0" borderId="0">
      <protection locked="0"/>
    </xf>
    <xf numFmtId="3" fontId="218" fillId="6" borderId="6">
      <alignment horizontal="center" vertical="center"/>
    </xf>
    <xf numFmtId="0" fontId="5" fillId="0" borderId="0"/>
    <xf numFmtId="261" fontId="5" fillId="0" borderId="0"/>
    <xf numFmtId="3" fontId="219" fillId="105" borderId="0">
      <alignment horizontal="left"/>
    </xf>
    <xf numFmtId="0" fontId="170" fillId="0" borderId="85">
      <protection locked="0"/>
    </xf>
    <xf numFmtId="261" fontId="170" fillId="0" borderId="85">
      <protection locked="0"/>
    </xf>
    <xf numFmtId="0" fontId="220" fillId="0" borderId="86" applyNumberFormat="0" applyFill="0" applyAlignment="0" applyProtection="0"/>
    <xf numFmtId="3" fontId="220" fillId="106" borderId="0">
      <alignment horizontal="right"/>
    </xf>
    <xf numFmtId="4" fontId="170" fillId="0" borderId="0">
      <protection locked="0"/>
    </xf>
    <xf numFmtId="317" fontId="170" fillId="0" borderId="0">
      <protection locked="0"/>
    </xf>
    <xf numFmtId="318" fontId="29" fillId="0" borderId="0" applyFont="0" applyFill="0" applyBorder="0" applyAlignment="0" applyProtection="0"/>
    <xf numFmtId="222" fontId="39" fillId="0" borderId="0">
      <alignment horizontal="center"/>
    </xf>
    <xf numFmtId="170" fontId="3" fillId="0" borderId="0" applyFill="0" applyBorder="0" applyAlignment="0" applyProtection="0"/>
    <xf numFmtId="43" fontId="3" fillId="0" borderId="0" applyFont="0" applyFill="0" applyBorder="0" applyAlignment="0" applyProtection="0"/>
    <xf numFmtId="3" fontId="3" fillId="0" borderId="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38" fillId="0" borderId="0" applyNumberFormat="0" applyFill="0" applyBorder="0" applyAlignment="0" applyProtection="0"/>
    <xf numFmtId="0" fontId="39" fillId="6" borderId="3" applyNumberFormat="0" applyFont="0" applyAlignment="0" applyProtection="0">
      <protection locked="0"/>
    </xf>
    <xf numFmtId="261" fontId="39" fillId="6" borderId="3" applyNumberFormat="0" applyFont="0" applyAlignment="0" applyProtection="0">
      <protection locked="0"/>
    </xf>
    <xf numFmtId="319" fontId="32" fillId="0" borderId="0"/>
    <xf numFmtId="0" fontId="191" fillId="0" borderId="0">
      <alignment horizontal="right"/>
    </xf>
    <xf numFmtId="261" fontId="191" fillId="0" borderId="0">
      <alignment horizontal="right"/>
    </xf>
    <xf numFmtId="222" fontId="23" fillId="0" borderId="0" applyFont="0" applyFill="0" applyBorder="0" applyProtection="0">
      <alignment horizontal="right"/>
    </xf>
    <xf numFmtId="1" fontId="3" fillId="107" borderId="0"/>
    <xf numFmtId="320" fontId="86" fillId="0" borderId="0">
      <alignment horizontal="center"/>
    </xf>
    <xf numFmtId="320" fontId="86" fillId="0" borderId="0" applyFont="0" applyFill="0" applyBorder="0" applyAlignment="0" applyProtection="0">
      <alignment horizontal="center"/>
    </xf>
    <xf numFmtId="321" fontId="29" fillId="0" borderId="0" applyFont="0" applyFill="0" applyBorder="0" applyAlignment="0" applyProtection="0"/>
    <xf numFmtId="322" fontId="13" fillId="0" borderId="0"/>
    <xf numFmtId="321" fontId="14" fillId="0" borderId="0" applyFont="0" applyFill="0" applyBorder="0" applyAlignment="0" applyProtection="0"/>
    <xf numFmtId="321" fontId="14" fillId="0" borderId="0">
      <alignment horizontal="center"/>
    </xf>
    <xf numFmtId="0" fontId="2" fillId="0" borderId="0"/>
    <xf numFmtId="216" fontId="32" fillId="0" borderId="0"/>
    <xf numFmtId="3" fontId="188" fillId="0" borderId="0"/>
    <xf numFmtId="14" fontId="153" fillId="0" borderId="0" applyFont="0" applyFill="0" applyBorder="0" applyAlignment="0" applyProtection="0"/>
    <xf numFmtId="304" fontId="32" fillId="0" borderId="0"/>
    <xf numFmtId="0" fontId="13" fillId="0" borderId="0" applyFont="0" applyFill="0" applyBorder="0" applyAlignment="0" applyProtection="0">
      <alignment horizontal="right"/>
    </xf>
    <xf numFmtId="0" fontId="89" fillId="0" borderId="0"/>
    <xf numFmtId="0" fontId="89" fillId="0" borderId="0"/>
    <xf numFmtId="0" fontId="13" fillId="0" borderId="0" applyFont="0" applyFill="0" applyBorder="0" applyAlignment="0" applyProtection="0">
      <alignment horizontal="right"/>
    </xf>
    <xf numFmtId="304" fontId="32" fillId="0" borderId="0"/>
    <xf numFmtId="14" fontId="153" fillId="0" borderId="0" applyFont="0" applyFill="0" applyBorder="0" applyAlignment="0" applyProtection="0"/>
    <xf numFmtId="3" fontId="188" fillId="0" borderId="0"/>
    <xf numFmtId="216" fontId="32" fillId="0" borderId="0"/>
    <xf numFmtId="9" fontId="2" fillId="0" borderId="0" applyFont="0" applyFill="0" applyBorder="0" applyAlignment="0" applyProtection="0"/>
    <xf numFmtId="3" fontId="3" fillId="0" borderId="0" applyFill="0" applyBorder="0" applyAlignment="0" applyProtection="0"/>
    <xf numFmtId="43" fontId="2" fillId="0" borderId="0" applyFont="0" applyFill="0" applyBorder="0" applyAlignment="0" applyProtection="0"/>
    <xf numFmtId="0" fontId="159" fillId="0" borderId="0" applyFont="0" applyFill="0" applyBorder="0" applyAlignment="0" applyProtection="0">
      <alignment horizontal="right"/>
    </xf>
    <xf numFmtId="316" fontId="216" fillId="0" borderId="0" applyFill="0" applyBorder="0" applyAlignment="0" applyProtection="0"/>
    <xf numFmtId="0" fontId="2" fillId="0" borderId="0"/>
  </cellStyleXfs>
  <cellXfs count="766">
    <xf numFmtId="0" fontId="0" fillId="0" borderId="0" xfId="0"/>
    <xf numFmtId="0" fontId="2" fillId="0" borderId="0" xfId="0" applyFont="1"/>
    <xf numFmtId="165" fontId="2" fillId="0" borderId="0" xfId="0" applyNumberFormat="1" applyFont="1"/>
    <xf numFmtId="0" fontId="0" fillId="0" borderId="6" xfId="0" applyBorder="1"/>
    <xf numFmtId="1" fontId="6" fillId="0" borderId="0" xfId="0" applyNumberFormat="1" applyFont="1"/>
    <xf numFmtId="9" fontId="6" fillId="0" borderId="0" xfId="0" applyNumberFormat="1" applyFont="1"/>
    <xf numFmtId="3" fontId="6" fillId="0" borderId="0" xfId="0" applyNumberFormat="1" applyFont="1"/>
    <xf numFmtId="0" fontId="6" fillId="0" borderId="6" xfId="0" applyFont="1" applyBorder="1"/>
    <xf numFmtId="0" fontId="6" fillId="0" borderId="0" xfId="0" applyFont="1"/>
    <xf numFmtId="0" fontId="6" fillId="0" borderId="0" xfId="0" quotePrefix="1" applyFont="1"/>
    <xf numFmtId="165" fontId="6" fillId="0" borderId="0" xfId="0" applyNumberFormat="1" applyFont="1"/>
    <xf numFmtId="165" fontId="6" fillId="3" borderId="0" xfId="0" applyNumberFormat="1" applyFont="1" applyFill="1"/>
    <xf numFmtId="169" fontId="6" fillId="0" borderId="0" xfId="0" applyNumberFormat="1" applyFont="1"/>
    <xf numFmtId="1" fontId="6" fillId="3" borderId="0" xfId="0" applyNumberFormat="1" applyFont="1" applyFill="1"/>
    <xf numFmtId="0" fontId="6" fillId="0" borderId="0" xfId="0" applyFont="1" applyAlignment="1">
      <alignment horizontal="right"/>
    </xf>
    <xf numFmtId="0" fontId="7" fillId="0" borderId="0" xfId="0" applyFont="1"/>
    <xf numFmtId="0" fontId="7" fillId="0" borderId="6" xfId="0" applyFont="1" applyBorder="1"/>
    <xf numFmtId="0" fontId="11" fillId="0" borderId="0" xfId="0" applyFont="1"/>
    <xf numFmtId="9" fontId="6" fillId="3" borderId="0" xfId="0" applyNumberFormat="1" applyFont="1" applyFill="1"/>
    <xf numFmtId="0" fontId="2" fillId="0" borderId="0" xfId="4" applyFont="1"/>
    <xf numFmtId="0" fontId="0" fillId="0" borderId="0" xfId="0" applyAlignment="1">
      <alignment horizontal="right"/>
    </xf>
    <xf numFmtId="0" fontId="0" fillId="0" borderId="6" xfId="0" applyBorder="1" applyAlignment="1">
      <alignment horizontal="right"/>
    </xf>
    <xf numFmtId="3" fontId="0" fillId="0" borderId="0" xfId="0" applyNumberFormat="1"/>
    <xf numFmtId="9" fontId="0" fillId="0" borderId="0" xfId="0" applyNumberFormat="1"/>
    <xf numFmtId="2" fontId="0" fillId="0" borderId="0" xfId="0" applyNumberFormat="1"/>
    <xf numFmtId="1" fontId="0" fillId="0" borderId="0" xfId="0" applyNumberFormat="1"/>
    <xf numFmtId="165" fontId="0" fillId="0" borderId="0" xfId="0" applyNumberFormat="1"/>
    <xf numFmtId="169" fontId="0" fillId="0" borderId="0" xfId="0" applyNumberFormat="1"/>
    <xf numFmtId="170" fontId="6" fillId="0" borderId="0" xfId="0" applyNumberFormat="1" applyFont="1"/>
    <xf numFmtId="0" fontId="4" fillId="0" borderId="1" xfId="6" applyFont="1" applyBorder="1"/>
    <xf numFmtId="0" fontId="2" fillId="0" borderId="0" xfId="6" applyFont="1"/>
    <xf numFmtId="3" fontId="2" fillId="4" borderId="0" xfId="6" applyNumberFormat="1" applyFont="1" applyFill="1"/>
    <xf numFmtId="3" fontId="2" fillId="4" borderId="0" xfId="7" applyNumberFormat="1" applyFont="1" applyFill="1"/>
    <xf numFmtId="170" fontId="2" fillId="4" borderId="0" xfId="6" applyNumberFormat="1" applyFont="1" applyFill="1"/>
    <xf numFmtId="1" fontId="4" fillId="0" borderId="1" xfId="6" applyNumberFormat="1" applyFont="1" applyBorder="1"/>
    <xf numFmtId="0" fontId="2" fillId="0" borderId="0" xfId="8" applyFont="1"/>
    <xf numFmtId="0" fontId="2" fillId="4" borderId="0" xfId="8" applyFont="1" applyFill="1"/>
    <xf numFmtId="164" fontId="2" fillId="4" borderId="0" xfId="7" applyNumberFormat="1" applyFont="1" applyFill="1"/>
    <xf numFmtId="0" fontId="2" fillId="4" borderId="0" xfId="6" applyFont="1" applyFill="1"/>
    <xf numFmtId="0" fontId="4" fillId="0" borderId="0" xfId="8" applyFont="1" applyAlignment="1">
      <alignment horizontal="left"/>
    </xf>
    <xf numFmtId="1" fontId="2" fillId="4" borderId="0" xfId="6" applyNumberFormat="1" applyFont="1" applyFill="1"/>
    <xf numFmtId="164" fontId="2" fillId="0" borderId="0" xfId="6" applyNumberFormat="1" applyFont="1"/>
    <xf numFmtId="0" fontId="4" fillId="0" borderId="0" xfId="6" applyFont="1"/>
    <xf numFmtId="0" fontId="0" fillId="0" borderId="0" xfId="4" applyFont="1"/>
    <xf numFmtId="3" fontId="4" fillId="4" borderId="0" xfId="6" applyNumberFormat="1" applyFont="1" applyFill="1"/>
    <xf numFmtId="0" fontId="12" fillId="0" borderId="0" xfId="4" applyFont="1"/>
    <xf numFmtId="0" fontId="3" fillId="4" borderId="0" xfId="4" applyFill="1"/>
    <xf numFmtId="0" fontId="0" fillId="4" borderId="0" xfId="4" applyFont="1" applyFill="1"/>
    <xf numFmtId="0" fontId="2" fillId="0" borderId="0" xfId="4" applyFont="1" applyAlignment="1">
      <alignment horizontal="left"/>
    </xf>
    <xf numFmtId="0" fontId="6" fillId="0" borderId="6" xfId="0" applyFont="1" applyBorder="1" applyAlignment="1">
      <alignment horizontal="right"/>
    </xf>
    <xf numFmtId="165" fontId="6" fillId="0" borderId="6" xfId="0" applyNumberFormat="1" applyFont="1" applyBorder="1"/>
    <xf numFmtId="0" fontId="2" fillId="0" borderId="6" xfId="0" applyFont="1" applyBorder="1"/>
    <xf numFmtId="1" fontId="6" fillId="0" borderId="0" xfId="0" applyNumberFormat="1" applyFont="1" applyAlignment="1">
      <alignment horizontal="right"/>
    </xf>
    <xf numFmtId="1" fontId="6" fillId="0" borderId="6" xfId="0" applyNumberFormat="1" applyFont="1" applyBorder="1" applyAlignment="1">
      <alignment horizontal="right"/>
    </xf>
    <xf numFmtId="0" fontId="12" fillId="0" borderId="0" xfId="0" applyFont="1"/>
    <xf numFmtId="3" fontId="6" fillId="0" borderId="6" xfId="0" applyNumberFormat="1" applyFont="1" applyBorder="1"/>
    <xf numFmtId="0" fontId="6" fillId="0" borderId="6" xfId="0" applyFont="1" applyBorder="1" applyAlignment="1">
      <alignment horizontal="left"/>
    </xf>
    <xf numFmtId="0" fontId="100" fillId="0" borderId="0" xfId="0" applyFont="1"/>
    <xf numFmtId="9" fontId="2" fillId="4" borderId="0" xfId="6" applyNumberFormat="1" applyFont="1" applyFill="1"/>
    <xf numFmtId="0" fontId="0" fillId="0" borderId="0" xfId="0" applyAlignment="1">
      <alignment horizontal="left"/>
    </xf>
    <xf numFmtId="16" fontId="0" fillId="0" borderId="0" xfId="0" quotePrefix="1" applyNumberFormat="1"/>
    <xf numFmtId="17" fontId="101" fillId="26" borderId="0" xfId="0" applyNumberFormat="1" applyFont="1" applyFill="1" applyAlignment="1">
      <alignment horizontal="left"/>
    </xf>
    <xf numFmtId="0" fontId="6" fillId="27" borderId="1" xfId="0" applyFont="1" applyFill="1" applyBorder="1"/>
    <xf numFmtId="0" fontId="6" fillId="27" borderId="1" xfId="0" applyFont="1" applyFill="1" applyBorder="1" applyAlignment="1">
      <alignment horizontal="right"/>
    </xf>
    <xf numFmtId="0" fontId="6" fillId="27" borderId="0" xfId="0" applyFont="1" applyFill="1"/>
    <xf numFmtId="170" fontId="6" fillId="27" borderId="0" xfId="0" applyNumberFormat="1" applyFont="1" applyFill="1" applyAlignment="1">
      <alignment horizontal="right"/>
    </xf>
    <xf numFmtId="170" fontId="6" fillId="27" borderId="3" xfId="0" applyNumberFormat="1" applyFont="1" applyFill="1" applyBorder="1" applyAlignment="1">
      <alignment horizontal="right"/>
    </xf>
    <xf numFmtId="9" fontId="6" fillId="27" borderId="0" xfId="2" applyFont="1" applyFill="1" applyAlignment="1">
      <alignment horizontal="right"/>
    </xf>
    <xf numFmtId="1" fontId="7" fillId="0" borderId="0" xfId="0" applyNumberFormat="1" applyFont="1"/>
    <xf numFmtId="0" fontId="0" fillId="0" borderId="6" xfId="0" applyBorder="1" applyAlignment="1">
      <alignment horizontal="left"/>
    </xf>
    <xf numFmtId="16" fontId="0" fillId="0" borderId="0" xfId="0" applyNumberFormat="1"/>
    <xf numFmtId="9" fontId="0" fillId="0" borderId="6" xfId="0" applyNumberFormat="1" applyBorder="1"/>
    <xf numFmtId="16" fontId="0" fillId="0" borderId="0" xfId="0" quotePrefix="1" applyNumberFormat="1" applyAlignment="1">
      <alignment horizontal="right"/>
    </xf>
    <xf numFmtId="1" fontId="7" fillId="3" borderId="0" xfId="0" applyNumberFormat="1" applyFont="1" applyFill="1"/>
    <xf numFmtId="9" fontId="0" fillId="0" borderId="0" xfId="0" applyNumberFormat="1" applyAlignment="1">
      <alignment horizontal="left"/>
    </xf>
    <xf numFmtId="9" fontId="0" fillId="3" borderId="0" xfId="0" applyNumberFormat="1" applyFill="1"/>
    <xf numFmtId="1" fontId="0" fillId="3" borderId="0" xfId="0" applyNumberFormat="1" applyFill="1"/>
    <xf numFmtId="17" fontId="100" fillId="0" borderId="0" xfId="0" quotePrefix="1" applyNumberFormat="1" applyFont="1" applyAlignment="1">
      <alignment horizontal="left"/>
    </xf>
    <xf numFmtId="0" fontId="0" fillId="0" borderId="0" xfId="0" quotePrefix="1"/>
    <xf numFmtId="169" fontId="0" fillId="0" borderId="0" xfId="0" applyNumberFormat="1" applyAlignment="1">
      <alignment horizontal="right"/>
    </xf>
    <xf numFmtId="0" fontId="102" fillId="0" borderId="0" xfId="0" applyFont="1"/>
    <xf numFmtId="0" fontId="103" fillId="0" borderId="0" xfId="0" applyFont="1"/>
    <xf numFmtId="0" fontId="7" fillId="0" borderId="6" xfId="0" applyFont="1" applyBorder="1" applyAlignment="1">
      <alignment horizontal="right"/>
    </xf>
    <xf numFmtId="17" fontId="0" fillId="0" borderId="0" xfId="0" applyNumberFormat="1"/>
    <xf numFmtId="17" fontId="0" fillId="0" borderId="0" xfId="0" applyNumberFormat="1" applyAlignment="1">
      <alignment horizontal="left"/>
    </xf>
    <xf numFmtId="17" fontId="11" fillId="0" borderId="0" xfId="0" applyNumberFormat="1" applyFont="1" applyAlignment="1">
      <alignment horizontal="left"/>
    </xf>
    <xf numFmtId="0" fontId="0" fillId="0" borderId="0" xfId="0" quotePrefix="1" applyAlignment="1">
      <alignment horizontal="right"/>
    </xf>
    <xf numFmtId="165" fontId="0" fillId="0" borderId="0" xfId="0" applyNumberFormat="1" applyAlignment="1">
      <alignment horizontal="right"/>
    </xf>
    <xf numFmtId="3" fontId="7" fillId="0" borderId="0" xfId="0" applyNumberFormat="1" applyFont="1"/>
    <xf numFmtId="10" fontId="0" fillId="0" borderId="0" xfId="0" applyNumberFormat="1"/>
    <xf numFmtId="0" fontId="6" fillId="28" borderId="0" xfId="0" applyFont="1" applyFill="1"/>
    <xf numFmtId="0" fontId="105" fillId="29" borderId="8" xfId="410" applyFont="1" applyFill="1" applyBorder="1"/>
    <xf numFmtId="0" fontId="106" fillId="29" borderId="8" xfId="410" applyFont="1" applyFill="1" applyBorder="1"/>
    <xf numFmtId="0" fontId="104" fillId="0" borderId="0" xfId="410"/>
    <xf numFmtId="0" fontId="106" fillId="29" borderId="0" xfId="410" applyFont="1" applyFill="1"/>
    <xf numFmtId="0" fontId="107" fillId="29" borderId="0" xfId="410" applyFont="1" applyFill="1"/>
    <xf numFmtId="14" fontId="108" fillId="29" borderId="0" xfId="410" applyNumberFormat="1" applyFont="1" applyFill="1" applyAlignment="1">
      <alignment horizontal="left"/>
    </xf>
    <xf numFmtId="0" fontId="109" fillId="29" borderId="0" xfId="410" applyFont="1" applyFill="1"/>
    <xf numFmtId="257" fontId="106" fillId="29" borderId="0" xfId="410" applyNumberFormat="1" applyFont="1" applyFill="1"/>
    <xf numFmtId="0" fontId="110" fillId="29" borderId="0" xfId="410" applyFont="1" applyFill="1"/>
    <xf numFmtId="0" fontId="104" fillId="29" borderId="0" xfId="410" applyFill="1"/>
    <xf numFmtId="0" fontId="111" fillId="29" borderId="0" xfId="410" applyFont="1" applyFill="1"/>
    <xf numFmtId="0" fontId="109" fillId="29" borderId="0" xfId="410" quotePrefix="1" applyFont="1" applyFill="1"/>
    <xf numFmtId="0" fontId="108" fillId="29" borderId="0" xfId="410" applyFont="1" applyFill="1"/>
    <xf numFmtId="0" fontId="112" fillId="29" borderId="0" xfId="410" applyFont="1" applyFill="1"/>
    <xf numFmtId="258" fontId="106" fillId="29" borderId="0" xfId="411" applyNumberFormat="1" applyFont="1" applyFill="1"/>
    <xf numFmtId="0" fontId="108" fillId="29" borderId="0" xfId="410" applyFont="1" applyFill="1" applyAlignment="1">
      <alignment horizontal="right"/>
    </xf>
    <xf numFmtId="37" fontId="108" fillId="29" borderId="0" xfId="410" applyNumberFormat="1" applyFont="1" applyFill="1"/>
    <xf numFmtId="210" fontId="113" fillId="30" borderId="0" xfId="410" applyNumberFormat="1" applyFont="1" applyFill="1" applyAlignment="1">
      <alignment horizontal="right"/>
    </xf>
    <xf numFmtId="0" fontId="12" fillId="0" borderId="6" xfId="0" applyFont="1" applyBorder="1"/>
    <xf numFmtId="3" fontId="0" fillId="3" borderId="0" xfId="0" applyNumberFormat="1" applyFill="1"/>
    <xf numFmtId="3" fontId="0" fillId="0" borderId="6" xfId="0" applyNumberFormat="1" applyBorder="1"/>
    <xf numFmtId="0" fontId="0" fillId="32" borderId="0" xfId="0" applyFill="1"/>
    <xf numFmtId="0" fontId="2" fillId="28" borderId="0" xfId="0" applyFont="1" applyFill="1"/>
    <xf numFmtId="0" fontId="4" fillId="0" borderId="6" xfId="0" applyFont="1" applyBorder="1"/>
    <xf numFmtId="0" fontId="0" fillId="0" borderId="6" xfId="0" applyBorder="1" applyAlignment="1">
      <alignment horizontal="center"/>
    </xf>
    <xf numFmtId="0" fontId="0" fillId="0" borderId="0" xfId="0" applyAlignment="1">
      <alignment horizontal="center"/>
    </xf>
    <xf numFmtId="9" fontId="0" fillId="0" borderId="0" xfId="0" applyNumberFormat="1" applyAlignment="1">
      <alignment horizontal="center"/>
    </xf>
    <xf numFmtId="1" fontId="0" fillId="0" borderId="0" xfId="0" applyNumberFormat="1" applyAlignment="1">
      <alignment horizontal="center"/>
    </xf>
    <xf numFmtId="165" fontId="0" fillId="0" borderId="0" xfId="0" applyNumberFormat="1" applyAlignment="1">
      <alignment horizontal="center"/>
    </xf>
    <xf numFmtId="0" fontId="7" fillId="0" borderId="6" xfId="0" applyFont="1" applyBorder="1" applyAlignment="1">
      <alignment horizontal="center"/>
    </xf>
    <xf numFmtId="3" fontId="6" fillId="0" borderId="0" xfId="0" applyNumberFormat="1" applyFont="1" applyAlignment="1">
      <alignment horizontal="center"/>
    </xf>
    <xf numFmtId="165" fontId="6" fillId="0" borderId="0" xfId="0" applyNumberFormat="1" applyFont="1" applyAlignment="1">
      <alignment horizontal="center"/>
    </xf>
    <xf numFmtId="0" fontId="6" fillId="0" borderId="0" xfId="0" applyFont="1" applyAlignment="1">
      <alignment horizontal="center"/>
    </xf>
    <xf numFmtId="0" fontId="6" fillId="0" borderId="6" xfId="0" applyFont="1" applyBorder="1" applyAlignment="1">
      <alignment horizontal="center"/>
    </xf>
    <xf numFmtId="1" fontId="6" fillId="0" borderId="0" xfId="0" applyNumberFormat="1" applyFont="1" applyAlignment="1">
      <alignment horizontal="center"/>
    </xf>
    <xf numFmtId="9" fontId="6" fillId="0" borderId="0" xfId="0" applyNumberFormat="1" applyFont="1" applyAlignment="1">
      <alignment horizontal="center"/>
    </xf>
    <xf numFmtId="256" fontId="0" fillId="0" borderId="0" xfId="0" applyNumberFormat="1" applyAlignment="1">
      <alignment horizontal="center"/>
    </xf>
    <xf numFmtId="3" fontId="6" fillId="0" borderId="6" xfId="0" applyNumberFormat="1" applyFont="1" applyBorder="1" applyAlignment="1">
      <alignment horizontal="center"/>
    </xf>
    <xf numFmtId="0" fontId="7" fillId="0" borderId="0" xfId="0" applyFont="1" applyAlignment="1">
      <alignment horizontal="center"/>
    </xf>
    <xf numFmtId="165" fontId="6" fillId="0" borderId="6" xfId="0" applyNumberFormat="1" applyFont="1" applyBorder="1" applyAlignment="1">
      <alignment horizontal="center"/>
    </xf>
    <xf numFmtId="169" fontId="6" fillId="0" borderId="0" xfId="0" applyNumberFormat="1" applyFont="1" applyAlignment="1">
      <alignment horizontal="center"/>
    </xf>
    <xf numFmtId="0" fontId="0" fillId="3" borderId="6" xfId="0" applyFill="1" applyBorder="1" applyAlignment="1">
      <alignment horizontal="center"/>
    </xf>
    <xf numFmtId="0" fontId="0" fillId="3" borderId="20" xfId="0" applyFill="1" applyBorder="1" applyAlignment="1">
      <alignment horizontal="center"/>
    </xf>
    <xf numFmtId="0" fontId="0" fillId="3" borderId="0" xfId="0" applyFill="1" applyAlignment="1">
      <alignment horizontal="center"/>
    </xf>
    <xf numFmtId="169" fontId="0" fillId="3" borderId="0" xfId="0" applyNumberFormat="1" applyFill="1" applyAlignment="1">
      <alignment horizontal="center"/>
    </xf>
    <xf numFmtId="169" fontId="0" fillId="0" borderId="0" xfId="0" applyNumberFormat="1" applyAlignment="1">
      <alignment horizontal="center"/>
    </xf>
    <xf numFmtId="165" fontId="0" fillId="3" borderId="0" xfId="0" applyNumberFormat="1" applyFill="1" applyAlignment="1">
      <alignment horizontal="center"/>
    </xf>
    <xf numFmtId="9" fontId="0" fillId="3" borderId="0" xfId="0" applyNumberFormat="1" applyFill="1" applyAlignment="1">
      <alignment horizontal="center"/>
    </xf>
    <xf numFmtId="3" fontId="6" fillId="3" borderId="0" xfId="0" applyNumberFormat="1" applyFont="1" applyFill="1" applyAlignment="1">
      <alignment horizontal="center"/>
    </xf>
    <xf numFmtId="0" fontId="6" fillId="28" borderId="0" xfId="0" applyFont="1" applyFill="1" applyAlignment="1">
      <alignment horizontal="center"/>
    </xf>
    <xf numFmtId="3" fontId="0" fillId="0" borderId="0" xfId="0" applyNumberFormat="1" applyAlignment="1">
      <alignment horizontal="center"/>
    </xf>
    <xf numFmtId="3" fontId="0" fillId="3" borderId="0" xfId="0" applyNumberFormat="1" applyFill="1" applyAlignment="1">
      <alignment horizontal="center"/>
    </xf>
    <xf numFmtId="165" fontId="6" fillId="28" borderId="0" xfId="0" applyNumberFormat="1" applyFont="1" applyFill="1" applyAlignment="1">
      <alignment horizontal="right"/>
    </xf>
    <xf numFmtId="3" fontId="6" fillId="0" borderId="0" xfId="0" applyNumberFormat="1" applyFont="1" applyAlignment="1">
      <alignment horizontal="right"/>
    </xf>
    <xf numFmtId="3" fontId="6" fillId="28" borderId="0" xfId="0" applyNumberFormat="1" applyFont="1" applyFill="1" applyAlignment="1">
      <alignment horizontal="right"/>
    </xf>
    <xf numFmtId="0" fontId="4" fillId="0" borderId="6" xfId="0" applyFont="1" applyBorder="1" applyAlignment="1">
      <alignment horizontal="right"/>
    </xf>
    <xf numFmtId="3" fontId="6" fillId="0" borderId="6" xfId="0" applyNumberFormat="1" applyFont="1" applyBorder="1" applyAlignment="1">
      <alignment horizontal="right"/>
    </xf>
    <xf numFmtId="9" fontId="6" fillId="0" borderId="0" xfId="0" applyNumberFormat="1" applyFont="1" applyAlignment="1">
      <alignment horizontal="right"/>
    </xf>
    <xf numFmtId="10" fontId="6" fillId="0" borderId="0" xfId="0" applyNumberFormat="1" applyFont="1"/>
    <xf numFmtId="10" fontId="6" fillId="3" borderId="0" xfId="0" applyNumberFormat="1" applyFont="1" applyFill="1"/>
    <xf numFmtId="0" fontId="12" fillId="0" borderId="6" xfId="0" applyFont="1" applyBorder="1" applyAlignment="1">
      <alignment horizontal="right"/>
    </xf>
    <xf numFmtId="3" fontId="0" fillId="0" borderId="0" xfId="0" applyNumberFormat="1" applyAlignment="1">
      <alignment horizontal="right"/>
    </xf>
    <xf numFmtId="0" fontId="12" fillId="0" borderId="0" xfId="0" applyFont="1" applyAlignment="1">
      <alignment horizontal="left"/>
    </xf>
    <xf numFmtId="0" fontId="100" fillId="0" borderId="0" xfId="0" applyFont="1" applyAlignment="1">
      <alignment horizontal="left"/>
    </xf>
    <xf numFmtId="1" fontId="0" fillId="0" borderId="0" xfId="0" applyNumberFormat="1" applyAlignment="1">
      <alignment horizontal="right"/>
    </xf>
    <xf numFmtId="3" fontId="2" fillId="0" borderId="0" xfId="0" applyNumberFormat="1" applyFont="1"/>
    <xf numFmtId="3" fontId="99" fillId="0" borderId="0" xfId="0" applyNumberFormat="1" applyFont="1"/>
    <xf numFmtId="0" fontId="4" fillId="0" borderId="6" xfId="0" applyFont="1" applyBorder="1" applyAlignment="1">
      <alignment horizontal="left"/>
    </xf>
    <xf numFmtId="3" fontId="0" fillId="0" borderId="6" xfId="0" applyNumberFormat="1" applyBorder="1" applyAlignment="1">
      <alignment horizontal="right"/>
    </xf>
    <xf numFmtId="9" fontId="99" fillId="0" borderId="0" xfId="0" applyNumberFormat="1" applyFont="1" applyAlignment="1">
      <alignment horizontal="right"/>
    </xf>
    <xf numFmtId="9" fontId="6" fillId="0" borderId="6" xfId="0" applyNumberFormat="1" applyFont="1" applyBorder="1" applyAlignment="1">
      <alignment horizontal="right"/>
    </xf>
    <xf numFmtId="9" fontId="2" fillId="0" borderId="0" xfId="0" applyNumberFormat="1" applyFont="1" applyAlignment="1">
      <alignment horizontal="right"/>
    </xf>
    <xf numFmtId="0" fontId="6" fillId="0" borderId="0" xfId="0" applyFont="1" applyAlignment="1">
      <alignment horizontal="left"/>
    </xf>
    <xf numFmtId="169" fontId="6" fillId="0" borderId="0" xfId="0" applyNumberFormat="1" applyFont="1" applyAlignment="1">
      <alignment horizontal="right"/>
    </xf>
    <xf numFmtId="165" fontId="6" fillId="0" borderId="0" xfId="0" applyNumberFormat="1" applyFont="1" applyAlignment="1">
      <alignment horizontal="right"/>
    </xf>
    <xf numFmtId="9" fontId="99" fillId="0" borderId="44" xfId="0" applyNumberFormat="1" applyFont="1" applyBorder="1" applyAlignment="1">
      <alignment horizontal="right"/>
    </xf>
    <xf numFmtId="9" fontId="99" fillId="0" borderId="46" xfId="0" applyNumberFormat="1" applyFont="1" applyBorder="1" applyAlignment="1">
      <alignment horizontal="right"/>
    </xf>
    <xf numFmtId="0" fontId="103" fillId="28" borderId="0" xfId="0" applyFont="1" applyFill="1"/>
    <xf numFmtId="9" fontId="99" fillId="28" borderId="45" xfId="0" applyNumberFormat="1" applyFont="1" applyFill="1" applyBorder="1" applyAlignment="1">
      <alignment horizontal="right"/>
    </xf>
    <xf numFmtId="9" fontId="6" fillId="28" borderId="0" xfId="0" applyNumberFormat="1" applyFont="1" applyFill="1" applyAlignment="1">
      <alignment horizontal="right"/>
    </xf>
    <xf numFmtId="9" fontId="2" fillId="28" borderId="0" xfId="0" applyNumberFormat="1" applyFont="1" applyFill="1" applyAlignment="1">
      <alignment horizontal="right"/>
    </xf>
    <xf numFmtId="0" fontId="6" fillId="28" borderId="0" xfId="0" applyFont="1" applyFill="1" applyAlignment="1">
      <alignment horizontal="right"/>
    </xf>
    <xf numFmtId="1" fontId="6" fillId="28" borderId="0" xfId="0" applyNumberFormat="1" applyFont="1" applyFill="1" applyAlignment="1">
      <alignment horizontal="right"/>
    </xf>
    <xf numFmtId="0" fontId="6" fillId="28" borderId="0" xfId="0" applyFont="1" applyFill="1" applyAlignment="1">
      <alignment horizontal="left"/>
    </xf>
    <xf numFmtId="169" fontId="6" fillId="28" borderId="0" xfId="0" applyNumberFormat="1" applyFont="1" applyFill="1" applyAlignment="1">
      <alignment horizontal="right"/>
    </xf>
    <xf numFmtId="0" fontId="99" fillId="28" borderId="44" xfId="0" applyFont="1" applyFill="1" applyBorder="1" applyAlignment="1">
      <alignment horizontal="right"/>
    </xf>
    <xf numFmtId="0" fontId="99" fillId="0" borderId="46" xfId="0" applyFont="1" applyBorder="1" applyAlignment="1">
      <alignment horizontal="right"/>
    </xf>
    <xf numFmtId="1" fontId="7" fillId="28" borderId="6" xfId="0" applyNumberFormat="1" applyFont="1" applyFill="1" applyBorder="1" applyAlignment="1">
      <alignment horizontal="right"/>
    </xf>
    <xf numFmtId="0" fontId="7" fillId="0" borderId="39" xfId="0" applyFont="1" applyBorder="1"/>
    <xf numFmtId="1" fontId="7" fillId="0" borderId="27" xfId="0" applyNumberFormat="1" applyFont="1" applyBorder="1" applyAlignment="1">
      <alignment horizontal="right"/>
    </xf>
    <xf numFmtId="1" fontId="7" fillId="0" borderId="40" xfId="0" applyNumberFormat="1" applyFont="1" applyBorder="1" applyAlignment="1">
      <alignment horizontal="right"/>
    </xf>
    <xf numFmtId="0" fontId="7" fillId="28" borderId="47" xfId="0" applyFont="1" applyFill="1" applyBorder="1"/>
    <xf numFmtId="1" fontId="7" fillId="28" borderId="48" xfId="0" applyNumberFormat="1" applyFont="1" applyFill="1" applyBorder="1" applyAlignment="1">
      <alignment horizontal="right"/>
    </xf>
    <xf numFmtId="0" fontId="7" fillId="0" borderId="42" xfId="0" applyFont="1" applyBorder="1" applyAlignment="1">
      <alignment horizontal="left"/>
    </xf>
    <xf numFmtId="1" fontId="7" fillId="0" borderId="8" xfId="0" applyNumberFormat="1" applyFont="1" applyBorder="1" applyAlignment="1">
      <alignment horizontal="right"/>
    </xf>
    <xf numFmtId="1" fontId="7" fillId="0" borderId="43" xfId="0" applyNumberFormat="1" applyFont="1" applyBorder="1" applyAlignment="1">
      <alignment horizontal="right"/>
    </xf>
    <xf numFmtId="0" fontId="7" fillId="0" borderId="6" xfId="0" applyFont="1" applyBorder="1" applyAlignment="1">
      <alignment horizontal="left"/>
    </xf>
    <xf numFmtId="9" fontId="99" fillId="28" borderId="0" xfId="0" applyNumberFormat="1" applyFont="1" applyFill="1" applyAlignment="1">
      <alignment horizontal="right"/>
    </xf>
    <xf numFmtId="9" fontId="114" fillId="0" borderId="0" xfId="0" applyNumberFormat="1" applyFont="1"/>
    <xf numFmtId="9" fontId="7" fillId="0" borderId="6" xfId="0" applyNumberFormat="1" applyFont="1" applyBorder="1"/>
    <xf numFmtId="9" fontId="7" fillId="0" borderId="22" xfId="0" applyNumberFormat="1" applyFont="1" applyBorder="1"/>
    <xf numFmtId="0" fontId="6" fillId="0" borderId="0" xfId="0" quotePrefix="1" applyFont="1" applyAlignment="1">
      <alignment horizontal="left"/>
    </xf>
    <xf numFmtId="0" fontId="8" fillId="0" borderId="0" xfId="0" applyFont="1" applyAlignment="1">
      <alignment horizontal="left"/>
    </xf>
    <xf numFmtId="0" fontId="102" fillId="0" borderId="0" xfId="0" applyFont="1" applyAlignment="1">
      <alignment horizontal="left"/>
    </xf>
    <xf numFmtId="259" fontId="6" fillId="3" borderId="0" xfId="0" applyNumberFormat="1" applyFont="1" applyFill="1" applyAlignment="1">
      <alignment horizontal="right"/>
    </xf>
    <xf numFmtId="3" fontId="6" fillId="3" borderId="0" xfId="0" applyNumberFormat="1" applyFont="1" applyFill="1" applyAlignment="1">
      <alignment horizontal="right"/>
    </xf>
    <xf numFmtId="9" fontId="6" fillId="3" borderId="0" xfId="0" applyNumberFormat="1" applyFont="1" applyFill="1" applyAlignment="1">
      <alignment horizontal="right"/>
    </xf>
    <xf numFmtId="259" fontId="6" fillId="0" borderId="0" xfId="0" applyNumberFormat="1" applyFont="1" applyAlignment="1">
      <alignment horizontal="center"/>
    </xf>
    <xf numFmtId="0" fontId="115" fillId="0" borderId="0" xfId="412"/>
    <xf numFmtId="259" fontId="6" fillId="0" borderId="0" xfId="0" applyNumberFormat="1" applyFont="1" applyAlignment="1">
      <alignment horizontal="right"/>
    </xf>
    <xf numFmtId="0" fontId="116" fillId="25" borderId="0" xfId="0" applyFont="1" applyFill="1"/>
    <xf numFmtId="0" fontId="117" fillId="0" borderId="0" xfId="0" applyFont="1"/>
    <xf numFmtId="0" fontId="118" fillId="0" borderId="0" xfId="0" applyFont="1"/>
    <xf numFmtId="0" fontId="116" fillId="0" borderId="0" xfId="0" applyFont="1"/>
    <xf numFmtId="0" fontId="120" fillId="0" borderId="0" xfId="0" applyFont="1"/>
    <xf numFmtId="0" fontId="119" fillId="0" borderId="0" xfId="229" applyFont="1" applyAlignment="1">
      <alignment horizontal="right"/>
    </xf>
    <xf numFmtId="0" fontId="121" fillId="0" borderId="0" xfId="229" applyFont="1" applyAlignment="1">
      <alignment horizontal="right"/>
    </xf>
    <xf numFmtId="168" fontId="121" fillId="0" borderId="0" xfId="229" applyNumberFormat="1" applyFont="1"/>
    <xf numFmtId="165" fontId="121" fillId="0" borderId="0" xfId="229" applyNumberFormat="1" applyFont="1"/>
    <xf numFmtId="0" fontId="117" fillId="0" borderId="6" xfId="0" applyFont="1" applyBorder="1"/>
    <xf numFmtId="0" fontId="118" fillId="32" borderId="0" xfId="0" applyFont="1" applyFill="1"/>
    <xf numFmtId="168" fontId="121" fillId="0" borderId="6" xfId="229" applyNumberFormat="1" applyFont="1" applyBorder="1" applyAlignment="1">
      <alignment horizontal="right"/>
    </xf>
    <xf numFmtId="168" fontId="121" fillId="0" borderId="0" xfId="229" applyNumberFormat="1" applyFont="1" applyAlignment="1">
      <alignment horizontal="right"/>
    </xf>
    <xf numFmtId="165" fontId="117" fillId="0" borderId="0" xfId="0" applyNumberFormat="1" applyFont="1"/>
    <xf numFmtId="165" fontId="117" fillId="0" borderId="6" xfId="0" applyNumberFormat="1" applyFont="1" applyBorder="1"/>
    <xf numFmtId="0" fontId="117" fillId="0" borderId="1" xfId="0" applyFont="1" applyBorder="1"/>
    <xf numFmtId="168" fontId="117" fillId="0" borderId="0" xfId="0" applyNumberFormat="1" applyFont="1" applyAlignment="1">
      <alignment horizontal="right"/>
    </xf>
    <xf numFmtId="9" fontId="117" fillId="0" borderId="0" xfId="0" applyNumberFormat="1" applyFont="1"/>
    <xf numFmtId="168" fontId="117" fillId="0" borderId="6" xfId="0" applyNumberFormat="1" applyFont="1" applyBorder="1" applyAlignment="1">
      <alignment horizontal="right"/>
    </xf>
    <xf numFmtId="1" fontId="117" fillId="0" borderId="0" xfId="0" applyNumberFormat="1" applyFont="1" applyAlignment="1">
      <alignment horizontal="right"/>
    </xf>
    <xf numFmtId="1" fontId="117" fillId="0" borderId="6" xfId="0" applyNumberFormat="1" applyFont="1" applyBorder="1" applyAlignment="1">
      <alignment horizontal="right"/>
    </xf>
    <xf numFmtId="255" fontId="117" fillId="0" borderId="0" xfId="0" applyNumberFormat="1" applyFont="1" applyAlignment="1">
      <alignment horizontal="right"/>
    </xf>
    <xf numFmtId="0" fontId="117" fillId="0" borderId="6" xfId="0" applyFont="1" applyBorder="1" applyAlignment="1">
      <alignment horizontal="right"/>
    </xf>
    <xf numFmtId="0" fontId="117" fillId="0" borderId="0" xfId="0" applyFont="1" applyAlignment="1">
      <alignment horizontal="right"/>
    </xf>
    <xf numFmtId="0" fontId="118" fillId="0" borderId="0" xfId="0" applyFont="1" applyAlignment="1">
      <alignment horizontal="center"/>
    </xf>
    <xf numFmtId="0" fontId="118" fillId="0" borderId="0" xfId="0" applyFont="1" applyAlignment="1">
      <alignment horizontal="right"/>
    </xf>
    <xf numFmtId="3" fontId="117" fillId="0" borderId="0" xfId="0" applyNumberFormat="1" applyFont="1" applyAlignment="1">
      <alignment horizontal="right"/>
    </xf>
    <xf numFmtId="9" fontId="117" fillId="0" borderId="0" xfId="0" applyNumberFormat="1" applyFont="1" applyAlignment="1">
      <alignment horizontal="right"/>
    </xf>
    <xf numFmtId="0" fontId="117" fillId="28" borderId="0" xfId="0" applyFont="1" applyFill="1"/>
    <xf numFmtId="3" fontId="117" fillId="28" borderId="0" xfId="0" applyNumberFormat="1" applyFont="1" applyFill="1" applyAlignment="1">
      <alignment horizontal="right"/>
    </xf>
    <xf numFmtId="9" fontId="117" fillId="28" borderId="0" xfId="0" applyNumberFormat="1" applyFont="1" applyFill="1" applyAlignment="1">
      <alignment horizontal="right"/>
    </xf>
    <xf numFmtId="0" fontId="116" fillId="28" borderId="0" xfId="0" quotePrefix="1" applyFont="1" applyFill="1"/>
    <xf numFmtId="3" fontId="116" fillId="28" borderId="0" xfId="0" applyNumberFormat="1" applyFont="1" applyFill="1" applyAlignment="1">
      <alignment horizontal="right"/>
    </xf>
    <xf numFmtId="9" fontId="116" fillId="28" borderId="0" xfId="0" applyNumberFormat="1" applyFont="1" applyFill="1" applyAlignment="1">
      <alignment horizontal="right"/>
    </xf>
    <xf numFmtId="10" fontId="118" fillId="0" borderId="0" xfId="2" applyNumberFormat="1" applyFont="1"/>
    <xf numFmtId="0" fontId="7" fillId="0" borderId="0" xfId="0" applyFont="1" applyAlignment="1">
      <alignment horizontal="right"/>
    </xf>
    <xf numFmtId="0" fontId="6" fillId="31" borderId="6" xfId="0" applyFont="1" applyFill="1" applyBorder="1" applyAlignment="1">
      <alignment horizontal="left"/>
    </xf>
    <xf numFmtId="3" fontId="6" fillId="31" borderId="6" xfId="0" applyNumberFormat="1" applyFont="1" applyFill="1" applyBorder="1"/>
    <xf numFmtId="0" fontId="0" fillId="31" borderId="0" xfId="0" applyFill="1"/>
    <xf numFmtId="165" fontId="6" fillId="31" borderId="0" xfId="0" applyNumberFormat="1" applyFont="1" applyFill="1"/>
    <xf numFmtId="0" fontId="7" fillId="31" borderId="0" xfId="0" applyFont="1" applyFill="1"/>
    <xf numFmtId="3" fontId="6" fillId="31" borderId="0" xfId="0" applyNumberFormat="1" applyFont="1" applyFill="1"/>
    <xf numFmtId="0" fontId="6" fillId="31" borderId="0" xfId="0" applyFont="1" applyFill="1"/>
    <xf numFmtId="0" fontId="6" fillId="31" borderId="6" xfId="0" applyFont="1" applyFill="1" applyBorder="1"/>
    <xf numFmtId="0" fontId="6" fillId="31" borderId="0" xfId="0" applyFont="1" applyFill="1" applyAlignment="1">
      <alignment horizontal="left"/>
    </xf>
    <xf numFmtId="9" fontId="6" fillId="31" borderId="0" xfId="2" applyFont="1" applyFill="1" applyBorder="1"/>
    <xf numFmtId="9" fontId="6" fillId="31" borderId="6" xfId="2" applyFont="1" applyFill="1" applyBorder="1"/>
    <xf numFmtId="0" fontId="0" fillId="31" borderId="6" xfId="0" applyFill="1" applyBorder="1"/>
    <xf numFmtId="165" fontId="6" fillId="31" borderId="6" xfId="0" applyNumberFormat="1" applyFont="1" applyFill="1" applyBorder="1"/>
    <xf numFmtId="170" fontId="6" fillId="0" borderId="0" xfId="0" applyNumberFormat="1" applyFont="1" applyAlignment="1">
      <alignment horizontal="right"/>
    </xf>
    <xf numFmtId="0" fontId="12" fillId="0" borderId="6" xfId="0" applyFont="1" applyBorder="1" applyAlignment="1">
      <alignment horizontal="center"/>
    </xf>
    <xf numFmtId="0" fontId="12" fillId="0" borderId="49" xfId="0" applyFont="1" applyBorder="1"/>
    <xf numFmtId="0" fontId="12" fillId="0" borderId="50" xfId="0" applyFont="1" applyBorder="1" applyAlignment="1">
      <alignment horizontal="right"/>
    </xf>
    <xf numFmtId="0" fontId="12" fillId="0" borderId="51" xfId="0" applyFont="1" applyBorder="1" applyAlignment="1">
      <alignment horizontal="right"/>
    </xf>
    <xf numFmtId="0" fontId="0" fillId="31" borderId="41" xfId="0" applyFill="1" applyBorder="1"/>
    <xf numFmtId="3" fontId="0" fillId="31" borderId="0" xfId="0" applyNumberFormat="1" applyFill="1"/>
    <xf numFmtId="259" fontId="0" fillId="0" borderId="0" xfId="0" applyNumberFormat="1"/>
    <xf numFmtId="0" fontId="0" fillId="31" borderId="29" xfId="0" applyFill="1" applyBorder="1" applyAlignment="1">
      <alignment horizontal="right"/>
    </xf>
    <xf numFmtId="259" fontId="0" fillId="31" borderId="0" xfId="0" applyNumberFormat="1" applyFill="1"/>
    <xf numFmtId="169" fontId="0" fillId="31" borderId="0" xfId="0" applyNumberFormat="1" applyFill="1"/>
    <xf numFmtId="3" fontId="6" fillId="31" borderId="0" xfId="0" applyNumberFormat="1" applyFont="1" applyFill="1" applyAlignment="1">
      <alignment horizontal="right"/>
    </xf>
    <xf numFmtId="0" fontId="0" fillId="31" borderId="0" xfId="0" applyFill="1" applyAlignment="1">
      <alignment horizontal="center"/>
    </xf>
    <xf numFmtId="9" fontId="6" fillId="31" borderId="0" xfId="0" applyNumberFormat="1" applyFont="1" applyFill="1"/>
    <xf numFmtId="0" fontId="12" fillId="0" borderId="37" xfId="0" applyFont="1" applyBorder="1"/>
    <xf numFmtId="0" fontId="12" fillId="0" borderId="52" xfId="0" applyFont="1" applyBorder="1" applyAlignment="1">
      <alignment horizontal="center"/>
    </xf>
    <xf numFmtId="1" fontId="12" fillId="0" borderId="38" xfId="0" applyNumberFormat="1" applyFont="1" applyBorder="1"/>
    <xf numFmtId="0" fontId="0" fillId="31" borderId="42" xfId="0" applyFill="1" applyBorder="1"/>
    <xf numFmtId="0" fontId="0" fillId="31" borderId="8" xfId="0" applyFill="1" applyBorder="1"/>
    <xf numFmtId="169" fontId="0" fillId="31" borderId="8" xfId="0" applyNumberFormat="1" applyFill="1" applyBorder="1"/>
    <xf numFmtId="0" fontId="0" fillId="31" borderId="43" xfId="0" applyFill="1" applyBorder="1" applyAlignment="1">
      <alignment horizontal="right"/>
    </xf>
    <xf numFmtId="169" fontId="0" fillId="31" borderId="3" xfId="0" applyNumberFormat="1" applyFill="1" applyBorder="1"/>
    <xf numFmtId="0" fontId="0" fillId="31" borderId="3" xfId="0" applyFill="1" applyBorder="1"/>
    <xf numFmtId="0" fontId="0" fillId="31" borderId="53" xfId="0" applyFill="1" applyBorder="1"/>
    <xf numFmtId="0" fontId="0" fillId="31" borderId="18" xfId="0" applyFill="1" applyBorder="1"/>
    <xf numFmtId="3" fontId="0" fillId="31" borderId="18" xfId="0" applyNumberFormat="1" applyFill="1" applyBorder="1"/>
    <xf numFmtId="169" fontId="0" fillId="31" borderId="18" xfId="0" applyNumberFormat="1" applyFill="1" applyBorder="1"/>
    <xf numFmtId="3" fontId="0" fillId="31" borderId="54" xfId="0" applyNumberFormat="1" applyFill="1" applyBorder="1"/>
    <xf numFmtId="0" fontId="0" fillId="0" borderId="18" xfId="0" applyBorder="1"/>
    <xf numFmtId="3" fontId="0" fillId="0" borderId="18" xfId="0" applyNumberFormat="1" applyBorder="1"/>
    <xf numFmtId="0" fontId="0" fillId="0" borderId="12" xfId="0" applyBorder="1"/>
    <xf numFmtId="0" fontId="12" fillId="0" borderId="55" xfId="0" applyFont="1" applyBorder="1" applyAlignment="1">
      <alignment horizontal="right"/>
    </xf>
    <xf numFmtId="0" fontId="0" fillId="31" borderId="56" xfId="0" applyFill="1" applyBorder="1"/>
    <xf numFmtId="0" fontId="0" fillId="31" borderId="57" xfId="0" applyFill="1" applyBorder="1" applyAlignment="1">
      <alignment horizontal="right"/>
    </xf>
    <xf numFmtId="0" fontId="0" fillId="0" borderId="41" xfId="0" applyBorder="1"/>
    <xf numFmtId="0" fontId="0" fillId="0" borderId="29" xfId="0" applyBorder="1"/>
    <xf numFmtId="0" fontId="0" fillId="31" borderId="29" xfId="0" applyFill="1" applyBorder="1"/>
    <xf numFmtId="9" fontId="0" fillId="0" borderId="29" xfId="0" applyNumberFormat="1" applyBorder="1" applyAlignment="1">
      <alignment horizontal="right"/>
    </xf>
    <xf numFmtId="0" fontId="0" fillId="0" borderId="29" xfId="0" applyBorder="1" applyAlignment="1">
      <alignment horizontal="right"/>
    </xf>
    <xf numFmtId="0" fontId="0" fillId="0" borderId="47" xfId="0" applyBorder="1"/>
    <xf numFmtId="0" fontId="0" fillId="31" borderId="58" xfId="0" applyFill="1" applyBorder="1"/>
    <xf numFmtId="17" fontId="100" fillId="0" borderId="0" xfId="0" applyNumberFormat="1" applyFont="1" applyAlignment="1">
      <alignment horizontal="left"/>
    </xf>
    <xf numFmtId="0" fontId="12" fillId="0" borderId="0" xfId="0" applyFont="1" applyAlignment="1">
      <alignment horizontal="center"/>
    </xf>
    <xf numFmtId="9" fontId="0" fillId="0" borderId="0" xfId="0" applyNumberFormat="1" applyAlignment="1">
      <alignment horizontal="right"/>
    </xf>
    <xf numFmtId="3" fontId="12" fillId="0" borderId="0" xfId="0" applyNumberFormat="1" applyFont="1" applyAlignment="1">
      <alignment horizontal="right"/>
    </xf>
    <xf numFmtId="0" fontId="12" fillId="0" borderId="6" xfId="0" applyFont="1" applyBorder="1" applyAlignment="1">
      <alignment horizontal="left"/>
    </xf>
    <xf numFmtId="165" fontId="12" fillId="0" borderId="0" xfId="0" applyNumberFormat="1" applyFont="1" applyAlignment="1">
      <alignment horizontal="right"/>
    </xf>
    <xf numFmtId="170" fontId="0" fillId="0" borderId="0" xfId="0" applyNumberFormat="1" applyAlignment="1">
      <alignment horizontal="right"/>
    </xf>
    <xf numFmtId="259" fontId="12" fillId="0" borderId="0" xfId="0" applyNumberFormat="1" applyFont="1" applyAlignment="1">
      <alignment horizontal="right"/>
    </xf>
    <xf numFmtId="170" fontId="12" fillId="0" borderId="0" xfId="0" applyNumberFormat="1" applyFont="1" applyAlignment="1">
      <alignment horizontal="right"/>
    </xf>
    <xf numFmtId="9" fontId="0" fillId="0" borderId="6" xfId="0" applyNumberFormat="1" applyBorder="1" applyAlignment="1">
      <alignment horizontal="right"/>
    </xf>
    <xf numFmtId="165" fontId="12" fillId="0" borderId="0" xfId="0" applyNumberFormat="1" applyFont="1"/>
    <xf numFmtId="255" fontId="0" fillId="0" borderId="0" xfId="0" applyNumberFormat="1"/>
    <xf numFmtId="2" fontId="0" fillId="31" borderId="0" xfId="0" applyNumberFormat="1" applyFill="1"/>
    <xf numFmtId="0" fontId="0" fillId="31" borderId="0" xfId="0" applyFill="1" applyAlignment="1">
      <alignment horizontal="right"/>
    </xf>
    <xf numFmtId="170" fontId="0" fillId="0" borderId="0" xfId="0" applyNumberFormat="1"/>
    <xf numFmtId="3" fontId="0" fillId="31" borderId="6" xfId="0" applyNumberFormat="1" applyFill="1" applyBorder="1"/>
    <xf numFmtId="255" fontId="0" fillId="31" borderId="6" xfId="0" applyNumberFormat="1" applyFill="1" applyBorder="1"/>
    <xf numFmtId="0" fontId="0" fillId="31" borderId="6" xfId="0" applyFill="1" applyBorder="1" applyAlignment="1">
      <alignment horizontal="right"/>
    </xf>
    <xf numFmtId="0" fontId="0" fillId="0" borderId="52" xfId="0" applyBorder="1"/>
    <xf numFmtId="0" fontId="12" fillId="0" borderId="52" xfId="0" applyFont="1" applyBorder="1"/>
    <xf numFmtId="170" fontId="12" fillId="0" borderId="38" xfId="0" applyNumberFormat="1" applyFont="1" applyBorder="1" applyAlignment="1">
      <alignment horizontal="right"/>
    </xf>
    <xf numFmtId="0" fontId="125" fillId="0" borderId="0" xfId="0" applyFont="1"/>
    <xf numFmtId="0" fontId="126" fillId="0" borderId="6" xfId="0" applyFont="1" applyBorder="1"/>
    <xf numFmtId="0" fontId="125" fillId="31" borderId="0" xfId="0" applyFont="1" applyFill="1"/>
    <xf numFmtId="0" fontId="125" fillId="0" borderId="6" xfId="0" applyFont="1" applyBorder="1"/>
    <xf numFmtId="0" fontId="126" fillId="31" borderId="0" xfId="0" applyFont="1" applyFill="1"/>
    <xf numFmtId="0" fontId="120" fillId="0" borderId="6" xfId="0" applyFont="1" applyBorder="1"/>
    <xf numFmtId="3" fontId="7" fillId="3" borderId="0" xfId="0" applyNumberFormat="1" applyFont="1" applyFill="1"/>
    <xf numFmtId="0" fontId="6" fillId="0" borderId="3" xfId="0" applyFont="1" applyBorder="1"/>
    <xf numFmtId="1" fontId="6" fillId="0" borderId="3" xfId="0" applyNumberFormat="1" applyFont="1" applyBorder="1"/>
    <xf numFmtId="0" fontId="6" fillId="31" borderId="0" xfId="0" quotePrefix="1" applyFont="1" applyFill="1" applyAlignment="1">
      <alignment horizontal="left"/>
    </xf>
    <xf numFmtId="0" fontId="6" fillId="31" borderId="0" xfId="0" applyFont="1" applyFill="1" applyAlignment="1">
      <alignment horizontal="right"/>
    </xf>
    <xf numFmtId="0" fontId="8" fillId="31" borderId="0" xfId="0" applyFont="1" applyFill="1" applyAlignment="1">
      <alignment horizontal="left"/>
    </xf>
    <xf numFmtId="3" fontId="8" fillId="31" borderId="0" xfId="0" applyNumberFormat="1" applyFont="1" applyFill="1" applyAlignment="1">
      <alignment horizontal="right"/>
    </xf>
    <xf numFmtId="165" fontId="6" fillId="31" borderId="0" xfId="0" applyNumberFormat="1" applyFont="1" applyFill="1" applyAlignment="1">
      <alignment horizontal="right"/>
    </xf>
    <xf numFmtId="169" fontId="6" fillId="31" borderId="0" xfId="0" applyNumberFormat="1" applyFont="1" applyFill="1" applyAlignment="1">
      <alignment horizontal="right"/>
    </xf>
    <xf numFmtId="165" fontId="117" fillId="0" borderId="3" xfId="0" applyNumberFormat="1" applyFont="1" applyBorder="1"/>
    <xf numFmtId="165" fontId="117" fillId="0" borderId="0" xfId="2" applyNumberFormat="1" applyFont="1"/>
    <xf numFmtId="0" fontId="125" fillId="31" borderId="6" xfId="0" applyFont="1" applyFill="1" applyBorder="1"/>
    <xf numFmtId="1" fontId="125" fillId="0" borderId="0" xfId="0" applyNumberFormat="1" applyFont="1"/>
    <xf numFmtId="0" fontId="125" fillId="30" borderId="0" xfId="0" applyFont="1" applyFill="1"/>
    <xf numFmtId="0" fontId="126" fillId="0" borderId="0" xfId="0" applyFont="1" applyAlignment="1">
      <alignment horizontal="right"/>
    </xf>
    <xf numFmtId="0" fontId="126" fillId="0" borderId="0" xfId="0" applyFont="1"/>
    <xf numFmtId="0" fontId="254" fillId="0" borderId="0" xfId="0" applyFont="1" applyAlignment="1">
      <alignment horizontal="center"/>
    </xf>
    <xf numFmtId="1" fontId="254" fillId="0" borderId="0" xfId="0" applyNumberFormat="1" applyFont="1" applyAlignment="1">
      <alignment horizontal="center"/>
    </xf>
    <xf numFmtId="1" fontId="118" fillId="0" borderId="0" xfId="0" applyNumberFormat="1" applyFont="1"/>
    <xf numFmtId="9" fontId="118" fillId="0" borderId="0" xfId="0" applyNumberFormat="1" applyFont="1"/>
    <xf numFmtId="165" fontId="118" fillId="0" borderId="0" xfId="0" applyNumberFormat="1" applyFont="1"/>
    <xf numFmtId="169" fontId="118" fillId="0" borderId="0" xfId="0" applyNumberFormat="1" applyFont="1"/>
    <xf numFmtId="0" fontId="128" fillId="0" borderId="0" xfId="0" applyFont="1"/>
    <xf numFmtId="0" fontId="127" fillId="0" borderId="0" xfId="0" applyFont="1"/>
    <xf numFmtId="0" fontId="255" fillId="0" borderId="0" xfId="0" applyFont="1" applyAlignment="1">
      <alignment horizontal="right"/>
    </xf>
    <xf numFmtId="1" fontId="118" fillId="3" borderId="0" xfId="0" applyNumberFormat="1" applyFont="1" applyFill="1"/>
    <xf numFmtId="1" fontId="256" fillId="0" borderId="0" xfId="0" applyNumberFormat="1" applyFont="1"/>
    <xf numFmtId="165" fontId="255" fillId="0" borderId="0" xfId="0" applyNumberFormat="1" applyFont="1"/>
    <xf numFmtId="1" fontId="255" fillId="0" borderId="0" xfId="0" applyNumberFormat="1" applyFont="1"/>
    <xf numFmtId="0" fontId="128" fillId="0" borderId="0" xfId="0" quotePrefix="1" applyFont="1"/>
    <xf numFmtId="0" fontId="118" fillId="0" borderId="1" xfId="0" applyFont="1" applyBorder="1"/>
    <xf numFmtId="2" fontId="118" fillId="0" borderId="0" xfId="0" applyNumberFormat="1" applyFont="1"/>
    <xf numFmtId="2" fontId="256" fillId="0" borderId="0" xfId="0" applyNumberFormat="1" applyFont="1"/>
    <xf numFmtId="0" fontId="118" fillId="3" borderId="0" xfId="0" applyFont="1" applyFill="1"/>
    <xf numFmtId="0" fontId="256" fillId="0" borderId="0" xfId="0" applyFont="1"/>
    <xf numFmtId="169" fontId="118" fillId="3" borderId="0" xfId="0" applyNumberFormat="1" applyFont="1" applyFill="1"/>
    <xf numFmtId="169" fontId="256" fillId="0" borderId="0" xfId="0" applyNumberFormat="1" applyFont="1"/>
    <xf numFmtId="169" fontId="128" fillId="0" borderId="0" xfId="0" applyNumberFormat="1" applyFont="1"/>
    <xf numFmtId="0" fontId="257" fillId="0" borderId="0" xfId="0" applyFont="1"/>
    <xf numFmtId="169" fontId="257" fillId="0" borderId="0" xfId="0" applyNumberFormat="1" applyFont="1"/>
    <xf numFmtId="0" fontId="118" fillId="0" borderId="6" xfId="0" applyFont="1" applyBorder="1"/>
    <xf numFmtId="1" fontId="118" fillId="0" borderId="6" xfId="0" applyNumberFormat="1" applyFont="1" applyBorder="1"/>
    <xf numFmtId="9" fontId="118" fillId="0" borderId="6" xfId="0" applyNumberFormat="1" applyFont="1" applyBorder="1"/>
    <xf numFmtId="165" fontId="118" fillId="0" borderId="6" xfId="0" applyNumberFormat="1" applyFont="1" applyBorder="1"/>
    <xf numFmtId="165" fontId="120" fillId="0" borderId="0" xfId="0" applyNumberFormat="1" applyFont="1"/>
    <xf numFmtId="9" fontId="120" fillId="0" borderId="0" xfId="0" applyNumberFormat="1" applyFont="1"/>
    <xf numFmtId="9" fontId="255" fillId="0" borderId="0" xfId="0" applyNumberFormat="1" applyFont="1"/>
    <xf numFmtId="165" fontId="118" fillId="0" borderId="0" xfId="2" applyNumberFormat="1" applyFont="1"/>
    <xf numFmtId="0" fontId="118" fillId="0" borderId="0" xfId="0" quotePrefix="1" applyFont="1"/>
    <xf numFmtId="1" fontId="128" fillId="0" borderId="0" xfId="0" applyNumberFormat="1" applyFont="1"/>
    <xf numFmtId="1" fontId="128" fillId="3" borderId="0" xfId="0" applyNumberFormat="1" applyFont="1" applyFill="1"/>
    <xf numFmtId="9" fontId="256" fillId="0" borderId="0" xfId="2" applyFont="1" applyFill="1" applyBorder="1"/>
    <xf numFmtId="0" fontId="118" fillId="0" borderId="6" xfId="0" quotePrefix="1" applyFont="1" applyBorder="1"/>
    <xf numFmtId="1" fontId="128" fillId="0" borderId="6" xfId="0" applyNumberFormat="1" applyFont="1" applyBorder="1"/>
    <xf numFmtId="1" fontId="128" fillId="3" borderId="6" xfId="0" applyNumberFormat="1" applyFont="1" applyFill="1" applyBorder="1"/>
    <xf numFmtId="9" fontId="256" fillId="0" borderId="6" xfId="2" applyFont="1" applyFill="1" applyBorder="1"/>
    <xf numFmtId="165" fontId="118" fillId="3" borderId="0" xfId="0" applyNumberFormat="1" applyFont="1" applyFill="1"/>
    <xf numFmtId="165" fontId="256" fillId="0" borderId="0" xfId="2" applyNumberFormat="1" applyFont="1" applyFill="1" applyBorder="1"/>
    <xf numFmtId="1" fontId="120" fillId="0" borderId="0" xfId="0" applyNumberFormat="1" applyFont="1"/>
    <xf numFmtId="0" fontId="120" fillId="3" borderId="0" xfId="0" applyFont="1" applyFill="1"/>
    <xf numFmtId="1" fontId="120" fillId="3" borderId="0" xfId="0" applyNumberFormat="1" applyFont="1" applyFill="1"/>
    <xf numFmtId="165" fontId="120" fillId="0" borderId="0" xfId="2" applyNumberFormat="1" applyFont="1"/>
    <xf numFmtId="1" fontId="127" fillId="0" borderId="0" xfId="0" applyNumberFormat="1" applyFont="1"/>
    <xf numFmtId="0" fontId="258" fillId="0" borderId="0" xfId="0" applyFont="1"/>
    <xf numFmtId="165" fontId="257" fillId="0" borderId="0" xfId="0" applyNumberFormat="1" applyFont="1"/>
    <xf numFmtId="1" fontId="257" fillId="0" borderId="0" xfId="0" applyNumberFormat="1" applyFont="1"/>
    <xf numFmtId="0" fontId="128" fillId="0" borderId="6" xfId="0" applyFont="1" applyBorder="1"/>
    <xf numFmtId="1" fontId="118" fillId="3" borderId="6" xfId="0" applyNumberFormat="1" applyFont="1" applyFill="1" applyBorder="1"/>
    <xf numFmtId="165" fontId="256" fillId="0" borderId="0" xfId="0" applyNumberFormat="1" applyFont="1"/>
    <xf numFmtId="1" fontId="120" fillId="0" borderId="10" xfId="0" applyNumberFormat="1" applyFont="1" applyBorder="1"/>
    <xf numFmtId="165" fontId="256" fillId="0" borderId="0" xfId="2" applyNumberFormat="1" applyFont="1" applyFill="1" applyBorder="1" applyAlignment="1">
      <alignment horizontal="right"/>
    </xf>
    <xf numFmtId="9" fontId="118" fillId="0" borderId="0" xfId="2" applyFont="1"/>
    <xf numFmtId="169" fontId="120" fillId="0" borderId="0" xfId="0" applyNumberFormat="1" applyFont="1"/>
    <xf numFmtId="2" fontId="120" fillId="0" borderId="0" xfId="0" applyNumberFormat="1" applyFont="1"/>
    <xf numFmtId="3" fontId="118" fillId="0" borderId="0" xfId="0" applyNumberFormat="1" applyFont="1"/>
    <xf numFmtId="3" fontId="120" fillId="0" borderId="0" xfId="0" applyNumberFormat="1" applyFont="1"/>
    <xf numFmtId="3" fontId="118" fillId="0" borderId="0" xfId="0" applyNumberFormat="1" applyFont="1" applyAlignment="1">
      <alignment horizontal="center"/>
    </xf>
    <xf numFmtId="0" fontId="120" fillId="0" borderId="0" xfId="0" applyFont="1" applyAlignment="1">
      <alignment horizontal="center"/>
    </xf>
    <xf numFmtId="9" fontId="118" fillId="0" borderId="0" xfId="0" applyNumberFormat="1" applyFont="1" applyAlignment="1">
      <alignment horizontal="center"/>
    </xf>
    <xf numFmtId="165" fontId="118" fillId="0" borderId="0" xfId="0" applyNumberFormat="1" applyFont="1" applyAlignment="1">
      <alignment horizontal="center"/>
    </xf>
    <xf numFmtId="165" fontId="118" fillId="0" borderId="0" xfId="2" applyNumberFormat="1" applyFont="1" applyAlignment="1">
      <alignment horizontal="center"/>
    </xf>
    <xf numFmtId="9" fontId="118" fillId="0" borderId="0" xfId="2" applyFont="1" applyAlignment="1">
      <alignment horizontal="center"/>
    </xf>
    <xf numFmtId="0" fontId="118" fillId="108" borderId="0" xfId="0" applyFont="1" applyFill="1"/>
    <xf numFmtId="0" fontId="118" fillId="108" borderId="0" xfId="0" applyFont="1" applyFill="1" applyAlignment="1">
      <alignment horizontal="right"/>
    </xf>
    <xf numFmtId="0" fontId="120" fillId="0" borderId="6" xfId="412" applyFont="1" applyBorder="1"/>
    <xf numFmtId="0" fontId="120" fillId="0" borderId="6" xfId="412" applyFont="1" applyBorder="1" applyAlignment="1">
      <alignment horizontal="right"/>
    </xf>
    <xf numFmtId="0" fontId="118" fillId="0" borderId="0" xfId="412" applyFont="1" applyAlignment="1">
      <alignment horizontal="right"/>
    </xf>
    <xf numFmtId="0" fontId="118" fillId="31" borderId="0" xfId="412" applyFont="1" applyFill="1"/>
    <xf numFmtId="3" fontId="118" fillId="31" borderId="0" xfId="412" applyNumberFormat="1" applyFont="1" applyFill="1"/>
    <xf numFmtId="0" fontId="118" fillId="0" borderId="0" xfId="412" applyFont="1"/>
    <xf numFmtId="169" fontId="118" fillId="31" borderId="0" xfId="412" applyNumberFormat="1" applyFont="1" applyFill="1"/>
    <xf numFmtId="3" fontId="118" fillId="0" borderId="0" xfId="412" applyNumberFormat="1" applyFont="1"/>
    <xf numFmtId="169" fontId="118" fillId="0" borderId="0" xfId="412" applyNumberFormat="1" applyFont="1"/>
    <xf numFmtId="0" fontId="118" fillId="0" borderId="6" xfId="412" applyFont="1" applyBorder="1"/>
    <xf numFmtId="3" fontId="118" fillId="0" borderId="6" xfId="412" applyNumberFormat="1" applyFont="1" applyBorder="1"/>
    <xf numFmtId="0" fontId="259" fillId="0" borderId="0" xfId="412" applyFont="1"/>
    <xf numFmtId="165" fontId="118" fillId="31" borderId="0" xfId="412" applyNumberFormat="1" applyFont="1" applyFill="1"/>
    <xf numFmtId="0" fontId="260" fillId="0" borderId="0" xfId="412" applyFont="1"/>
    <xf numFmtId="0" fontId="118" fillId="31" borderId="0" xfId="412" quotePrefix="1" applyFont="1" applyFill="1"/>
    <xf numFmtId="0" fontId="118" fillId="0" borderId="0" xfId="412" quotePrefix="1" applyFont="1"/>
    <xf numFmtId="165" fontId="118" fillId="0" borderId="0" xfId="412" applyNumberFormat="1" applyFont="1"/>
    <xf numFmtId="165" fontId="118" fillId="0" borderId="0" xfId="2" applyNumberFormat="1" applyFont="1" applyFill="1"/>
    <xf numFmtId="2" fontId="118" fillId="31" borderId="0" xfId="412" applyNumberFormat="1" applyFont="1" applyFill="1"/>
    <xf numFmtId="2" fontId="118" fillId="0" borderId="0" xfId="412" applyNumberFormat="1" applyFont="1"/>
    <xf numFmtId="255" fontId="118" fillId="0" borderId="0" xfId="412" applyNumberFormat="1" applyFont="1"/>
    <xf numFmtId="0" fontId="118" fillId="31" borderId="6" xfId="412" applyFont="1" applyFill="1" applyBorder="1"/>
    <xf numFmtId="169" fontId="118" fillId="31" borderId="6" xfId="412" applyNumberFormat="1" applyFont="1" applyFill="1" applyBorder="1" applyAlignment="1">
      <alignment horizontal="right"/>
    </xf>
    <xf numFmtId="3" fontId="118" fillId="31" borderId="6" xfId="412" applyNumberFormat="1" applyFont="1" applyFill="1" applyBorder="1"/>
    <xf numFmtId="165" fontId="118" fillId="31" borderId="6" xfId="412" applyNumberFormat="1" applyFont="1" applyFill="1" applyBorder="1"/>
    <xf numFmtId="0" fontId="261" fillId="0" borderId="6" xfId="229" applyFont="1" applyBorder="1" applyAlignment="1">
      <alignment horizontal="right"/>
    </xf>
    <xf numFmtId="168" fontId="129" fillId="31" borderId="0" xfId="229" applyNumberFormat="1" applyFont="1" applyFill="1"/>
    <xf numFmtId="165" fontId="129" fillId="31" borderId="0" xfId="2" applyNumberFormat="1" applyFont="1" applyFill="1" applyBorder="1"/>
    <xf numFmtId="165" fontId="129" fillId="31" borderId="0" xfId="229" applyNumberFormat="1" applyFont="1" applyFill="1"/>
    <xf numFmtId="168" fontId="129" fillId="0" borderId="0" xfId="229" applyNumberFormat="1" applyFont="1"/>
    <xf numFmtId="165" fontId="129" fillId="0" borderId="0" xfId="2" applyNumberFormat="1" applyFont="1" applyFill="1" applyBorder="1"/>
    <xf numFmtId="165" fontId="129" fillId="0" borderId="0" xfId="229" applyNumberFormat="1" applyFont="1"/>
    <xf numFmtId="168" fontId="129" fillId="31" borderId="6" xfId="229" applyNumberFormat="1" applyFont="1" applyFill="1" applyBorder="1"/>
    <xf numFmtId="165" fontId="129" fillId="31" borderId="6" xfId="229" applyNumberFormat="1" applyFont="1" applyFill="1" applyBorder="1"/>
    <xf numFmtId="165" fontId="255" fillId="0" borderId="0" xfId="2" applyNumberFormat="1" applyFont="1" applyFill="1" applyBorder="1"/>
    <xf numFmtId="0" fontId="118" fillId="0" borderId="3" xfId="0" applyFont="1" applyBorder="1"/>
    <xf numFmtId="1" fontId="118" fillId="0" borderId="3" xfId="0" applyNumberFormat="1" applyFont="1" applyBorder="1"/>
    <xf numFmtId="0" fontId="120" fillId="0" borderId="0" xfId="0" quotePrefix="1" applyFont="1"/>
    <xf numFmtId="0" fontId="127" fillId="0" borderId="6" xfId="4" applyFont="1" applyBorder="1"/>
    <xf numFmtId="0" fontId="127" fillId="0" borderId="6" xfId="4" applyFont="1" applyBorder="1" applyAlignment="1">
      <alignment horizontal="right"/>
    </xf>
    <xf numFmtId="0" fontId="128" fillId="0" borderId="6" xfId="4" applyFont="1" applyBorder="1" applyAlignment="1">
      <alignment horizontal="right"/>
    </xf>
    <xf numFmtId="0" fontId="128" fillId="0" borderId="0" xfId="4" applyFont="1"/>
    <xf numFmtId="170" fontId="128" fillId="3" borderId="0" xfId="4" applyNumberFormat="1" applyFont="1" applyFill="1"/>
    <xf numFmtId="3" fontId="128" fillId="0" borderId="0" xfId="4" applyNumberFormat="1" applyFont="1"/>
    <xf numFmtId="3" fontId="127" fillId="0" borderId="0" xfId="4" applyNumberFormat="1" applyFont="1"/>
    <xf numFmtId="0" fontId="262" fillId="0" borderId="0" xfId="4" applyFont="1"/>
    <xf numFmtId="9" fontId="128" fillId="0" borderId="0" xfId="4" applyNumberFormat="1" applyFont="1"/>
    <xf numFmtId="3" fontId="128" fillId="2" borderId="0" xfId="4" applyNumberFormat="1" applyFont="1" applyFill="1"/>
    <xf numFmtId="0" fontId="128" fillId="0" borderId="6" xfId="4" applyFont="1" applyBorder="1"/>
    <xf numFmtId="3" fontId="128" fillId="0" borderId="6" xfId="4" applyNumberFormat="1" applyFont="1" applyBorder="1"/>
    <xf numFmtId="43" fontId="128" fillId="0" borderId="0" xfId="4" applyNumberFormat="1" applyFont="1"/>
    <xf numFmtId="166" fontId="128" fillId="3" borderId="0" xfId="4" applyNumberFormat="1" applyFont="1" applyFill="1"/>
    <xf numFmtId="166" fontId="128" fillId="0" borderId="0" xfId="4" applyNumberFormat="1" applyFont="1"/>
    <xf numFmtId="164" fontId="128" fillId="0" borderId="0" xfId="4" applyNumberFormat="1" applyFont="1"/>
    <xf numFmtId="9" fontId="128" fillId="0" borderId="0" xfId="229" applyNumberFormat="1" applyFont="1"/>
    <xf numFmtId="170" fontId="128" fillId="0" borderId="0" xfId="4" applyNumberFormat="1" applyFont="1"/>
    <xf numFmtId="165" fontId="128" fillId="0" borderId="0" xfId="4" applyNumberFormat="1" applyFont="1"/>
    <xf numFmtId="1" fontId="128" fillId="0" borderId="0" xfId="4" applyNumberFormat="1" applyFont="1"/>
    <xf numFmtId="169" fontId="127" fillId="0" borderId="0" xfId="4" applyNumberFormat="1" applyFont="1"/>
    <xf numFmtId="165" fontId="128" fillId="0" borderId="0" xfId="5" applyNumberFormat="1" applyFont="1"/>
    <xf numFmtId="165" fontId="128" fillId="0" borderId="0" xfId="5" applyNumberFormat="1" applyFont="1" applyFill="1"/>
    <xf numFmtId="170" fontId="127" fillId="0" borderId="0" xfId="4" applyNumberFormat="1" applyFont="1"/>
    <xf numFmtId="0" fontId="120" fillId="0" borderId="37" xfId="0" applyFont="1" applyBorder="1"/>
    <xf numFmtId="1" fontId="120" fillId="0" borderId="38" xfId="0" applyNumberFormat="1" applyFont="1" applyBorder="1"/>
    <xf numFmtId="9" fontId="118" fillId="3" borderId="0" xfId="0" applyNumberFormat="1" applyFont="1" applyFill="1"/>
    <xf numFmtId="13" fontId="118" fillId="0" borderId="6" xfId="0" applyNumberFormat="1" applyFont="1" applyBorder="1" applyAlignment="1">
      <alignment horizontal="right"/>
    </xf>
    <xf numFmtId="3" fontId="118" fillId="3" borderId="0" xfId="0" applyNumberFormat="1" applyFont="1" applyFill="1"/>
    <xf numFmtId="3" fontId="263" fillId="0" borderId="0" xfId="0" applyNumberFormat="1" applyFont="1"/>
    <xf numFmtId="3" fontId="256" fillId="0" borderId="0" xfId="0" applyNumberFormat="1" applyFont="1"/>
    <xf numFmtId="3" fontId="118" fillId="0" borderId="1" xfId="0" applyNumberFormat="1" applyFont="1" applyBorder="1"/>
    <xf numFmtId="9" fontId="120" fillId="0" borderId="20" xfId="0" applyNumberFormat="1" applyFont="1" applyBorder="1"/>
    <xf numFmtId="2" fontId="118" fillId="3" borderId="0" xfId="0" applyNumberFormat="1" applyFont="1" applyFill="1"/>
    <xf numFmtId="3" fontId="118" fillId="0" borderId="6" xfId="0" applyNumberFormat="1" applyFont="1" applyBorder="1"/>
    <xf numFmtId="3" fontId="118" fillId="3" borderId="6" xfId="0" applyNumberFormat="1" applyFont="1" applyFill="1" applyBorder="1"/>
    <xf numFmtId="0" fontId="120" fillId="0" borderId="36" xfId="0" applyFont="1" applyBorder="1"/>
    <xf numFmtId="0" fontId="120" fillId="0" borderId="1" xfId="0" applyFont="1" applyBorder="1"/>
    <xf numFmtId="3" fontId="120" fillId="0" borderId="1" xfId="0" applyNumberFormat="1" applyFont="1" applyBorder="1"/>
    <xf numFmtId="165" fontId="120" fillId="0" borderId="1" xfId="0" applyNumberFormat="1" applyFont="1" applyBorder="1"/>
    <xf numFmtId="0" fontId="118" fillId="3" borderId="6" xfId="0" applyFont="1" applyFill="1" applyBorder="1"/>
    <xf numFmtId="1" fontId="256" fillId="0" borderId="6" xfId="0" applyNumberFormat="1" applyFont="1" applyBorder="1"/>
    <xf numFmtId="169" fontId="128" fillId="3" borderId="0" xfId="3" applyNumberFormat="1" applyFont="1" applyFill="1"/>
    <xf numFmtId="169" fontId="128" fillId="0" borderId="0" xfId="3" applyNumberFormat="1" applyFont="1"/>
    <xf numFmtId="3" fontId="263" fillId="0" borderId="6" xfId="0" applyNumberFormat="1" applyFont="1" applyBorder="1"/>
    <xf numFmtId="165" fontId="128" fillId="3" borderId="0" xfId="3" applyNumberFormat="1" applyFont="1" applyFill="1"/>
    <xf numFmtId="164" fontId="128" fillId="3" borderId="0" xfId="3" applyNumberFormat="1" applyFont="1" applyFill="1"/>
    <xf numFmtId="0" fontId="118" fillId="109" borderId="0" xfId="0" applyFont="1" applyFill="1"/>
    <xf numFmtId="0" fontId="118" fillId="109" borderId="0" xfId="0" applyFont="1" applyFill="1" applyAlignment="1">
      <alignment horizontal="right"/>
    </xf>
    <xf numFmtId="3" fontId="7" fillId="0" borderId="0" xfId="0" applyNumberFormat="1" applyFont="1" applyAlignment="1">
      <alignment horizontal="right"/>
    </xf>
    <xf numFmtId="165" fontId="0" fillId="0" borderId="6" xfId="0" applyNumberFormat="1" applyBorder="1" applyAlignment="1">
      <alignment horizontal="right"/>
    </xf>
    <xf numFmtId="3" fontId="0" fillId="3" borderId="6" xfId="0" applyNumberFormat="1" applyFill="1" applyBorder="1" applyAlignment="1">
      <alignment horizontal="right"/>
    </xf>
    <xf numFmtId="9" fontId="123" fillId="0" borderId="0" xfId="0" applyNumberFormat="1" applyFont="1" applyAlignment="1">
      <alignment horizontal="right"/>
    </xf>
    <xf numFmtId="9" fontId="123" fillId="0" borderId="0" xfId="0" applyNumberFormat="1" applyFont="1"/>
    <xf numFmtId="3" fontId="0" fillId="31" borderId="0" xfId="0" applyNumberFormat="1" applyFill="1" applyAlignment="1">
      <alignment horizontal="right"/>
    </xf>
    <xf numFmtId="0" fontId="12" fillId="31" borderId="0" xfId="0" applyFont="1" applyFill="1"/>
    <xf numFmtId="0" fontId="12" fillId="31" borderId="0" xfId="0" applyFont="1" applyFill="1" applyAlignment="1">
      <alignment horizontal="center"/>
    </xf>
    <xf numFmtId="3" fontId="12" fillId="31" borderId="0" xfId="0" applyNumberFormat="1" applyFont="1" applyFill="1" applyAlignment="1">
      <alignment horizontal="right"/>
    </xf>
    <xf numFmtId="165" fontId="0" fillId="31" borderId="0" xfId="0" applyNumberFormat="1" applyFill="1" applyAlignment="1">
      <alignment horizontal="right"/>
    </xf>
    <xf numFmtId="165" fontId="123" fillId="31" borderId="0" xfId="0" applyNumberFormat="1" applyFont="1" applyFill="1" applyAlignment="1">
      <alignment horizontal="right"/>
    </xf>
    <xf numFmtId="9" fontId="123" fillId="31" borderId="0" xfId="0" applyNumberFormat="1" applyFont="1" applyFill="1" applyAlignment="1">
      <alignment horizontal="right"/>
    </xf>
    <xf numFmtId="3" fontId="123" fillId="31" borderId="0" xfId="0" applyNumberFormat="1" applyFont="1" applyFill="1" applyAlignment="1">
      <alignment horizontal="right"/>
    </xf>
    <xf numFmtId="3" fontId="12" fillId="31" borderId="0" xfId="0" applyNumberFormat="1" applyFont="1" applyFill="1"/>
    <xf numFmtId="0" fontId="0" fillId="31" borderId="0" xfId="0" quotePrefix="1" applyFill="1"/>
    <xf numFmtId="1" fontId="123" fillId="31" borderId="0" xfId="0" applyNumberFormat="1" applyFont="1" applyFill="1"/>
    <xf numFmtId="0" fontId="124" fillId="31" borderId="0" xfId="0" applyFont="1" applyFill="1"/>
    <xf numFmtId="255" fontId="12" fillId="31" borderId="0" xfId="0" applyNumberFormat="1" applyFont="1" applyFill="1" applyAlignment="1">
      <alignment horizontal="right"/>
    </xf>
    <xf numFmtId="165" fontId="123" fillId="0" borderId="0" xfId="0" applyNumberFormat="1" applyFont="1"/>
    <xf numFmtId="3" fontId="123" fillId="0" borderId="0" xfId="0" applyNumberFormat="1" applyFont="1" applyAlignment="1">
      <alignment horizontal="right"/>
    </xf>
    <xf numFmtId="0" fontId="124" fillId="0" borderId="0" xfId="0" applyFont="1"/>
    <xf numFmtId="3" fontId="12" fillId="0" borderId="0" xfId="0" applyNumberFormat="1" applyFont="1" applyAlignment="1">
      <alignment horizontal="center"/>
    </xf>
    <xf numFmtId="9" fontId="12" fillId="0" borderId="52" xfId="0" applyNumberFormat="1" applyFont="1" applyBorder="1" applyAlignment="1">
      <alignment horizontal="right"/>
    </xf>
    <xf numFmtId="165" fontId="12" fillId="31" borderId="0" xfId="0" applyNumberFormat="1" applyFont="1" applyFill="1" applyAlignment="1">
      <alignment horizontal="right"/>
    </xf>
    <xf numFmtId="3" fontId="0" fillId="31" borderId="6" xfId="0" applyNumberFormat="1" applyFill="1" applyBorder="1" applyAlignment="1">
      <alignment horizontal="right"/>
    </xf>
    <xf numFmtId="0" fontId="124" fillId="31" borderId="0" xfId="0" applyFont="1" applyFill="1" applyAlignment="1">
      <alignment horizontal="center"/>
    </xf>
    <xf numFmtId="170" fontId="124" fillId="31" borderId="0" xfId="0" applyNumberFormat="1" applyFont="1" applyFill="1" applyAlignment="1">
      <alignment horizontal="right"/>
    </xf>
    <xf numFmtId="0" fontId="12" fillId="31" borderId="0" xfId="0" applyFont="1" applyFill="1" applyAlignment="1">
      <alignment horizontal="right"/>
    </xf>
    <xf numFmtId="165" fontId="0" fillId="31" borderId="0" xfId="0" applyNumberFormat="1" applyFill="1"/>
    <xf numFmtId="3" fontId="0" fillId="0" borderId="20" xfId="0" applyNumberFormat="1" applyBorder="1"/>
    <xf numFmtId="0" fontId="0" fillId="3" borderId="0" xfId="0" applyFill="1"/>
    <xf numFmtId="0" fontId="118" fillId="0" borderId="6" xfId="0" applyFont="1" applyBorder="1" applyAlignment="1">
      <alignment horizontal="center"/>
    </xf>
    <xf numFmtId="0" fontId="118" fillId="31" borderId="0" xfId="0" applyFont="1" applyFill="1"/>
    <xf numFmtId="0" fontId="118" fillId="31" borderId="0" xfId="0" applyFont="1" applyFill="1" applyAlignment="1">
      <alignment horizontal="center"/>
    </xf>
    <xf numFmtId="3" fontId="118" fillId="31" borderId="0" xfId="0" applyNumberFormat="1" applyFont="1" applyFill="1"/>
    <xf numFmtId="0" fontId="118" fillId="31" borderId="6" xfId="0" applyFont="1" applyFill="1" applyBorder="1"/>
    <xf numFmtId="0" fontId="118" fillId="31" borderId="6" xfId="0" applyFont="1" applyFill="1" applyBorder="1" applyAlignment="1">
      <alignment horizontal="center"/>
    </xf>
    <xf numFmtId="3" fontId="118" fillId="31" borderId="6" xfId="0" applyNumberFormat="1" applyFont="1" applyFill="1" applyBorder="1"/>
    <xf numFmtId="3" fontId="118" fillId="0" borderId="0" xfId="0" applyNumberFormat="1" applyFont="1" applyAlignment="1">
      <alignment horizontal="right"/>
    </xf>
    <xf numFmtId="259" fontId="118" fillId="31" borderId="0" xfId="0" applyNumberFormat="1" applyFont="1" applyFill="1" applyAlignment="1">
      <alignment horizontal="right"/>
    </xf>
    <xf numFmtId="3" fontId="118" fillId="31" borderId="0" xfId="0" applyNumberFormat="1" applyFont="1" applyFill="1" applyAlignment="1">
      <alignment horizontal="center"/>
    </xf>
    <xf numFmtId="3" fontId="118" fillId="31" borderId="0" xfId="0" applyNumberFormat="1" applyFont="1" applyFill="1" applyAlignment="1">
      <alignment horizontal="right"/>
    </xf>
    <xf numFmtId="0" fontId="120" fillId="31" borderId="37" xfId="0" applyFont="1" applyFill="1" applyBorder="1"/>
    <xf numFmtId="3" fontId="120" fillId="31" borderId="38" xfId="0" applyNumberFormat="1" applyFont="1" applyFill="1" applyBorder="1" applyAlignment="1">
      <alignment horizontal="right"/>
    </xf>
    <xf numFmtId="0" fontId="0" fillId="0" borderId="0" xfId="0" applyAlignment="1">
      <alignment vertical="center"/>
    </xf>
    <xf numFmtId="0" fontId="256" fillId="0" borderId="6" xfId="0" applyFont="1" applyBorder="1"/>
    <xf numFmtId="0" fontId="255" fillId="0" borderId="0" xfId="0" applyFont="1"/>
    <xf numFmtId="9" fontId="256" fillId="0" borderId="0" xfId="0" applyNumberFormat="1" applyFont="1"/>
    <xf numFmtId="1" fontId="0" fillId="0" borderId="6" xfId="0" applyNumberFormat="1" applyBorder="1" applyAlignment="1">
      <alignment horizontal="right"/>
    </xf>
    <xf numFmtId="168" fontId="261" fillId="0" borderId="6" xfId="229" applyNumberFormat="1" applyFont="1" applyBorder="1" applyAlignment="1">
      <alignment horizontal="right"/>
    </xf>
    <xf numFmtId="168" fontId="261" fillId="31" borderId="0" xfId="229" applyNumberFormat="1" applyFont="1" applyFill="1"/>
    <xf numFmtId="165" fontId="261" fillId="31" borderId="0" xfId="2" applyNumberFormat="1" applyFont="1" applyFill="1" applyBorder="1"/>
    <xf numFmtId="168" fontId="261" fillId="0" borderId="0" xfId="229" applyNumberFormat="1" applyFont="1"/>
    <xf numFmtId="165" fontId="261" fillId="0" borderId="0" xfId="2" applyNumberFormat="1" applyFont="1" applyFill="1" applyBorder="1"/>
    <xf numFmtId="0" fontId="126" fillId="0" borderId="39" xfId="0" applyFont="1" applyBorder="1" applyAlignment="1">
      <alignment horizontal="right"/>
    </xf>
    <xf numFmtId="0" fontId="126" fillId="0" borderId="40" xfId="0" applyFont="1" applyBorder="1" applyAlignment="1">
      <alignment horizontal="right"/>
    </xf>
    <xf numFmtId="0" fontId="261" fillId="0" borderId="47" xfId="229" applyFont="1" applyBorder="1" applyAlignment="1">
      <alignment horizontal="right"/>
    </xf>
    <xf numFmtId="0" fontId="261" fillId="0" borderId="48" xfId="229" applyFont="1" applyBorder="1" applyAlignment="1">
      <alignment horizontal="right"/>
    </xf>
    <xf numFmtId="168" fontId="261" fillId="31" borderId="41" xfId="229" applyNumberFormat="1" applyFont="1" applyFill="1" applyBorder="1"/>
    <xf numFmtId="168" fontId="261" fillId="31" borderId="29" xfId="229" applyNumberFormat="1" applyFont="1" applyFill="1" applyBorder="1"/>
    <xf numFmtId="168" fontId="129" fillId="0" borderId="41" xfId="229" applyNumberFormat="1" applyFont="1" applyBorder="1"/>
    <xf numFmtId="168" fontId="129" fillId="0" borderId="29" xfId="229" applyNumberFormat="1" applyFont="1" applyBorder="1"/>
    <xf numFmtId="168" fontId="129" fillId="31" borderId="41" xfId="229" applyNumberFormat="1" applyFont="1" applyFill="1" applyBorder="1"/>
    <xf numFmtId="168" fontId="129" fillId="31" borderId="29" xfId="229" applyNumberFormat="1" applyFont="1" applyFill="1" applyBorder="1"/>
    <xf numFmtId="168" fontId="261" fillId="0" borderId="41" xfId="229" applyNumberFormat="1" applyFont="1" applyBorder="1"/>
    <xf numFmtId="168" fontId="261" fillId="0" borderId="29" xfId="229" applyNumberFormat="1" applyFont="1" applyBorder="1"/>
    <xf numFmtId="165" fontId="129" fillId="31" borderId="41" xfId="229" applyNumberFormat="1" applyFont="1" applyFill="1" applyBorder="1"/>
    <xf numFmtId="165" fontId="129" fillId="31" borderId="29" xfId="229" applyNumberFormat="1" applyFont="1" applyFill="1" applyBorder="1"/>
    <xf numFmtId="168" fontId="129" fillId="31" borderId="47" xfId="229" applyNumberFormat="1" applyFont="1" applyFill="1" applyBorder="1"/>
    <xf numFmtId="168" fontId="129" fillId="31" borderId="48" xfId="229" applyNumberFormat="1" applyFont="1" applyFill="1" applyBorder="1"/>
    <xf numFmtId="0" fontId="125" fillId="0" borderId="41" xfId="0" applyFont="1" applyBorder="1"/>
    <xf numFmtId="0" fontId="125" fillId="0" borderId="29" xfId="0" applyFont="1" applyBorder="1"/>
    <xf numFmtId="0" fontId="264" fillId="31" borderId="0" xfId="0" applyFont="1" applyFill="1"/>
    <xf numFmtId="0" fontId="125" fillId="31" borderId="41" xfId="0" applyFont="1" applyFill="1" applyBorder="1"/>
    <xf numFmtId="0" fontId="125" fillId="31" borderId="29" xfId="0" applyFont="1" applyFill="1" applyBorder="1"/>
    <xf numFmtId="1" fontId="125" fillId="0" borderId="41" xfId="0" applyNumberFormat="1" applyFont="1" applyBorder="1"/>
    <xf numFmtId="1" fontId="125" fillId="31" borderId="0" xfId="0" applyNumberFormat="1" applyFont="1" applyFill="1"/>
    <xf numFmtId="1" fontId="125" fillId="31" borderId="41" xfId="0" applyNumberFormat="1" applyFont="1" applyFill="1" applyBorder="1"/>
    <xf numFmtId="0" fontId="264" fillId="0" borderId="0" xfId="0" applyFont="1"/>
    <xf numFmtId="1" fontId="125" fillId="0" borderId="6" xfId="0" applyNumberFormat="1" applyFont="1" applyBorder="1"/>
    <xf numFmtId="1" fontId="125" fillId="0" borderId="42" xfId="0" applyNumberFormat="1" applyFont="1" applyBorder="1"/>
    <xf numFmtId="0" fontId="125" fillId="0" borderId="43" xfId="0" applyFont="1" applyBorder="1"/>
    <xf numFmtId="0" fontId="115" fillId="31" borderId="0" xfId="412" applyFill="1"/>
    <xf numFmtId="4" fontId="128" fillId="0" borderId="0" xfId="4" applyNumberFormat="1" applyFont="1"/>
    <xf numFmtId="0" fontId="265" fillId="110" borderId="0" xfId="0" applyFont="1" applyFill="1"/>
    <xf numFmtId="0" fontId="118" fillId="110" borderId="0" xfId="0" applyFont="1" applyFill="1"/>
    <xf numFmtId="0" fontId="118" fillId="110" borderId="0" xfId="0" applyFont="1" applyFill="1" applyAlignment="1">
      <alignment horizontal="right"/>
    </xf>
    <xf numFmtId="9" fontId="118" fillId="110" borderId="0" xfId="0" applyNumberFormat="1" applyFont="1" applyFill="1"/>
    <xf numFmtId="1" fontId="118" fillId="110" borderId="0" xfId="0" applyNumberFormat="1" applyFont="1" applyFill="1"/>
    <xf numFmtId="165" fontId="118" fillId="110" borderId="0" xfId="0" applyNumberFormat="1" applyFont="1" applyFill="1"/>
    <xf numFmtId="2" fontId="118" fillId="110" borderId="0" xfId="0" applyNumberFormat="1" applyFont="1" applyFill="1"/>
    <xf numFmtId="169" fontId="128" fillId="110" borderId="0" xfId="0" applyNumberFormat="1" applyFont="1" applyFill="1"/>
    <xf numFmtId="169" fontId="118" fillId="110" borderId="0" xfId="0" applyNumberFormat="1" applyFont="1" applyFill="1"/>
    <xf numFmtId="1" fontId="118" fillId="110" borderId="6" xfId="0" applyNumberFormat="1" applyFont="1" applyFill="1" applyBorder="1"/>
    <xf numFmtId="1" fontId="128" fillId="110" borderId="0" xfId="0" applyNumberFormat="1" applyFont="1" applyFill="1"/>
    <xf numFmtId="1" fontId="128" fillId="110" borderId="6" xfId="0" applyNumberFormat="1" applyFont="1" applyFill="1" applyBorder="1"/>
    <xf numFmtId="1" fontId="256" fillId="110" borderId="0" xfId="0" applyNumberFormat="1" applyFont="1" applyFill="1"/>
    <xf numFmtId="165" fontId="256" fillId="110" borderId="0" xfId="2" applyNumberFormat="1" applyFont="1" applyFill="1" applyBorder="1"/>
    <xf numFmtId="1" fontId="120" fillId="110" borderId="0" xfId="0" applyNumberFormat="1" applyFont="1" applyFill="1"/>
    <xf numFmtId="1" fontId="127" fillId="110" borderId="0" xfId="0" applyNumberFormat="1" applyFont="1" applyFill="1"/>
    <xf numFmtId="165" fontId="120" fillId="110" borderId="0" xfId="0" applyNumberFormat="1" applyFont="1" applyFill="1"/>
    <xf numFmtId="165" fontId="257" fillId="110" borderId="0" xfId="0" applyNumberFormat="1" applyFont="1" applyFill="1"/>
    <xf numFmtId="1" fontId="257" fillId="110" borderId="0" xfId="0" applyNumberFormat="1" applyFont="1" applyFill="1"/>
    <xf numFmtId="165" fontId="118" fillId="110" borderId="6" xfId="0" applyNumberFormat="1" applyFont="1" applyFill="1" applyBorder="1"/>
    <xf numFmtId="169" fontId="120" fillId="110" borderId="0" xfId="0" applyNumberFormat="1" applyFont="1" applyFill="1"/>
    <xf numFmtId="9" fontId="120" fillId="110" borderId="0" xfId="0" applyNumberFormat="1" applyFont="1" applyFill="1"/>
    <xf numFmtId="1" fontId="118" fillId="110" borderId="3" xfId="0" applyNumberFormat="1" applyFont="1" applyFill="1" applyBorder="1"/>
    <xf numFmtId="9" fontId="118" fillId="110" borderId="6" xfId="0" applyNumberFormat="1" applyFont="1" applyFill="1" applyBorder="1"/>
    <xf numFmtId="165" fontId="129" fillId="30" borderId="0" xfId="229" applyNumberFormat="1" applyFont="1" applyFill="1"/>
    <xf numFmtId="9" fontId="129" fillId="31" borderId="3" xfId="229" applyNumberFormat="1" applyFont="1" applyFill="1" applyBorder="1"/>
    <xf numFmtId="9" fontId="129" fillId="31" borderId="0" xfId="229" applyNumberFormat="1" applyFont="1" applyFill="1"/>
    <xf numFmtId="9" fontId="129" fillId="31" borderId="6" xfId="229" applyNumberFormat="1" applyFont="1" applyFill="1" applyBorder="1"/>
    <xf numFmtId="9" fontId="129" fillId="30" borderId="0" xfId="229" applyNumberFormat="1" applyFont="1" applyFill="1"/>
    <xf numFmtId="9" fontId="129" fillId="0" borderId="0" xfId="229" applyNumberFormat="1" applyFont="1"/>
    <xf numFmtId="0" fontId="266" fillId="0" borderId="0" xfId="0" applyFont="1"/>
    <xf numFmtId="1" fontId="266" fillId="0" borderId="0" xfId="0" applyNumberFormat="1" applyFont="1"/>
    <xf numFmtId="0" fontId="120" fillId="30" borderId="3" xfId="0" applyFont="1" applyFill="1" applyBorder="1"/>
    <xf numFmtId="0" fontId="120" fillId="30" borderId="6" xfId="0" applyFont="1" applyFill="1" applyBorder="1" applyAlignment="1">
      <alignment wrapText="1"/>
    </xf>
    <xf numFmtId="0" fontId="120" fillId="30" borderId="6" xfId="0" applyFont="1" applyFill="1" applyBorder="1" applyAlignment="1">
      <alignment horizontal="center" wrapText="1"/>
    </xf>
    <xf numFmtId="0" fontId="118" fillId="30" borderId="0" xfId="0" applyFont="1" applyFill="1"/>
    <xf numFmtId="165" fontId="118" fillId="30" borderId="0" xfId="0" applyNumberFormat="1" applyFont="1" applyFill="1" applyAlignment="1">
      <alignment horizontal="center"/>
    </xf>
    <xf numFmtId="0" fontId="118" fillId="30" borderId="0" xfId="0" applyFont="1" applyFill="1" applyAlignment="1">
      <alignment horizontal="center"/>
    </xf>
    <xf numFmtId="9" fontId="118" fillId="30" borderId="0" xfId="0" applyNumberFormat="1" applyFont="1" applyFill="1" applyAlignment="1">
      <alignment horizontal="center"/>
    </xf>
    <xf numFmtId="165" fontId="118" fillId="31" borderId="0" xfId="0" applyNumberFormat="1" applyFont="1" applyFill="1" applyAlignment="1">
      <alignment horizontal="center"/>
    </xf>
    <xf numFmtId="1" fontId="118" fillId="31" borderId="0" xfId="0" applyNumberFormat="1" applyFont="1" applyFill="1" applyAlignment="1">
      <alignment horizontal="center"/>
    </xf>
    <xf numFmtId="170" fontId="118" fillId="0" borderId="0" xfId="0" applyNumberFormat="1" applyFont="1"/>
    <xf numFmtId="0" fontId="120" fillId="0" borderId="6" xfId="0" applyFont="1" applyBorder="1" applyAlignment="1">
      <alignment horizontal="right"/>
    </xf>
    <xf numFmtId="0" fontId="120" fillId="0" borderId="0" xfId="0" applyFont="1" applyAlignment="1">
      <alignment horizontal="right"/>
    </xf>
    <xf numFmtId="0" fontId="118" fillId="31" borderId="0" xfId="0" applyFont="1" applyFill="1" applyAlignment="1">
      <alignment horizontal="right"/>
    </xf>
    <xf numFmtId="9" fontId="118" fillId="31" borderId="0" xfId="0" applyNumberFormat="1" applyFont="1" applyFill="1" applyAlignment="1">
      <alignment horizontal="right"/>
    </xf>
    <xf numFmtId="9" fontId="118" fillId="0" borderId="0" xfId="0" applyNumberFormat="1" applyFont="1" applyAlignment="1">
      <alignment horizontal="right"/>
    </xf>
    <xf numFmtId="3" fontId="118" fillId="0" borderId="6" xfId="0" applyNumberFormat="1" applyFont="1" applyBorder="1" applyAlignment="1">
      <alignment horizontal="right"/>
    </xf>
    <xf numFmtId="9" fontId="118" fillId="0" borderId="6" xfId="0" applyNumberFormat="1" applyFont="1" applyBorder="1" applyAlignment="1">
      <alignment horizontal="right"/>
    </xf>
    <xf numFmtId="0" fontId="120" fillId="31" borderId="0" xfId="0" applyFont="1" applyFill="1"/>
    <xf numFmtId="3" fontId="120" fillId="31" borderId="0" xfId="0" applyNumberFormat="1" applyFont="1" applyFill="1" applyAlignment="1">
      <alignment horizontal="right"/>
    </xf>
    <xf numFmtId="9" fontId="120" fillId="31" borderId="0" xfId="0" applyNumberFormat="1" applyFont="1" applyFill="1" applyAlignment="1">
      <alignment horizontal="right"/>
    </xf>
    <xf numFmtId="3" fontId="120" fillId="31" borderId="3" xfId="0" applyNumberFormat="1" applyFont="1" applyFill="1" applyBorder="1" applyAlignment="1">
      <alignment horizontal="right"/>
    </xf>
    <xf numFmtId="0" fontId="118" fillId="30" borderId="0" xfId="0" applyFont="1" applyFill="1" applyAlignment="1">
      <alignment horizontal="right"/>
    </xf>
    <xf numFmtId="165" fontId="118" fillId="30" borderId="0" xfId="0" applyNumberFormat="1" applyFont="1" applyFill="1" applyAlignment="1">
      <alignment horizontal="right"/>
    </xf>
    <xf numFmtId="165" fontId="118" fillId="31" borderId="0" xfId="0" applyNumberFormat="1" applyFont="1" applyFill="1" applyAlignment="1">
      <alignment horizontal="right"/>
    </xf>
    <xf numFmtId="0" fontId="118" fillId="30" borderId="6" xfId="0" applyFont="1" applyFill="1" applyBorder="1"/>
    <xf numFmtId="165" fontId="118" fillId="30" borderId="6" xfId="0" applyNumberFormat="1" applyFont="1" applyFill="1" applyBorder="1" applyAlignment="1">
      <alignment horizontal="right"/>
    </xf>
    <xf numFmtId="0" fontId="118" fillId="30" borderId="6" xfId="0" applyFont="1" applyFill="1" applyBorder="1" applyAlignment="1">
      <alignment horizontal="right"/>
    </xf>
    <xf numFmtId="165" fontId="120" fillId="31" borderId="0" xfId="0" applyNumberFormat="1" applyFont="1" applyFill="1" applyAlignment="1">
      <alignment horizontal="right"/>
    </xf>
    <xf numFmtId="0" fontId="118" fillId="0" borderId="6" xfId="0" applyFont="1" applyBorder="1" applyAlignment="1">
      <alignment horizontal="right"/>
    </xf>
    <xf numFmtId="3" fontId="128" fillId="0" borderId="0" xfId="0" applyNumberFormat="1" applyFont="1" applyAlignment="1">
      <alignment horizontal="right"/>
    </xf>
    <xf numFmtId="3" fontId="266" fillId="0" borderId="0" xfId="0" applyNumberFormat="1" applyFont="1" applyAlignment="1">
      <alignment horizontal="right"/>
    </xf>
    <xf numFmtId="0" fontId="118" fillId="0" borderId="8" xfId="0" quotePrefix="1" applyFont="1" applyBorder="1"/>
    <xf numFmtId="3" fontId="118" fillId="0" borderId="8" xfId="0" applyNumberFormat="1" applyFont="1" applyBorder="1" applyAlignment="1">
      <alignment horizontal="right"/>
    </xf>
    <xf numFmtId="9" fontId="118" fillId="0" borderId="8" xfId="0" applyNumberFormat="1" applyFont="1" applyBorder="1" applyAlignment="1">
      <alignment horizontal="right"/>
    </xf>
    <xf numFmtId="3" fontId="118" fillId="30" borderId="0" xfId="0" applyNumberFormat="1" applyFont="1" applyFill="1" applyAlignment="1">
      <alignment horizontal="right"/>
    </xf>
    <xf numFmtId="9" fontId="118" fillId="30" borderId="0" xfId="0" applyNumberFormat="1" applyFont="1" applyFill="1" applyAlignment="1">
      <alignment horizontal="right"/>
    </xf>
    <xf numFmtId="9" fontId="266" fillId="30" borderId="0" xfId="0" applyNumberFormat="1" applyFont="1" applyFill="1" applyAlignment="1">
      <alignment horizontal="right"/>
    </xf>
    <xf numFmtId="9" fontId="118" fillId="30" borderId="6" xfId="0" applyNumberFormat="1" applyFont="1" applyFill="1" applyBorder="1" applyAlignment="1">
      <alignment horizontal="right"/>
    </xf>
    <xf numFmtId="3" fontId="128" fillId="31" borderId="0" xfId="0" applyNumberFormat="1" applyFont="1" applyFill="1" applyAlignment="1">
      <alignment horizontal="right"/>
    </xf>
    <xf numFmtId="0" fontId="118" fillId="31" borderId="6" xfId="0" quotePrefix="1" applyFont="1" applyFill="1" applyBorder="1"/>
    <xf numFmtId="0" fontId="118" fillId="31" borderId="6" xfId="0" applyFont="1" applyFill="1" applyBorder="1" applyAlignment="1">
      <alignment horizontal="right"/>
    </xf>
    <xf numFmtId="3" fontId="118" fillId="31" borderId="6" xfId="0" applyNumberFormat="1" applyFont="1" applyFill="1" applyBorder="1" applyAlignment="1">
      <alignment horizontal="right"/>
    </xf>
    <xf numFmtId="3" fontId="266" fillId="31" borderId="6" xfId="0" applyNumberFormat="1" applyFont="1" applyFill="1" applyBorder="1" applyAlignment="1">
      <alignment horizontal="right"/>
    </xf>
    <xf numFmtId="3" fontId="120" fillId="0" borderId="0" xfId="0" applyNumberFormat="1" applyFont="1" applyAlignment="1">
      <alignment horizontal="right"/>
    </xf>
    <xf numFmtId="9" fontId="120" fillId="0" borderId="0" xfId="0" applyNumberFormat="1" applyFont="1" applyAlignment="1">
      <alignment horizontal="right"/>
    </xf>
    <xf numFmtId="0" fontId="118" fillId="31" borderId="0" xfId="0" quotePrefix="1" applyFont="1" applyFill="1"/>
    <xf numFmtId="3" fontId="267" fillId="31" borderId="0" xfId="0" applyNumberFormat="1" applyFont="1" applyFill="1" applyAlignment="1">
      <alignment horizontal="right"/>
    </xf>
    <xf numFmtId="3" fontId="267" fillId="0" borderId="0" xfId="0" applyNumberFormat="1" applyFont="1" applyAlignment="1">
      <alignment horizontal="right"/>
    </xf>
    <xf numFmtId="3" fontId="120" fillId="31" borderId="6" xfId="0" applyNumberFormat="1" applyFont="1" applyFill="1" applyBorder="1" applyAlignment="1">
      <alignment horizontal="right"/>
    </xf>
    <xf numFmtId="9" fontId="120" fillId="31" borderId="6" xfId="0" applyNumberFormat="1" applyFont="1" applyFill="1" applyBorder="1" applyAlignment="1">
      <alignment horizontal="right"/>
    </xf>
    <xf numFmtId="165" fontId="120" fillId="0" borderId="0" xfId="0" applyNumberFormat="1" applyFont="1" applyAlignment="1">
      <alignment horizontal="right"/>
    </xf>
    <xf numFmtId="0" fontId="120" fillId="31" borderId="0" xfId="0" quotePrefix="1" applyFont="1" applyFill="1"/>
    <xf numFmtId="165" fontId="118" fillId="0" borderId="0" xfId="0" applyNumberFormat="1" applyFont="1" applyAlignment="1">
      <alignment horizontal="right"/>
    </xf>
    <xf numFmtId="165" fontId="118" fillId="0" borderId="6" xfId="0" applyNumberFormat="1" applyFont="1" applyBorder="1" applyAlignment="1">
      <alignment horizontal="right"/>
    </xf>
    <xf numFmtId="170" fontId="118" fillId="0" borderId="0" xfId="0" applyNumberFormat="1" applyFont="1" applyAlignment="1">
      <alignment horizontal="right"/>
    </xf>
    <xf numFmtId="9" fontId="128" fillId="0" borderId="0" xfId="6" applyNumberFormat="1" applyFont="1"/>
    <xf numFmtId="3" fontId="118" fillId="0" borderId="0" xfId="2" applyNumberFormat="1" applyFont="1" applyAlignment="1">
      <alignment horizontal="center"/>
    </xf>
    <xf numFmtId="0" fontId="120" fillId="0" borderId="18" xfId="0" applyFont="1" applyBorder="1" applyAlignment="1">
      <alignment horizontal="center"/>
    </xf>
    <xf numFmtId="165" fontId="118" fillId="0" borderId="18" xfId="2" applyNumberFormat="1" applyFont="1" applyBorder="1" applyAlignment="1">
      <alignment horizontal="center"/>
    </xf>
    <xf numFmtId="165" fontId="118" fillId="0" borderId="12" xfId="2" applyNumberFormat="1" applyFont="1" applyBorder="1" applyAlignment="1">
      <alignment horizontal="center"/>
    </xf>
    <xf numFmtId="0" fontId="120" fillId="0" borderId="53" xfId="0" applyFont="1" applyBorder="1" applyAlignment="1">
      <alignment horizontal="center"/>
    </xf>
    <xf numFmtId="1" fontId="118" fillId="111" borderId="0" xfId="0" applyNumberFormat="1" applyFont="1" applyFill="1"/>
    <xf numFmtId="165" fontId="118" fillId="111" borderId="0" xfId="2" applyNumberFormat="1" applyFont="1" applyFill="1" applyAlignment="1">
      <alignment horizontal="center"/>
    </xf>
    <xf numFmtId="165" fontId="118" fillId="111" borderId="18" xfId="2" applyNumberFormat="1" applyFont="1" applyFill="1" applyBorder="1" applyAlignment="1">
      <alignment horizontal="center"/>
    </xf>
    <xf numFmtId="0" fontId="118" fillId="111" borderId="0" xfId="0" applyFont="1" applyFill="1"/>
    <xf numFmtId="3" fontId="118" fillId="111" borderId="0" xfId="2" applyNumberFormat="1" applyFont="1" applyFill="1" applyAlignment="1">
      <alignment horizontal="center"/>
    </xf>
    <xf numFmtId="3" fontId="118" fillId="111" borderId="18" xfId="2" applyNumberFormat="1" applyFont="1" applyFill="1" applyBorder="1" applyAlignment="1">
      <alignment horizontal="center"/>
    </xf>
    <xf numFmtId="0" fontId="118" fillId="112" borderId="0" xfId="0" applyFont="1" applyFill="1"/>
    <xf numFmtId="0" fontId="120" fillId="112" borderId="53" xfId="0" applyFont="1" applyFill="1" applyBorder="1" applyAlignment="1">
      <alignment horizontal="center"/>
    </xf>
    <xf numFmtId="0" fontId="120" fillId="112" borderId="0" xfId="0" applyFont="1" applyFill="1" applyAlignment="1">
      <alignment horizontal="center"/>
    </xf>
    <xf numFmtId="0" fontId="120" fillId="112" borderId="0" xfId="0" applyFont="1" applyFill="1"/>
    <xf numFmtId="0" fontId="120" fillId="112" borderId="18" xfId="0" applyFont="1" applyFill="1" applyBorder="1" applyAlignment="1">
      <alignment horizontal="center"/>
    </xf>
    <xf numFmtId="1" fontId="118" fillId="112" borderId="0" xfId="0" applyNumberFormat="1" applyFont="1" applyFill="1"/>
    <xf numFmtId="3" fontId="118" fillId="112" borderId="0" xfId="2" applyNumberFormat="1" applyFont="1" applyFill="1" applyAlignment="1">
      <alignment horizontal="center"/>
    </xf>
    <xf numFmtId="3" fontId="0" fillId="112" borderId="18" xfId="0" applyNumberFormat="1" applyFill="1" applyBorder="1" applyAlignment="1">
      <alignment horizontal="center"/>
    </xf>
    <xf numFmtId="3" fontId="118" fillId="112" borderId="18" xfId="2" applyNumberFormat="1" applyFont="1" applyFill="1" applyBorder="1" applyAlignment="1">
      <alignment horizontal="center"/>
    </xf>
    <xf numFmtId="0" fontId="0" fillId="112" borderId="0" xfId="0" applyFill="1" applyAlignment="1">
      <alignment horizontal="center"/>
    </xf>
    <xf numFmtId="0" fontId="118" fillId="111" borderId="18" xfId="0" applyFont="1" applyFill="1" applyBorder="1" applyAlignment="1">
      <alignment horizontal="center"/>
    </xf>
    <xf numFmtId="0" fontId="118" fillId="111" borderId="0" xfId="0" applyFont="1" applyFill="1" applyAlignment="1">
      <alignment horizontal="center"/>
    </xf>
    <xf numFmtId="3" fontId="120" fillId="0" borderId="0" xfId="0" applyNumberFormat="1" applyFont="1" applyAlignment="1">
      <alignment horizontal="center"/>
    </xf>
    <xf numFmtId="166" fontId="118" fillId="0" borderId="0" xfId="1" applyNumberFormat="1" applyFont="1" applyFill="1"/>
    <xf numFmtId="0" fontId="268" fillId="0" borderId="0" xfId="0" applyFont="1" applyAlignment="1">
      <alignment horizontal="right"/>
    </xf>
    <xf numFmtId="0" fontId="128" fillId="113" borderId="0" xfId="0" applyFont="1" applyFill="1"/>
    <xf numFmtId="0" fontId="127" fillId="0" borderId="0" xfId="0" applyFont="1" applyAlignment="1">
      <alignment horizontal="right"/>
    </xf>
    <xf numFmtId="0" fontId="127" fillId="0" borderId="1" xfId="3" applyFont="1" applyBorder="1"/>
    <xf numFmtId="0" fontId="127" fillId="0" borderId="1" xfId="3" applyFont="1" applyBorder="1" applyAlignment="1">
      <alignment horizontal="right"/>
    </xf>
    <xf numFmtId="0" fontId="127" fillId="0" borderId="0" xfId="3" applyFont="1"/>
    <xf numFmtId="0" fontId="128" fillId="0" borderId="0" xfId="3" applyFont="1"/>
    <xf numFmtId="164" fontId="128" fillId="0" borderId="0" xfId="3" applyNumberFormat="1" applyFont="1"/>
    <xf numFmtId="0" fontId="128" fillId="0" borderId="6" xfId="3" applyFont="1" applyBorder="1"/>
    <xf numFmtId="0" fontId="127" fillId="0" borderId="6" xfId="3" applyFont="1" applyBorder="1"/>
    <xf numFmtId="164" fontId="128" fillId="0" borderId="6" xfId="3" applyNumberFormat="1" applyFont="1" applyBorder="1"/>
    <xf numFmtId="164" fontId="127" fillId="0" borderId="0" xfId="3" applyNumberFormat="1" applyFont="1"/>
    <xf numFmtId="164" fontId="127" fillId="2" borderId="0" xfId="3" applyNumberFormat="1" applyFont="1" applyFill="1"/>
    <xf numFmtId="165" fontId="127" fillId="0" borderId="0" xfId="3" applyNumberFormat="1" applyFont="1"/>
    <xf numFmtId="9" fontId="127" fillId="0" borderId="0" xfId="3" applyNumberFormat="1" applyFont="1"/>
    <xf numFmtId="9" fontId="128" fillId="0" borderId="0" xfId="3" applyNumberFormat="1" applyFont="1"/>
    <xf numFmtId="0" fontId="269" fillId="0" borderId="0" xfId="3" quotePrefix="1" applyFont="1" applyAlignment="1">
      <alignment horizontal="right"/>
    </xf>
    <xf numFmtId="164" fontId="270" fillId="0" borderId="0" xfId="3" applyNumberFormat="1" applyFont="1"/>
    <xf numFmtId="9" fontId="270" fillId="0" borderId="0" xfId="3" applyNumberFormat="1" applyFont="1"/>
    <xf numFmtId="9" fontId="256" fillId="0" borderId="0" xfId="3" applyNumberFormat="1" applyFont="1" applyAlignment="1">
      <alignment horizontal="right"/>
    </xf>
    <xf numFmtId="164" fontId="255" fillId="0" borderId="0" xfId="3" applyNumberFormat="1" applyFont="1"/>
    <xf numFmtId="165" fontId="256" fillId="0" borderId="0" xfId="3" applyNumberFormat="1" applyFont="1"/>
    <xf numFmtId="165" fontId="128" fillId="0" borderId="0" xfId="3" applyNumberFormat="1" applyFont="1"/>
    <xf numFmtId="165" fontId="128" fillId="0" borderId="0" xfId="0" applyNumberFormat="1" applyFont="1"/>
    <xf numFmtId="0" fontId="270" fillId="0" borderId="0" xfId="3" applyFont="1"/>
    <xf numFmtId="164" fontId="128" fillId="2" borderId="0" xfId="3" applyNumberFormat="1" applyFont="1" applyFill="1"/>
    <xf numFmtId="165" fontId="128" fillId="0" borderId="0" xfId="2" applyNumberFormat="1" applyFont="1"/>
    <xf numFmtId="166" fontId="128" fillId="0" borderId="2" xfId="1" applyNumberFormat="1" applyFont="1" applyBorder="1"/>
    <xf numFmtId="43" fontId="128" fillId="0" borderId="3" xfId="1" applyFont="1" applyBorder="1"/>
    <xf numFmtId="166" fontId="128" fillId="0" borderId="4" xfId="3" applyNumberFormat="1" applyFont="1" applyBorder="1"/>
    <xf numFmtId="43" fontId="128" fillId="0" borderId="0" xfId="3" applyNumberFormat="1" applyFont="1"/>
    <xf numFmtId="43" fontId="128" fillId="0" borderId="5" xfId="1" applyFont="1" applyBorder="1"/>
    <xf numFmtId="43" fontId="128" fillId="0" borderId="6" xfId="1" applyFont="1" applyBorder="1"/>
    <xf numFmtId="43" fontId="128" fillId="0" borderId="0" xfId="1" applyFont="1" applyBorder="1"/>
    <xf numFmtId="9" fontId="128" fillId="0" borderId="0" xfId="1" applyNumberFormat="1" applyFont="1" applyBorder="1"/>
    <xf numFmtId="0" fontId="271" fillId="0" borderId="0" xfId="3" applyFont="1"/>
    <xf numFmtId="165" fontId="271" fillId="0" borderId="0" xfId="3" applyNumberFormat="1" applyFont="1"/>
    <xf numFmtId="43" fontId="128" fillId="0" borderId="0" xfId="1" applyFont="1"/>
    <xf numFmtId="166" fontId="127" fillId="0" borderId="0" xfId="3" applyNumberFormat="1" applyFont="1"/>
    <xf numFmtId="166" fontId="128" fillId="0" borderId="0" xfId="3" applyNumberFormat="1" applyFont="1"/>
    <xf numFmtId="43" fontId="128" fillId="0" borderId="0" xfId="0" applyNumberFormat="1" applyFont="1"/>
    <xf numFmtId="164" fontId="128" fillId="0" borderId="0" xfId="1" applyNumberFormat="1" applyFont="1" applyFill="1"/>
    <xf numFmtId="164" fontId="128" fillId="2" borderId="0" xfId="1" applyNumberFormat="1" applyFont="1" applyFill="1"/>
    <xf numFmtId="164" fontId="128" fillId="0" borderId="0" xfId="1" applyNumberFormat="1" applyFont="1"/>
    <xf numFmtId="166" fontId="128" fillId="0" borderId="0" xfId="1" applyNumberFormat="1" applyFont="1"/>
    <xf numFmtId="9" fontId="128" fillId="0" borderId="0" xfId="1" applyNumberFormat="1" applyFont="1"/>
    <xf numFmtId="9" fontId="128" fillId="2" borderId="0" xfId="3" applyNumberFormat="1" applyFont="1" applyFill="1"/>
    <xf numFmtId="164" fontId="127" fillId="2" borderId="0" xfId="1" applyNumberFormat="1" applyFont="1" applyFill="1"/>
    <xf numFmtId="0" fontId="128" fillId="0" borderId="0" xfId="3" quotePrefix="1" applyFont="1"/>
    <xf numFmtId="164" fontId="256" fillId="0" borderId="0" xfId="3" applyNumberFormat="1" applyFont="1"/>
    <xf numFmtId="164" fontId="128" fillId="3" borderId="0" xfId="1" applyNumberFormat="1" applyFont="1" applyFill="1"/>
    <xf numFmtId="167" fontId="128" fillId="113" borderId="0" xfId="3" applyNumberFormat="1" applyFont="1" applyFill="1"/>
    <xf numFmtId="167" fontId="128" fillId="0" borderId="0" xfId="3" applyNumberFormat="1" applyFont="1"/>
    <xf numFmtId="165" fontId="128" fillId="0" borderId="0" xfId="2" applyNumberFormat="1" applyFont="1" applyFill="1"/>
    <xf numFmtId="165" fontId="128" fillId="2" borderId="0" xfId="2" applyNumberFormat="1" applyFont="1" applyFill="1"/>
    <xf numFmtId="164" fontId="128" fillId="0" borderId="6" xfId="1" applyNumberFormat="1" applyFont="1" applyFill="1" applyBorder="1"/>
    <xf numFmtId="2" fontId="266" fillId="0" borderId="0" xfId="3" applyNumberFormat="1" applyFont="1"/>
    <xf numFmtId="164" fontId="128" fillId="2" borderId="0" xfId="1" applyNumberFormat="1" applyFont="1" applyFill="1" applyBorder="1"/>
    <xf numFmtId="0" fontId="128" fillId="33" borderId="0" xfId="0" applyFont="1" applyFill="1"/>
    <xf numFmtId="165" fontId="128" fillId="2" borderId="0" xfId="3" applyNumberFormat="1" applyFont="1" applyFill="1"/>
    <xf numFmtId="164" fontId="128" fillId="0" borderId="3" xfId="3" applyNumberFormat="1" applyFont="1" applyBorder="1"/>
    <xf numFmtId="164" fontId="128" fillId="0" borderId="6" xfId="1" applyNumberFormat="1" applyFont="1" applyBorder="1"/>
    <xf numFmtId="164" fontId="128" fillId="0" borderId="0" xfId="1" applyNumberFormat="1" applyFont="1" applyFill="1" applyBorder="1"/>
    <xf numFmtId="1" fontId="128" fillId="0" borderId="0" xfId="3" applyNumberFormat="1" applyFont="1"/>
    <xf numFmtId="165" fontId="128" fillId="0" borderId="0" xfId="1" applyNumberFormat="1" applyFont="1" applyFill="1"/>
    <xf numFmtId="43" fontId="128" fillId="2" borderId="0" xfId="1" applyFont="1" applyFill="1"/>
    <xf numFmtId="43" fontId="128" fillId="113" borderId="0" xfId="1" applyFont="1" applyFill="1"/>
    <xf numFmtId="43" fontId="128" fillId="0" borderId="0" xfId="1" applyFont="1" applyFill="1"/>
    <xf numFmtId="9" fontId="128" fillId="2" borderId="0" xfId="1" applyNumberFormat="1" applyFont="1" applyFill="1"/>
    <xf numFmtId="168" fontId="128" fillId="0" borderId="0" xfId="3" applyNumberFormat="1" applyFont="1"/>
    <xf numFmtId="168" fontId="127" fillId="0" borderId="0" xfId="3" applyNumberFormat="1" applyFont="1"/>
    <xf numFmtId="168" fontId="128" fillId="2" borderId="0" xfId="3" applyNumberFormat="1" applyFont="1" applyFill="1"/>
    <xf numFmtId="164" fontId="127" fillId="3" borderId="0" xfId="3" applyNumberFormat="1" applyFont="1" applyFill="1"/>
    <xf numFmtId="164" fontId="127" fillId="0" borderId="0" xfId="1" applyNumberFormat="1" applyFont="1" applyFill="1"/>
    <xf numFmtId="2" fontId="127" fillId="0" borderId="0" xfId="3" applyNumberFormat="1" applyFont="1"/>
    <xf numFmtId="0" fontId="127" fillId="0" borderId="3" xfId="3" applyFont="1" applyBorder="1"/>
    <xf numFmtId="164" fontId="127" fillId="0" borderId="3" xfId="3" applyNumberFormat="1" applyFont="1" applyBorder="1"/>
    <xf numFmtId="0" fontId="118" fillId="30" borderId="0" xfId="0" applyFont="1" applyFill="1" applyAlignment="1">
      <alignment horizontal="left" vertical="center" wrapText="1"/>
    </xf>
    <xf numFmtId="0" fontId="7" fillId="0" borderId="0" xfId="0" applyFont="1" applyAlignment="1">
      <alignment horizontal="center"/>
    </xf>
    <xf numFmtId="0" fontId="7" fillId="0" borderId="0" xfId="0" applyFont="1" applyAlignment="1">
      <alignment horizontal="right" vertical="center" textRotation="90" wrapText="1"/>
    </xf>
  </cellXfs>
  <cellStyles count="1375">
    <cellStyle name="_x0002_" xfId="448" xr:uid="{41F43024-8A22-4697-8C06-FBB784D69203}"/>
    <cellStyle name="_x0002_ 2" xfId="449" xr:uid="{71E05E4F-B5F4-4B09-B32F-FBD7A0536424}"/>
    <cellStyle name="_x000a_386grabber=M" xfId="9" xr:uid="{00000000-0005-0000-0000-000000000000}"/>
    <cellStyle name="$" xfId="450" xr:uid="{A9BE6D96-3B31-42D7-B2C6-8BE4FE815800}"/>
    <cellStyle name="%" xfId="3" xr:uid="{00000000-0005-0000-0000-000001000000}"/>
    <cellStyle name="% 2" xfId="4" xr:uid="{00000000-0005-0000-0000-000002000000}"/>
    <cellStyle name="% 2 2" xfId="453" xr:uid="{9870BCC9-894A-4E6E-86BA-F17993A8B8AB}"/>
    <cellStyle name="% 2 3" xfId="454" xr:uid="{E1F018BD-BEA4-49DF-974B-5CBC057602E2}"/>
    <cellStyle name="% 2 4" xfId="455" xr:uid="{03DA2642-5083-4D27-B0BC-E3CD2652D2F5}"/>
    <cellStyle name="% 2 5" xfId="452" xr:uid="{E33A9E87-B551-4817-89B8-1F537D03D490}"/>
    <cellStyle name="% 3" xfId="456" xr:uid="{DE09FCCA-CE55-4D38-B13B-34CEDB259DF8}"/>
    <cellStyle name="% 3 2" xfId="457" xr:uid="{ABD5973A-2C9E-49E5-9BF0-284E22B16BC3}"/>
    <cellStyle name="% 4" xfId="458" xr:uid="{7CDF4A8B-A79B-4C0E-9172-407D16400C62}"/>
    <cellStyle name="% 5" xfId="451" xr:uid="{B6B9BF84-3F6C-412B-9EAB-23031177F584}"/>
    <cellStyle name="%_Millicom_rollforward" xfId="459" xr:uid="{6CD8A65F-29F2-4EE0-87F9-E3E1CC29A0D5}"/>
    <cellStyle name="%_MTN WIP 1" xfId="460" xr:uid="{E9C96831-9F3C-4C3D-BEB2-8AEABE772692}"/>
    <cellStyle name="%_VIP_WIP" xfId="461" xr:uid="{99FD1912-8315-4B57-A812-03836B3294FD}"/>
    <cellStyle name="%_Vodacom WIP" xfId="462" xr:uid="{4F891698-A17C-44A4-B2C3-9D259F7BDFFA}"/>
    <cellStyle name="******************************************" xfId="10" xr:uid="{00000000-0005-0000-0000-000003000000}"/>
    <cellStyle name="?Q\?1@" xfId="11" xr:uid="{00000000-0005-0000-0000-000004000000}"/>
    <cellStyle name="_%(SignOnly)" xfId="463" xr:uid="{BB08E0A7-0913-4887-ACD0-DCD62C6B4670}"/>
    <cellStyle name="_%(SignSpaceOnly)" xfId="464" xr:uid="{1CC807E0-C489-410A-A3AA-D345DCF18B11}"/>
    <cellStyle name="_01 Ripasa WACC Calculation" xfId="465" xr:uid="{608C6DC8-55DA-4EB1-B2D2-92286F77C598}"/>
    <cellStyle name="_01 Ripasa WACC Calculation 2" xfId="466" xr:uid="{07DAF2D4-D55F-49A6-8E6E-F6B39BDD12C7}"/>
    <cellStyle name="_03 - Instrução 371 da TCO de 2005 v 23-01-06" xfId="467" xr:uid="{68D5147A-5753-434F-A07E-D1236608B4C0}"/>
    <cellStyle name="_03 - Instrução 371 da TCO de 2005 v 23-01-06 2" xfId="468" xr:uid="{BC922382-7D39-4B05-A4C8-5473EDA6A8CB}"/>
    <cellStyle name="_03 -Instrução 371 da TC de 2005 v 23-01-06" xfId="469" xr:uid="{C2154C99-3856-4DEB-84AF-00ADD2124598}"/>
    <cellStyle name="_03 -Instrução 371 da TC de 2005 v 23-01-06 2" xfId="470" xr:uid="{C3A56693-E705-430D-ABE8-3434E5BF933B}"/>
    <cellStyle name="_03 pulp and paper deal comp" xfId="471" xr:uid="{6155EDB8-9D9B-4084-866D-009CBE58F42D}"/>
    <cellStyle name="_03 pulp and paper deal comp 2" xfId="472" xr:uid="{F1ADEDCD-735D-4162-8127-405248235B1A}"/>
    <cellStyle name="_1 - CRT" xfId="473" xr:uid="{6B4152B4-F1A4-485B-8A0B-94C2FFD9F8DC}"/>
    <cellStyle name="_1 - CRT 2" xfId="474" xr:uid="{268C78BB-8DFC-4A35-BFA5-346E0772E260}"/>
    <cellStyle name="_1 - TLE" xfId="475" xr:uid="{70BA35FF-DDA5-4158-A460-69D13231A634}"/>
    <cellStyle name="_1 - TLE 2" xfId="476" xr:uid="{DAB34263-86AE-4C34-87D0-1BABB148EB6D}"/>
    <cellStyle name="_1 - TSD" xfId="477" xr:uid="{4DCBDCA9-F851-499D-8B85-42C32D4B42FF}"/>
    <cellStyle name="_1 - TSD 2" xfId="478" xr:uid="{1F2889E0-9FA8-4D5B-BA73-15BFA08EA451}"/>
    <cellStyle name="_1 - VIVO" xfId="479" xr:uid="{F4CFDE91-4E40-4661-B100-41514FE4E011}"/>
    <cellStyle name="_1 - VIVO 2" xfId="480" xr:uid="{21C49826-1A05-4F99-BC63-E6509662A163}"/>
    <cellStyle name="_2 - Brasilcel 401 402 Maio.06" xfId="481" xr:uid="{A8BD492F-DB8B-447F-81AA-558FA9E5A4D8}"/>
    <cellStyle name="_2 - Brasilcel 401 402 Maio.06 2" xfId="482" xr:uid="{BB973A11-4B23-433F-97C4-D948174F935F}"/>
    <cellStyle name="_3 - Ricardo - Brasilcel Junho-05 EITF" xfId="483" xr:uid="{1DC586A2-47D8-471D-B040-0C96C7C91B82}"/>
    <cellStyle name="_3 - Ricardo - Brasilcel Junho-05 EITF 2" xfId="484" xr:uid="{E0E37C01-B583-46A9-B4D9-26974DEEFED9}"/>
    <cellStyle name="_3 - Template Vivo Part MAIO-06" xfId="485" xr:uid="{DB667081-8E3C-43BF-B507-8880C8C59BF0}"/>
    <cellStyle name="_3 - Template Vivo Part MAIO-06 2" xfId="486" xr:uid="{D0A169BD-6A51-45C7-8760-5134B887862E}"/>
    <cellStyle name="_4 - Instrução 371 da TBA de 2005 v 12-12-05 com JSCP" xfId="487" xr:uid="{44D11FE8-E8FF-4CD9-A4A5-81BA7E3D309D}"/>
    <cellStyle name="_4 - Instrução 371 da TBA de 2005 v 12-12-05 com JSCP 2" xfId="488" xr:uid="{419D45ED-0EC8-4360-A0BE-AC4E5BC123E2}"/>
    <cellStyle name="_4 - VIVO Consol. FEV.06" xfId="489" xr:uid="{977F456A-2729-4AB5-BE85-1FE039DF9660}"/>
    <cellStyle name="_4 - VIVO Consol. FEV.06 2" xfId="490" xr:uid="{79E6F859-F5B8-484A-990B-28C0CC1C91E5}"/>
    <cellStyle name="_5 - Instrução 371 da TSD de 2005 v 23-01-06 com JSCP" xfId="491" xr:uid="{A10865AB-BDED-4151-9849-7908971A5411}"/>
    <cellStyle name="_5 - Instrução 371 da TSD de 2005 v 23-01-06 com JSCP 2" xfId="492" xr:uid="{38D57592-22C6-4698-B4E3-BFEA74A2134D}"/>
    <cellStyle name="_Brasilcel 401 402 - mar 06 FINAL" xfId="493" xr:uid="{62BA84BD-3A39-4EF1-AA0C-A1DC108F7473}"/>
    <cellStyle name="_Brasilcel 401 402 - mar 06 FINAL 2" xfId="494" xr:uid="{E34E5165-F442-49A0-AF3A-7E752DE2020A}"/>
    <cellStyle name="_Brasilcel mar05 FINAL enviado" xfId="495" xr:uid="{1EEB5A1E-5A78-40BA-AA48-A64669FF4434}"/>
    <cellStyle name="_Brasilcel mar05 FINAL enviado 2" xfId="496" xr:uid="{5643E956-CD3C-48B6-88FF-F705E9B9268B}"/>
    <cellStyle name="_CAPEX_DGSI_2004_fechamento_correção" xfId="497" xr:uid="{5AC59F10-23C4-446A-B447-244756E677A0}"/>
    <cellStyle name="_CAPEX_DGSI_2004_fechamento_correção 2" xfId="498" xr:uid="{A8DF0BEF-4E27-4E0E-A256-56CCDE4B5EC9}"/>
    <cellStyle name="_CAPEX_DGSI_2005_V21 08032005 APROVADA REDIR" xfId="499" xr:uid="{8C23B001-E133-43A9-8112-A6F4DEA136DE}"/>
    <cellStyle name="_CAPEX_DGSI_2005_V21 08032005 APROVADA REDIR 2" xfId="500" xr:uid="{1928148D-0064-4905-9C5F-088D2180E765}"/>
    <cellStyle name="_Comma" xfId="12" xr:uid="{00000000-0005-0000-0000-000005000000}"/>
    <cellStyle name="_Comma 2" xfId="502" xr:uid="{D9F02EC3-36A3-4ED2-870B-57F7A57CB24E}"/>
    <cellStyle name="_Comma 3" xfId="501" xr:uid="{EA57A2DE-4BBE-4F5E-84CD-E569D8A2C9FA}"/>
    <cellStyle name="_Comma_03 pulp and paper deal comp" xfId="503" xr:uid="{B9B8175E-3361-4C68-A8A6-EF44019A6615}"/>
    <cellStyle name="_Comma_dcf" xfId="504" xr:uid="{A036812B-3D16-4662-A6EA-8E613B233257}"/>
    <cellStyle name="_Comma_FINAL MODEL PLANTA TITAN" xfId="505" xr:uid="{7B1C41F6-1D5C-4675-A5CB-5CEF787BB2C3}"/>
    <cellStyle name="_Consolidado TCP" xfId="506" xr:uid="{03982082-B1DD-466B-A761-AD512F70393D}"/>
    <cellStyle name="_Consolidado TCP 2" xfId="507" xr:uid="{FD806554-FF92-48D1-9508-A4D9CBD942CD}"/>
    <cellStyle name="_Currency" xfId="13" xr:uid="{00000000-0005-0000-0000-000006000000}"/>
    <cellStyle name="_Currency 2" xfId="509" xr:uid="{70B63C0E-0CC7-44BE-8B9F-719E1A1180A2}"/>
    <cellStyle name="_Currency 3" xfId="508" xr:uid="{545CE159-8E82-4B1F-AECE-65A042E4C5F7}"/>
    <cellStyle name="_Currency_03 pulp and paper deal comp" xfId="510" xr:uid="{77C402F6-0EE2-479A-9B4B-DAF86130287F}"/>
    <cellStyle name="_Currency_dcf" xfId="511" xr:uid="{D079BA09-4F9D-409B-AFCF-7CAFE158CB93}"/>
    <cellStyle name="_Currency_FINAL MODEL PLANTA TITAN" xfId="512" xr:uid="{C20D0E37-56E8-4373-9B19-7DD420CC6D31}"/>
    <cellStyle name="_Currency_Master Business Plan37" xfId="513" xr:uid="{2D9814AD-8E5D-496E-9965-3B9AACEC996F}"/>
    <cellStyle name="_Currency_Urca Final Model" xfId="514" xr:uid="{A9306C4A-D305-48F0-B2DD-164A7A44F5FA}"/>
    <cellStyle name="_CurrencySpace" xfId="14" xr:uid="{00000000-0005-0000-0000-000007000000}"/>
    <cellStyle name="_CurrencySpace 2" xfId="516" xr:uid="{9762493A-8B67-4B95-BB5D-AB74D78F2348}"/>
    <cellStyle name="_CurrencySpace 3" xfId="515" xr:uid="{74B0DE6A-D3C2-4BDD-8B65-999CAD0F93B1}"/>
    <cellStyle name="_CurrencySpace_03 pulp and paper deal comp" xfId="517" xr:uid="{F485F791-0006-403B-834C-79ED7BADFF9F}"/>
    <cellStyle name="_CurrencySpace_dcf" xfId="518" xr:uid="{79C5BE30-5185-4795-BBAB-426C462D27E7}"/>
    <cellStyle name="_CurrencySpace_FINAL MODEL PLANTA TITAN" xfId="519" xr:uid="{1ADD5BDD-7E80-4897-B8C7-67394D62D1CA}"/>
    <cellStyle name="_Euro" xfId="520" xr:uid="{BF240B9B-8B60-4CA5-AA49-71B1B5E35ED5}"/>
    <cellStyle name="_FINAL MODEL PLANTA TITAN" xfId="521" xr:uid="{51DA1BB7-FDB1-474B-AD91-ACD5D1930EE5}"/>
    <cellStyle name="_FINAL MODEL PLANTA TITAN 2" xfId="522" xr:uid="{7D00A7C2-1A14-47F6-9F4B-7A8501851D6F}"/>
    <cellStyle name="_Heading" xfId="523" xr:uid="{888AFFA8-A6B6-4E47-863E-A536FE69A884}"/>
    <cellStyle name="_Heading 2" xfId="524" xr:uid="{9B2382BA-805F-45B8-975B-725B4D529C81}"/>
    <cellStyle name="_Heading_03 pulp and paper deal comp" xfId="525" xr:uid="{91231B27-1749-4BFF-B874-5C50A713662B}"/>
    <cellStyle name="_Heading_03 pulp and paper deal comp 2" xfId="526" xr:uid="{BD2B9DAD-06D4-4D52-9805-82FAABA49F50}"/>
    <cellStyle name="_Heading_prestemp" xfId="527" xr:uid="{972903DC-6578-4DC3-8ADF-403E89DDDA06}"/>
    <cellStyle name="_Heading_prestemp 2" xfId="528" xr:uid="{17AAA534-9B83-4A7E-B90A-E238454FA147}"/>
    <cellStyle name="_Heading_WACC_Calculation_Apr 25" xfId="529" xr:uid="{3925C544-C43F-4623-B801-DBFEB51F3A5A}"/>
    <cellStyle name="_Heading_WACC_Calculation_Apr 25 2" xfId="530" xr:uid="{1C4441D0-BEDD-4AB2-9B7B-BBC4185C0AA2}"/>
    <cellStyle name="_Heading_WACC_Calculation_March 14" xfId="531" xr:uid="{7246CC00-FF2A-4288-9D7B-B0C889674279}"/>
    <cellStyle name="_Heading_WACC_Calculation_March 14 2" xfId="532" xr:uid="{093BECB7-58EC-4300-930A-56A2BB199453}"/>
    <cellStyle name="_Highlight" xfId="533" xr:uid="{0BF290B6-0D2A-45DF-A908-6157B44E15F6}"/>
    <cellStyle name="_Highlight 2" xfId="534" xr:uid="{F4BB4348-C99E-40F9-8A65-304CEC206BD9}"/>
    <cellStyle name="_Innsamling" xfId="15" xr:uid="{00000000-0005-0000-0000-000008000000}"/>
    <cellStyle name="_JP Morgan" xfId="16" xr:uid="{00000000-0005-0000-0000-000009000000}"/>
    <cellStyle name="_Mal for innhenting av estimater Q4- 2002" xfId="17" xr:uid="{00000000-0005-0000-0000-00000A000000}"/>
    <cellStyle name="_Millicom_current" xfId="18" xr:uid="{00000000-0005-0000-0000-00000B000000}"/>
    <cellStyle name="_Minas Model December 26" xfId="535" xr:uid="{B3770098-AF4F-4E0C-BBBB-56D89975D4CA}"/>
    <cellStyle name="_Minas Model December 26 2" xfId="536" xr:uid="{A39A0800-442F-4003-9C24-31021AC3D6F3}"/>
    <cellStyle name="_Minas Model December 27 - FINAL" xfId="537" xr:uid="{F8FB9E6F-731F-46F0-9832-DDEE88457C7C}"/>
    <cellStyle name="_Minas Model December 27 - FINAL 2" xfId="538" xr:uid="{5D8FAD35-A053-4FA8-BB2E-1C4A5872A0E2}"/>
    <cellStyle name="_Multiple" xfId="19" xr:uid="{00000000-0005-0000-0000-00000C000000}"/>
    <cellStyle name="_Multiple 2" xfId="540" xr:uid="{0BC3B7E9-E959-4DAD-8B57-4C8A01AB19A3}"/>
    <cellStyle name="_Multiple 3" xfId="539" xr:uid="{C5C7EB01-7FFD-411E-A4F1-8F5A3F82D5BD}"/>
    <cellStyle name="_Multiple_03 pulp and paper deal comp" xfId="541" xr:uid="{71947EA5-3373-41DF-A642-79A4A0EE45E4}"/>
    <cellStyle name="_Multiple_dcf" xfId="542" xr:uid="{FC66DABD-BDF8-4C87-B8E6-2A1441B58E4C}"/>
    <cellStyle name="_Multiple_FINAL MODEL PLANTA TITAN" xfId="543" xr:uid="{A64AF010-8CFF-4DDC-B4C2-C388FF8D9FAF}"/>
    <cellStyle name="_MultipleSpace" xfId="20" xr:uid="{00000000-0005-0000-0000-00000D000000}"/>
    <cellStyle name="_MultipleSpace 2" xfId="545" xr:uid="{7502B9A6-510F-484B-A0F8-8A080971BE22}"/>
    <cellStyle name="_MultipleSpace 3" xfId="544" xr:uid="{21830C52-C861-4047-90CB-77611CBA6C68}"/>
    <cellStyle name="_MultipleSpace_03 pulp and paper deal comp" xfId="546" xr:uid="{8E4E1BB5-5D4E-45EE-9B41-999EC66AF181}"/>
    <cellStyle name="_MultipleSpace_dcf" xfId="547" xr:uid="{F5017291-578D-48C3-B5B3-5E964BDB3F8C}"/>
    <cellStyle name="_MultipleSpace_FINAL MODEL PLANTA TITAN" xfId="548" xr:uid="{2D3869C1-DAF4-41D4-B7B3-23E20DAE368F}"/>
    <cellStyle name="_Pasta1" xfId="549" xr:uid="{2FAFB779-9D47-45DB-8011-6EA229C1E056}"/>
    <cellStyle name="_Pasta1 2" xfId="550" xr:uid="{147BB726-9F44-4529-B26F-6DEC4952738E}"/>
    <cellStyle name="_Percent" xfId="21" xr:uid="{00000000-0005-0000-0000-00000E000000}"/>
    <cellStyle name="_Percent 2" xfId="552" xr:uid="{BFCE2AAD-8D9F-437E-8C0F-466B044D3A68}"/>
    <cellStyle name="_Percent 3" xfId="551" xr:uid="{81E9EE20-95A6-4772-8ADD-BDC8FADEA69E}"/>
    <cellStyle name="_Percent_01 Ripasa WACC Calculation" xfId="553" xr:uid="{3BB3FDAF-2831-41C6-BD35-E990B2761C4D}"/>
    <cellStyle name="_Percent_03 pulp and paper deal comp" xfId="554" xr:uid="{219C8EB7-C0DD-4682-A488-79CBC3348518}"/>
    <cellStyle name="_Percent_FINAL MODEL PLANTA TITAN" xfId="555" xr:uid="{5A249FBB-743C-4841-AC17-3FEF01209BFD}"/>
    <cellStyle name="_Percent_Minas Model December 26" xfId="556" xr:uid="{58350C0D-3DA8-487B-BA4E-AB83E622B82F}"/>
    <cellStyle name="_Percent_Minas Model December 27 - FINAL" xfId="557" xr:uid="{24AA197E-5601-4359-92BE-D9F7CDD3D948}"/>
    <cellStyle name="_Percent_wacc" xfId="558" xr:uid="{4B6A7DBA-18E4-428C-BB2C-29DEF8A764D5}"/>
    <cellStyle name="_PercentSpace" xfId="22" xr:uid="{00000000-0005-0000-0000-00000F000000}"/>
    <cellStyle name="_Ricardo - Template Vivo Part JUN-06 rev 120707" xfId="559" xr:uid="{46D6F608-81D9-422B-B31E-0B06E5B368EF}"/>
    <cellStyle name="_Ricardo - Template Vivo Part JUN-06 rev 120707 2" xfId="560" xr:uid="{7E51E575-D43C-40B0-82B6-5E917A3D59A0}"/>
    <cellStyle name="_SubHeading" xfId="561" xr:uid="{D5950726-AD35-4332-B05F-1A3E1A717989}"/>
    <cellStyle name="_SubHeading 2" xfId="562" xr:uid="{1C146E6D-A30A-400F-995B-B1E67B0F8F61}"/>
    <cellStyle name="_SubHeading_03 pulp and paper deal comp" xfId="563" xr:uid="{234AFA44-13C7-4557-906A-B96979084FBA}"/>
    <cellStyle name="_SubHeading_03 pulp and paper deal comp 2" xfId="564" xr:uid="{D0420C66-179E-4FAF-B4FA-8B13D6D1A16A}"/>
    <cellStyle name="_SubHeading_prestemp" xfId="565" xr:uid="{B28E93D7-F06F-460C-A143-69386F1AB7A1}"/>
    <cellStyle name="_SubHeading_prestemp 2" xfId="566" xr:uid="{FA7A5805-8061-4036-9E50-FDAA72CE14E8}"/>
    <cellStyle name="_SubHeading_WACC_Calculation_Apr 25" xfId="567" xr:uid="{24C77A3F-9E12-40EB-ADA9-E708C6735A58}"/>
    <cellStyle name="_SubHeading_WACC_Calculation_Apr 25 2" xfId="568" xr:uid="{097C4EF3-48DC-468B-B603-A6784D0C7F82}"/>
    <cellStyle name="_SubHeading_WACC_Calculation_March 14" xfId="569" xr:uid="{D228FB5D-1D2B-4074-AC6F-131A1C94427C}"/>
    <cellStyle name="_SubHeading_WACC_Calculation_March 14 2" xfId="570" xr:uid="{7E0C7970-D989-486C-9930-BF51456235DC}"/>
    <cellStyle name="_Table" xfId="571" xr:uid="{0F411A9B-AE35-4B8B-B0B6-1FD949BF1323}"/>
    <cellStyle name="_Table 2" xfId="572" xr:uid="{A2C698AD-FAAD-4DA5-8700-CC4AF289AAB5}"/>
    <cellStyle name="_TableHead" xfId="573" xr:uid="{AAF639D2-9431-4331-A6A6-15C6CBE677A9}"/>
    <cellStyle name="_TableHead 2" xfId="574" xr:uid="{0385FE3F-B919-4EA8-BB99-3F2DEE4A3F4A}"/>
    <cellStyle name="_TableRowHead" xfId="575" xr:uid="{104C64DE-899C-4227-AA6B-B004E529DCFA}"/>
    <cellStyle name="_TableRowHead 2" xfId="576" xr:uid="{ED8D8DF7-B7B2-476F-A8AE-9F9DBBBC1504}"/>
    <cellStyle name="_TableSuperHead" xfId="577" xr:uid="{A851AD50-46DE-4183-85BD-21AD7F273365}"/>
    <cellStyle name="_TableSuperHead 2" xfId="578" xr:uid="{2FC2EAB4-C6DE-4E34-B23B-F4F6B5E78552}"/>
    <cellStyle name="_Template Vivo Part Mar-06 I" xfId="579" xr:uid="{219B5A49-0281-4966-B7FF-073FDAECA116}"/>
    <cellStyle name="_Template Vivo Part Mar-06 I 2" xfId="580" xr:uid="{72051F24-2A49-4B44-9266-E6FA70EA6DDF}"/>
    <cellStyle name="_Vodacom WIP" xfId="581" xr:uid="{15A70D2F-E3BD-43B2-ABB9-59B617DCF666}"/>
    <cellStyle name="_wacc" xfId="582" xr:uid="{6ED09117-03D3-4733-814C-A58F0C25503A}"/>
    <cellStyle name="_wacc 2" xfId="583" xr:uid="{41D208A5-0905-4CD0-9E9F-3905DE9C9A67}"/>
    <cellStyle name="£ BP" xfId="584" xr:uid="{E6C0B1E4-B68F-452F-AE8E-3AB75137BDB6}"/>
    <cellStyle name="¤@¯ë_Sheet1 (2)" xfId="23" xr:uid="{00000000-0005-0000-0000-000010000000}"/>
    <cellStyle name="¥ JY" xfId="585" xr:uid="{6F99899C-8D02-4256-9866-BEBFD4485667}"/>
    <cellStyle name="=C:\WINNT\SYSTEM32\COMMAND.COM" xfId="586" xr:uid="{52A83D31-B567-4772-8FE7-5E6402A7D3C9}"/>
    <cellStyle name="=C:\WINNT\SYSTEM32\COMMAND.COM 2" xfId="587" xr:uid="{694FF34C-EBD0-436C-8B3F-661C3217AC6D}"/>
    <cellStyle name="=C:\WINNT35\SYSTEM32\COMMAND.COM" xfId="588" xr:uid="{362B2BC6-3C16-4484-AB97-568BDF936729}"/>
    <cellStyle name="=C:\WINNT35\SYSTEM32\COMMAND.COM 2" xfId="589" xr:uid="{5AACB7D2-85B8-43D0-BDBC-81D8751339F5}"/>
    <cellStyle name="=C:\WINNT35\SYSTEM32\COMMAND.COM 3" xfId="590" xr:uid="{7A0F9E62-11FD-4F6D-BE5E-30BC892F8136}"/>
    <cellStyle name="§Q\òm1@À" xfId="24" xr:uid="{00000000-0005-0000-0000-000011000000}"/>
    <cellStyle name="•W€_VALUE" xfId="25" xr:uid="{00000000-0005-0000-0000-000012000000}"/>
    <cellStyle name="‰p•¶" xfId="591" xr:uid="{E8EA7C60-BB1C-4F02-B5A7-88AFE6A19D4A}"/>
    <cellStyle name="‰p•¶ 2" xfId="592" xr:uid="{8D0E4993-2130-4976-AA60-069A056EBFA9}"/>
    <cellStyle name="0" xfId="593" xr:uid="{FF4D8201-3529-43FB-9F14-0FB4C6C72C67}"/>
    <cellStyle name="0  + -" xfId="594" xr:uid="{5A310B4F-FA44-4948-8B66-8BEAA610C09A}"/>
    <cellStyle name="0%" xfId="595" xr:uid="{06EFAD00-FF12-494C-B787-383B1C64974A}"/>
    <cellStyle name="0,0_x000d__x000a_NA_x000d__x000a_" xfId="596" xr:uid="{D713665C-4F44-4434-83BE-05546BD99845}"/>
    <cellStyle name="0,0_x000d__x000a_NA_x000d__x000a_ 2" xfId="597" xr:uid="{072E262C-02EB-4B86-915D-04878AEA824A}"/>
    <cellStyle name="0.0%" xfId="598" xr:uid="{41AEB150-457E-4595-A83D-31F8E071520F}"/>
    <cellStyle name="0.00%" xfId="599" xr:uid="{411EC726-31C6-4553-9C44-159F4B5EA335}"/>
    <cellStyle name="0+ -" xfId="600" xr:uid="{B5356AFA-38A7-4354-AE4F-8F86E71D6CFA}"/>
    <cellStyle name="0+   -" xfId="601" xr:uid="{57FBB445-F6AF-4ABA-B2C5-EDB4D9BCEAC5}"/>
    <cellStyle name="000 PN" xfId="602" xr:uid="{14B2C0A3-1D11-4080-9E3D-AC2FB6B7234F}"/>
    <cellStyle name="0000" xfId="603" xr:uid="{37B9FE70-6D8E-41AB-B805-30C4F754FF72}"/>
    <cellStyle name="000000" xfId="604" xr:uid="{C167D9CB-4DCE-4B66-810F-09B1467762ED}"/>
    <cellStyle name="1 Decimal" xfId="605" xr:uid="{3E363C01-8F6A-45C0-AD33-8F9FC33EF083}"/>
    <cellStyle name="2 Decimals" xfId="606" xr:uid="{3C108570-164F-4E46-973A-26A0E993C154}"/>
    <cellStyle name="20% - Accent1" xfId="430" builtinId="30" customBuiltin="1"/>
    <cellStyle name="20% - Accent1 2" xfId="607" xr:uid="{DCCDCB06-5DB0-4CC2-A59F-12B2349562C0}"/>
    <cellStyle name="20% - Accent2" xfId="433" builtinId="34" customBuiltin="1"/>
    <cellStyle name="20% - Accent2 2" xfId="608" xr:uid="{4DEE7864-6B92-4F0B-83D9-16EDA91201AB}"/>
    <cellStyle name="20% - Accent3" xfId="436" builtinId="38" customBuiltin="1"/>
    <cellStyle name="20% - Accent3 2" xfId="609" xr:uid="{20A312E4-9F62-4A94-BF56-55A201442656}"/>
    <cellStyle name="20% - Accent4" xfId="439" builtinId="42" customBuiltin="1"/>
    <cellStyle name="20% - Accent4 2" xfId="610" xr:uid="{957D83E0-8B2A-454A-AB18-2809FEA1712E}"/>
    <cellStyle name="20% - Accent5" xfId="442" builtinId="46" customBuiltin="1"/>
    <cellStyle name="20% - Accent5 2" xfId="611" xr:uid="{0764B519-072D-45DB-B950-4D4506779EAF}"/>
    <cellStyle name="20% - Accent6" xfId="445" builtinId="50" customBuiltin="1"/>
    <cellStyle name="20% - Accent6 2" xfId="612" xr:uid="{9F28E863-08AA-4B5D-8173-934155A11416}"/>
    <cellStyle name="3 Decimals" xfId="613" xr:uid="{3860AC3E-121B-440F-B385-D4EB79CE8948}"/>
    <cellStyle name="3f1o [0]_J-Hwang242" xfId="26" xr:uid="{00000000-0005-0000-0000-000013000000}"/>
    <cellStyle name="3f1o_J-Hwang2an" xfId="27" xr:uid="{00000000-0005-0000-0000-000014000000}"/>
    <cellStyle name="40% - Accent1" xfId="431" builtinId="31" customBuiltin="1"/>
    <cellStyle name="40% - Accent1 2" xfId="614" xr:uid="{227A0B42-64C1-4C7E-BF89-2D5E0D571123}"/>
    <cellStyle name="40% - Accent2" xfId="434" builtinId="35" customBuiltin="1"/>
    <cellStyle name="40% - Accent2 2" xfId="616" xr:uid="{29296864-36A4-4F2B-8C06-4E8CE34FBB64}"/>
    <cellStyle name="40% - Accent3" xfId="437" builtinId="39" customBuiltin="1"/>
    <cellStyle name="40% - Accent3 2" xfId="617" xr:uid="{227B515D-DC44-4E1F-AA64-7C50B9128B23}"/>
    <cellStyle name="40% - Accent4" xfId="440" builtinId="43" customBuiltin="1"/>
    <cellStyle name="40% - Accent4 2" xfId="618" xr:uid="{4B82CE38-84EC-4476-9590-384E977788F5}"/>
    <cellStyle name="40% - Accent5" xfId="443" builtinId="47" customBuiltin="1"/>
    <cellStyle name="40% - Accent5 2" xfId="619" xr:uid="{87CE36F5-E1B5-4AE7-94F8-C7F2E7DE54A4}"/>
    <cellStyle name="40% - Accent6" xfId="446" builtinId="51" customBuiltin="1"/>
    <cellStyle name="40% - Accent6 2" xfId="620" xr:uid="{C4DB7DBF-BEAB-477A-94C6-594805AE1820}"/>
    <cellStyle name="60% - Accent1 2" xfId="622" xr:uid="{5A101F11-C892-4E43-AB2A-81C5DD63F051}"/>
    <cellStyle name="60% - Accent1 3" xfId="621" xr:uid="{C479480E-2949-4026-A7A0-9306D77DB1AE}"/>
    <cellStyle name="60% - Accent2 2" xfId="624" xr:uid="{25B24B3D-2C3D-402D-AD82-BFE752FD9264}"/>
    <cellStyle name="60% - Accent2 3" xfId="623" xr:uid="{08DC67A1-17C2-4E0F-BFFE-359AB8A1ADBC}"/>
    <cellStyle name="60% - Accent3 2" xfId="626" xr:uid="{A37C2952-EC25-4B4B-A3AF-5252C1D02E07}"/>
    <cellStyle name="60% - Accent3 3" xfId="625" xr:uid="{1B5E05E8-6C71-4CAC-BE0A-F844AEB8956E}"/>
    <cellStyle name="60% - Accent4 2" xfId="628" xr:uid="{123FBBBF-7A3C-4196-8812-0D2084915B46}"/>
    <cellStyle name="60% - Accent4 3" xfId="627" xr:uid="{104C13FA-611D-46F3-A476-8A6EC0B7FE01}"/>
    <cellStyle name="60% - Accent5 2" xfId="630" xr:uid="{CBB1BEE4-0CF7-4BCB-822D-881B88086958}"/>
    <cellStyle name="60% - Accent5 3" xfId="629" xr:uid="{4CB2ECDF-878E-42DF-963C-6A64647AB45A}"/>
    <cellStyle name="60% - Accent6 2" xfId="632" xr:uid="{92E81507-FC9D-4AC7-A2C1-32D943C4EC4B}"/>
    <cellStyle name="60% - Accent6 3" xfId="631" xr:uid="{8B4BDB21-40CD-49B4-BFED-4EEF4FC2AB19}"/>
    <cellStyle name="600 PN" xfId="633" xr:uid="{5AD878E8-9100-4CD3-ACDD-7DB639D6A26C}"/>
    <cellStyle name="6mal" xfId="634" xr:uid="{63037AB6-6F6A-4259-B9B8-BDC20D37BC30}"/>
    <cellStyle name="700 PN" xfId="635" xr:uid="{6C99935E-0E16-45FB-ACBF-9697C1F42216}"/>
    <cellStyle name="A3 297 x 420 mm" xfId="636" xr:uid="{1F549677-E91E-4AB8-A1B5-5CF52A25AECB}"/>
    <cellStyle name="aaa" xfId="28" xr:uid="{00000000-0005-0000-0000-000015000000}"/>
    <cellStyle name="AbertBalan" xfId="637" xr:uid="{B858C028-9B88-45B2-A2F8-E3C6ECD5B9A7}"/>
    <cellStyle name="Accent1" xfId="429" builtinId="29" customBuiltin="1"/>
    <cellStyle name="Accent1 2" xfId="638" xr:uid="{4426CF77-8ADA-4421-B39F-DF9BD28844A2}"/>
    <cellStyle name="Accent2" xfId="432" builtinId="33" customBuiltin="1"/>
    <cellStyle name="Accent2 2" xfId="639" xr:uid="{90B23CE1-1C58-4636-B7D0-939D6E2833C6}"/>
    <cellStyle name="Accent3" xfId="435" builtinId="37" customBuiltin="1"/>
    <cellStyle name="Accent3 2" xfId="640" xr:uid="{A7ACD52F-C86A-4A6E-BC5B-42AE1D5C5960}"/>
    <cellStyle name="Accent4" xfId="438" builtinId="41" customBuiltin="1"/>
    <cellStyle name="Accent4 2" xfId="641" xr:uid="{9625D5E9-CBCF-45A0-B7A1-8238CD3A021B}"/>
    <cellStyle name="Accent5" xfId="441" builtinId="45" customBuiltin="1"/>
    <cellStyle name="Accent5 2" xfId="642" xr:uid="{1A97C8C6-5BDF-4672-BCFC-A2B5C83AD6C3}"/>
    <cellStyle name="Accent6" xfId="444" builtinId="49" customBuiltin="1"/>
    <cellStyle name="Accent6 2" xfId="643" xr:uid="{77D779BD-0C5B-4526-BC0A-22874719135D}"/>
    <cellStyle name="Acquisition" xfId="29" xr:uid="{00000000-0005-0000-0000-000016000000}"/>
    <cellStyle name="ÅëÈ­ [0]_TestResults" xfId="30" xr:uid="{00000000-0005-0000-0000-000017000000}"/>
    <cellStyle name="ÅëÈ­_TestResults" xfId="31" xr:uid="{00000000-0005-0000-0000-000018000000}"/>
    <cellStyle name="AFE" xfId="644" xr:uid="{3ABD0DA1-21E6-422B-AE90-7F61152041D7}"/>
    <cellStyle name="AFE 2" xfId="645" xr:uid="{8F177E8C-99E7-4172-95C2-E7DC0B48E649}"/>
    <cellStyle name="ANALYST" xfId="32" xr:uid="{00000000-0005-0000-0000-000019000000}"/>
    <cellStyle name="Année" xfId="33" xr:uid="{00000000-0005-0000-0000-00001A000000}"/>
    <cellStyle name="Année (e)" xfId="34" xr:uid="{00000000-0005-0000-0000-00001B000000}"/>
    <cellStyle name="Año" xfId="646" xr:uid="{C8B0E5CF-9E1E-4661-871F-22808C4ED87F}"/>
    <cellStyle name="Año 2" xfId="647" xr:uid="{8B5DF36D-23E3-4B91-9156-DE31CD35D6A0}"/>
    <cellStyle name="anobase" xfId="648" xr:uid="{50EE3F2B-6DB4-49CD-89B3-538A2F822479}"/>
    <cellStyle name="anos" xfId="649" xr:uid="{1797B121-32F0-4B39-B927-9EEA7A94D0C6}"/>
    <cellStyle name="args.style" xfId="650" xr:uid="{718F4BC4-EBA8-485E-9281-169E7F58E283}"/>
    <cellStyle name="args.style 2" xfId="651" xr:uid="{6076D042-8A0E-4B80-9FD0-EC7B9A3AE406}"/>
    <cellStyle name="Arial 10" xfId="35" xr:uid="{00000000-0005-0000-0000-00001C000000}"/>
    <cellStyle name="Arial 12" xfId="36" xr:uid="{00000000-0005-0000-0000-00001D000000}"/>
    <cellStyle name="Assumption" xfId="37" xr:uid="{00000000-0005-0000-0000-00001E000000}"/>
    <cellStyle name="Assumptions" xfId="38" xr:uid="{00000000-0005-0000-0000-00001F000000}"/>
    <cellStyle name="ÄÞ¸¶ [0]_TestResults" xfId="39" xr:uid="{00000000-0005-0000-0000-000020000000}"/>
    <cellStyle name="ÄÞ¸¶_TestResults" xfId="40" xr:uid="{00000000-0005-0000-0000-000021000000}"/>
    <cellStyle name="auf tausender" xfId="653" xr:uid="{CE0A1E01-DDDE-46F4-B887-2C15331DC43D}"/>
    <cellStyle name="Availability" xfId="41" xr:uid="{00000000-0005-0000-0000-000022000000}"/>
    <cellStyle name="Bad" xfId="420" builtinId="27" customBuiltin="1"/>
    <cellStyle name="Bad 2" xfId="654" xr:uid="{E0556989-514E-4E7F-8FD7-8C123B66F010}"/>
    <cellStyle name="BalanceSheet" xfId="42" xr:uid="{00000000-0005-0000-0000-000023000000}"/>
    <cellStyle name="BlackTitle" xfId="43" xr:uid="{00000000-0005-0000-0000-000024000000}"/>
    <cellStyle name="Blank" xfId="44" xr:uid="{00000000-0005-0000-0000-000025000000}"/>
    <cellStyle name="blank 2" xfId="656" xr:uid="{67866F89-6B45-47B5-AFCA-1C558F9E1867}"/>
    <cellStyle name="Blank 3" xfId="657" xr:uid="{1175059C-EE09-48A4-AE61-D0BE62108ED2}"/>
    <cellStyle name="Blank 4" xfId="658" xr:uid="{69411565-26DE-4D05-8A9F-56F80C1D2FAA}"/>
    <cellStyle name="blank 5" xfId="655" xr:uid="{FBFA1FA5-AA76-4698-BBAA-C2B698B74E29}"/>
    <cellStyle name="blank 6" xfId="907" xr:uid="{B7720A5F-4859-4072-A500-4696164C7816}"/>
    <cellStyle name="blank 7" xfId="1372" xr:uid="{D82D6AA3-EF45-43AD-84BC-C4919206D951}"/>
    <cellStyle name="block" xfId="45" xr:uid="{00000000-0005-0000-0000-000026000000}"/>
    <cellStyle name="Blue" xfId="659" xr:uid="{B48DE089-AF23-4251-BC5B-E12CBD4BC8A2}"/>
    <cellStyle name="Blue Font" xfId="660" xr:uid="{9C45D865-B8A3-4DDB-848F-C528D79F84F6}"/>
    <cellStyle name="Blue Font 2" xfId="661" xr:uid="{50A5133F-B3CE-4291-B91B-0F39F7191F87}"/>
    <cellStyle name="Bold/Border" xfId="662" xr:uid="{30D7A9EE-D5D3-4C89-BB4F-9C89D38CF087}"/>
    <cellStyle name="Bold/Border 2" xfId="663" xr:uid="{C4B756D9-F2CE-4B82-93D3-D87C8E76C3C6}"/>
    <cellStyle name="bolet" xfId="664" xr:uid="{58126214-9EDA-4859-8DD5-50A3C73E438E}"/>
    <cellStyle name="Border Heavy" xfId="46" xr:uid="{00000000-0005-0000-0000-000027000000}"/>
    <cellStyle name="Border Thin" xfId="47" xr:uid="{00000000-0005-0000-0000-000028000000}"/>
    <cellStyle name="British Pound" xfId="48" xr:uid="{00000000-0005-0000-0000-000029000000}"/>
    <cellStyle name="Bullet" xfId="665" xr:uid="{C164EA54-9EDA-4BDB-960A-143D91B4B559}"/>
    <cellStyle name="Ç¥ÁØ_TestResults" xfId="49" xr:uid="{00000000-0005-0000-0000-00002A000000}"/>
    <cellStyle name="Cabe‡alho 1" xfId="666" xr:uid="{C6D1024E-4422-438E-8A6A-EAD333A2CB42}"/>
    <cellStyle name="Cabe‡alho 2" xfId="667" xr:uid="{D22F09E5-9252-4D55-8C8B-CAEA48D1E251}"/>
    <cellStyle name="Cabeçalho 1" xfId="668" xr:uid="{362B7A73-6F0C-4D22-A525-1DE5F01AA5DB}"/>
    <cellStyle name="Cabeçalho 1 2" xfId="669" xr:uid="{FEF05C90-E497-4C17-8478-F2A0F10FB04C}"/>
    <cellStyle name="Cabeçalho 2" xfId="670" xr:uid="{27BEEAFA-EB6F-4681-8477-340BD5F90B91}"/>
    <cellStyle name="Cabeçalho 2 2" xfId="671" xr:uid="{7D5623C2-4606-4D37-A609-C9EEC3D77E4A}"/>
    <cellStyle name="Cabecera 1" xfId="672" xr:uid="{C8682D93-C884-4787-8A0D-35F125A2CE3A}"/>
    <cellStyle name="Cabecera 2" xfId="673" xr:uid="{9CA573DD-E274-4317-9FEA-0D44EC27A22C}"/>
    <cellStyle name="Calc Currency (0)" xfId="674" xr:uid="{585A14E3-FEE8-48EB-A1A8-0F0E807ECD76}"/>
    <cellStyle name="Calcul" xfId="50" xr:uid="{00000000-0005-0000-0000-00002B000000}"/>
    <cellStyle name="Calculation" xfId="423" builtinId="22" customBuiltin="1"/>
    <cellStyle name="Calculation 2" xfId="675" xr:uid="{B1839B29-BD6C-4EF4-863A-92A049C74821}"/>
    <cellStyle name="CashFlow" xfId="51" xr:uid="{00000000-0005-0000-0000-00002C000000}"/>
    <cellStyle name="category" xfId="676" xr:uid="{527DD1E3-B57F-4812-B9F4-E8389F6DECB2}"/>
    <cellStyle name="Changeable" xfId="677" xr:uid="{E1A376D4-F6C6-41B6-98C1-4B8761AC716B}"/>
    <cellStyle name="Check" xfId="678" xr:uid="{024A7CD2-4255-42D5-B374-B38F7D1FB3F9}"/>
    <cellStyle name="Check Cell" xfId="425" builtinId="23" customBuiltin="1"/>
    <cellStyle name="Check Cell 2" xfId="679" xr:uid="{3B74B10E-B19E-423D-86B4-5FF02B09EEE8}"/>
    <cellStyle name="Checksum" xfId="52" xr:uid="{00000000-0005-0000-0000-00002D000000}"/>
    <cellStyle name="ColHeading" xfId="53" xr:uid="{00000000-0005-0000-0000-00002E000000}"/>
    <cellStyle name="Column Heading" xfId="54" xr:uid="{00000000-0005-0000-0000-00002F000000}"/>
    <cellStyle name="Column Heading (No Wrap)" xfId="55" xr:uid="{00000000-0005-0000-0000-000030000000}"/>
    <cellStyle name="Column Heading_SHEET" xfId="56" xr:uid="{00000000-0005-0000-0000-000031000000}"/>
    <cellStyle name="Column label" xfId="57" xr:uid="{00000000-0005-0000-0000-000032000000}"/>
    <cellStyle name="Column label (left aligned)" xfId="58" xr:uid="{00000000-0005-0000-0000-000033000000}"/>
    <cellStyle name="Column label (no wrap)" xfId="59" xr:uid="{00000000-0005-0000-0000-000034000000}"/>
    <cellStyle name="Column label (not bold)" xfId="60" xr:uid="{00000000-0005-0000-0000-000035000000}"/>
    <cellStyle name="Column label_sheet" xfId="61" xr:uid="{00000000-0005-0000-0000-000036000000}"/>
    <cellStyle name="Column Total" xfId="62" xr:uid="{00000000-0005-0000-0000-000037000000}"/>
    <cellStyle name="Column_Title" xfId="680" xr:uid="{BC3E2DC5-14E0-44C1-A749-12A8FDF74F3F}"/>
    <cellStyle name="Comma" xfId="1" builtinId="3"/>
    <cellStyle name="comma - number" xfId="63" xr:uid="{00000000-0005-0000-0000-000039000000}"/>
    <cellStyle name="Comma [0] 2" xfId="682" xr:uid="{2A443795-BE54-402F-8DF9-B61A19DD5257}"/>
    <cellStyle name="Comma [2]" xfId="64" xr:uid="{00000000-0005-0000-0000-00003A000000}"/>
    <cellStyle name="Comma 0" xfId="65" xr:uid="{00000000-0005-0000-0000-00003B000000}"/>
    <cellStyle name="Comma 0 2" xfId="684" xr:uid="{78587F9F-B986-4C03-9069-5F7A5B480FEC}"/>
    <cellStyle name="Comma 0 3" xfId="683" xr:uid="{D27AED3D-66B9-4AFF-9E3A-D04D0CA58205}"/>
    <cellStyle name="Comma 10" xfId="685" xr:uid="{9BE40B59-D96C-44C1-AF2A-5032270238D2}"/>
    <cellStyle name="Comma 11" xfId="686" xr:uid="{6C23476C-E210-49BB-9A76-845BC4E876C0}"/>
    <cellStyle name="Comma 12" xfId="687" xr:uid="{52FC4F38-9B89-42E4-A5C7-2ED808A555DA}"/>
    <cellStyle name="Comma 13" xfId="688" xr:uid="{E14DE6A3-2BD7-4186-9933-503AEF27935C}"/>
    <cellStyle name="Comma 14" xfId="689" xr:uid="{01BE9190-8852-477B-B30E-A74359646982}"/>
    <cellStyle name="Comma 15" xfId="690" xr:uid="{671D3062-8CF1-4D7B-8C1C-7F411698863B}"/>
    <cellStyle name="Comma 16" xfId="691" xr:uid="{5E337A08-5D7D-4341-A966-407B1F374442}"/>
    <cellStyle name="Comma 17" xfId="692" xr:uid="{363ADFD9-E8BB-4726-8334-0E68ABC98EBF}"/>
    <cellStyle name="Comma 18" xfId="693" xr:uid="{A2A5E8FB-10BB-40DF-9AB5-FA23AF74C7FD}"/>
    <cellStyle name="Comma 19" xfId="694" xr:uid="{06418E72-5354-4310-B29E-7AA6FA11F73D}"/>
    <cellStyle name="Comma 2" xfId="66" xr:uid="{00000000-0005-0000-0000-00003C000000}"/>
    <cellStyle name="Comma 2 2" xfId="696" xr:uid="{55E456CE-D828-4E35-9DC3-310C8479EB9C}"/>
    <cellStyle name="Comma 2 2 2" xfId="697" xr:uid="{25358B49-D008-4258-B303-AFEBEAA3097D}"/>
    <cellStyle name="Comma 2 3" xfId="698" xr:uid="{E3CDF27D-BA2C-4909-A160-387A6EC80033}"/>
    <cellStyle name="Comma 2 4" xfId="699" xr:uid="{EB47310F-66DF-40AE-A9F7-3F88BA4C73EA}"/>
    <cellStyle name="Comma 2 5" xfId="700" xr:uid="{06BC8C9B-D6D4-4169-A289-0C5F87B9892F}"/>
    <cellStyle name="Comma 2 6" xfId="701" xr:uid="{727C04BA-4CE9-4D96-9ED8-E7CF1E6628EC}"/>
    <cellStyle name="Comma 2 7" xfId="695" xr:uid="{CE0E8DA5-C184-45AD-A91D-308F1C452F29}"/>
    <cellStyle name="Comma 20" xfId="702" xr:uid="{1CFE9E10-011C-4289-86C6-4C61F4CEAB44}"/>
    <cellStyle name="Comma 21" xfId="703" xr:uid="{69628077-CA3C-4E81-84FB-BF6B762FB966}"/>
    <cellStyle name="Comma 22" xfId="681" xr:uid="{14489FE6-9A77-426A-A99D-918C749BAF6E}"/>
    <cellStyle name="Comma 23" xfId="776" xr:uid="{6F7A5031-A557-4F04-B3A0-A279D9AA39C4}"/>
    <cellStyle name="Comma 24" xfId="1371" xr:uid="{7B84DBE6-0FA3-42EB-BA1C-74176C1C5841}"/>
    <cellStyle name="Comma 3" xfId="67" xr:uid="{00000000-0005-0000-0000-00003D000000}"/>
    <cellStyle name="Comma 3 2" xfId="411" xr:uid="{1E8B58FF-0D8C-4FBD-B6ED-261E1B981ADB}"/>
    <cellStyle name="Comma 3 2 2" xfId="705" xr:uid="{05688768-B68B-4A50-9C1A-14033690B010}"/>
    <cellStyle name="Comma 3 3" xfId="706" xr:uid="{B226091A-0280-4949-8639-57EA6FBA10A6}"/>
    <cellStyle name="Comma 3 4" xfId="707" xr:uid="{529F92C6-9FA8-4764-BB24-723307E34E51}"/>
    <cellStyle name="Comma 3 5" xfId="704" xr:uid="{C1BABFBB-76A3-4EC2-99FB-AEA5CB1EC36C}"/>
    <cellStyle name="Comma 31" xfId="708" xr:uid="{B764AF92-8056-4E2C-AC34-D81D182F512B}"/>
    <cellStyle name="Comma 4" xfId="68" xr:uid="{00000000-0005-0000-0000-00003E000000}"/>
    <cellStyle name="Comma 4 2" xfId="710" xr:uid="{B00866FF-F2A9-4C4C-BB7E-8A364F914765}"/>
    <cellStyle name="Comma 4 3" xfId="711" xr:uid="{B17752CC-11B7-40B3-ADE5-9DBA8E15F6BF}"/>
    <cellStyle name="Comma 4 4" xfId="712" xr:uid="{30CBF9E7-E6DC-49B9-B26D-339C3B74BF50}"/>
    <cellStyle name="Comma 4 5" xfId="709" xr:uid="{DCEF6AA4-4269-412A-84E3-17D493A7C71C}"/>
    <cellStyle name="Comma 5" xfId="713" xr:uid="{08E04FE1-B7BF-4558-92C0-6C65C5B3B793}"/>
    <cellStyle name="Comma 5 2" xfId="714" xr:uid="{29F72D54-C7BE-40AD-A538-06CA28CFB625}"/>
    <cellStyle name="Comma 6" xfId="715" xr:uid="{DA31FD0F-5B7E-4C21-B44D-ADF42E1FF504}"/>
    <cellStyle name="Comma 6 2" xfId="716" xr:uid="{8FB3F5EB-4129-4620-80BA-A7D118862EDB}"/>
    <cellStyle name="Comma 7" xfId="717" xr:uid="{BDFA0B69-48FE-4153-90B6-04AF336F6296}"/>
    <cellStyle name="Comma 8" xfId="718" xr:uid="{B5A6D80F-1790-4390-8AC6-7AEF2AE56B06}"/>
    <cellStyle name="Comma 9" xfId="719" xr:uid="{459013FE-915F-4C85-8CD6-557B745F39F8}"/>
    <cellStyle name="Comma(1)" xfId="69" xr:uid="{00000000-0005-0000-0000-00003F000000}"/>
    <cellStyle name="Comma, 1 dec" xfId="70" xr:uid="{00000000-0005-0000-0000-000040000000}"/>
    <cellStyle name="Comma_BT3" xfId="7" xr:uid="{00000000-0005-0000-0000-000041000000}"/>
    <cellStyle name="Comma0" xfId="71" xr:uid="{00000000-0005-0000-0000-000042000000}"/>
    <cellStyle name="Comma0 - Estilo1" xfId="721" xr:uid="{04A40758-0281-47B7-9420-ADF0087445C5}"/>
    <cellStyle name="Comma0 - Estilo1 2" xfId="722" xr:uid="{0BE1D118-A198-4090-AFD2-3C1056502392}"/>
    <cellStyle name="Comma0 - Estilo2" xfId="723" xr:uid="{66D827F4-D666-4201-B4EA-D75EAA62D4C6}"/>
    <cellStyle name="Comma0 - Estilo2 2" xfId="724" xr:uid="{4A524B48-0833-46D8-A1F0-FA3AF515B840}"/>
    <cellStyle name="Comma0 - Modelo1" xfId="725" xr:uid="{31AE2C39-EE81-42DF-BAF5-F94BBBAD4A7E}"/>
    <cellStyle name="Comma0 - Modelo1 2" xfId="726" xr:uid="{526CFE49-5F47-48B7-B769-C526CBE3519B}"/>
    <cellStyle name="Comma0 - Modelo2" xfId="727" xr:uid="{B54BC70F-598B-4ED8-A6EE-B81F3EED5224}"/>
    <cellStyle name="Comma0 - Style1" xfId="728" xr:uid="{3A52EFE2-F4EB-4CD8-B271-99C488214AD8}"/>
    <cellStyle name="Comma0 - Style1 2" xfId="729" xr:uid="{A430E294-EE80-45E6-88BA-AAA9487823E0}"/>
    <cellStyle name="Comma0 10" xfId="1370" xr:uid="{3D03C8A5-66C3-4D21-838B-773128E17A1C}"/>
    <cellStyle name="Comma0 2" xfId="730" xr:uid="{657968FF-DC53-4F67-8CD8-8CEEE6BEF312}"/>
    <cellStyle name="Comma0 2 2" xfId="731" xr:uid="{DF2F10E9-7577-4BC7-A425-A855F75B975D}"/>
    <cellStyle name="Comma0 3" xfId="732" xr:uid="{9BC7C7AE-B68A-4B2D-B15C-A26A2445F5DC}"/>
    <cellStyle name="Comma0 3 2" xfId="733" xr:uid="{DC8265AB-3A6D-48E2-901F-91A0CBC6593C}"/>
    <cellStyle name="Comma0 4" xfId="734" xr:uid="{DAD4D986-97F1-4AE1-9D3D-E505AD45E1F5}"/>
    <cellStyle name="Comma0 4 2" xfId="735" xr:uid="{FE09D04F-8B22-4263-ACCB-98E9797A6173}"/>
    <cellStyle name="Comma0 5" xfId="736" xr:uid="{1259ED0D-F110-40E2-B8E3-76D06E8B8A71}"/>
    <cellStyle name="Comma0 6" xfId="737" xr:uid="{AB040531-CC1F-41F6-91F4-EE5B8832AD93}"/>
    <cellStyle name="Comma0 7" xfId="738" xr:uid="{56D4464B-7566-4121-BCC7-29280D99ADD6}"/>
    <cellStyle name="Comma0 8" xfId="720" xr:uid="{D55CCF8B-155B-4482-A909-75D5C8DDB766}"/>
    <cellStyle name="Comma0 9" xfId="652" xr:uid="{E8B823CE-CE79-4683-A037-C34917405439}"/>
    <cellStyle name="Comma0_Ind_Fisicos_May" xfId="739" xr:uid="{C22FB6E1-8EC5-490A-87F6-1A9D18F5C83B}"/>
    <cellStyle name="Comma1 - Modelo2" xfId="740" xr:uid="{31C2EE90-87D9-4CC5-A82B-F58EA3A62B52}"/>
    <cellStyle name="Comma1 - Modelo2 2" xfId="741" xr:uid="{D7800F29-2874-4678-AB75-1BE1B495CE1C}"/>
    <cellStyle name="Comma1 - Style2" xfId="742" xr:uid="{1646384C-653C-4D5A-BD47-84EF235CED8E}"/>
    <cellStyle name="Comma1 - Style2 2" xfId="743" xr:uid="{7A49A46D-30A2-4AA4-9BC6-1BBF2DA1A4F6}"/>
    <cellStyle name="Company" xfId="72" xr:uid="{00000000-0005-0000-0000-000043000000}"/>
    <cellStyle name="Company Name" xfId="744" xr:uid="{1DA9E4BD-0819-4624-929E-48E5EBAEA7C8}"/>
    <cellStyle name="COMUN" xfId="745" xr:uid="{61057B77-1BBF-455B-8C98-78FE0987A01B}"/>
    <cellStyle name="Cover Date" xfId="73" xr:uid="{00000000-0005-0000-0000-000044000000}"/>
    <cellStyle name="Cover Subtitle" xfId="74" xr:uid="{00000000-0005-0000-0000-000045000000}"/>
    <cellStyle name="Cover Title" xfId="75" xr:uid="{00000000-0005-0000-0000-000046000000}"/>
    <cellStyle name="Cuadro 1" xfId="746" xr:uid="{78AA0AD8-4F9D-415F-9403-BA07C38AF65C}"/>
    <cellStyle name="Cuadro 1 2" xfId="747" xr:uid="{1FE64C2B-70FA-4A28-9EEE-319BF1607886}"/>
    <cellStyle name="CurRatio" xfId="76" xr:uid="{00000000-0005-0000-0000-000047000000}"/>
    <cellStyle name="Currency - Euro" xfId="77" xr:uid="{00000000-0005-0000-0000-000048000000}"/>
    <cellStyle name="Currency (2dp)" xfId="78" xr:uid="{00000000-0005-0000-0000-000049000000}"/>
    <cellStyle name="Currency [0] - Euro" xfId="79" xr:uid="{00000000-0005-0000-0000-00004A000000}"/>
    <cellStyle name="Currency [0] 2" xfId="748" xr:uid="{65C638D9-74BB-40C5-88DA-600614D05D8C}"/>
    <cellStyle name="Currency [1]" xfId="80" xr:uid="{00000000-0005-0000-0000-00004B000000}"/>
    <cellStyle name="Currency [2]" xfId="81" xr:uid="{00000000-0005-0000-0000-00004C000000}"/>
    <cellStyle name="Currency [2] 2" xfId="750" xr:uid="{BE2AD197-6405-4482-8292-CCC98D596FB8}"/>
    <cellStyle name="Currency [2] 3" xfId="751" xr:uid="{764CAA4F-D731-465D-94CC-0F6B3753DB88}"/>
    <cellStyle name="Currency [2] 4" xfId="749" xr:uid="{0458AD3F-BFD0-4EFE-920A-8D471D13CDC2}"/>
    <cellStyle name="Currency 0" xfId="82" xr:uid="{00000000-0005-0000-0000-00004D000000}"/>
    <cellStyle name="Currency 0 2" xfId="753" xr:uid="{D29C4000-2BA8-438D-9635-88FC4795129C}"/>
    <cellStyle name="Currency 0 3" xfId="752" xr:uid="{1EF8C839-8F46-4306-803A-1CAA33A8D4E7}"/>
    <cellStyle name="Currency 10" xfId="754" xr:uid="{5831D973-123F-42FC-8914-3957D155DB06}"/>
    <cellStyle name="Currency 11" xfId="755" xr:uid="{89AB8904-96B0-4C82-8024-429C845D9489}"/>
    <cellStyle name="Currency 12" xfId="756" xr:uid="{D911289B-ED7D-4E71-A342-0802EFA2B530}"/>
    <cellStyle name="Currency 13" xfId="757" xr:uid="{F6424BE5-3A8B-414A-A505-B9F1D32215F4}"/>
    <cellStyle name="Currency 14" xfId="758" xr:uid="{2A897BB3-D660-44A5-B490-76F190A10B2D}"/>
    <cellStyle name="Currency 15" xfId="759" xr:uid="{E578AF1E-DF9C-48A7-9ED3-48C21BB3E25C}"/>
    <cellStyle name="Currency 16" xfId="760" xr:uid="{77815E4E-116F-4A5C-8DB4-2885C19416B5}"/>
    <cellStyle name="Currency 17" xfId="761" xr:uid="{8F9E8EB0-6DCE-4301-9C42-5D1582A98E2F}"/>
    <cellStyle name="Currency 18" xfId="762" xr:uid="{649EDEC6-9E19-44AE-8E26-338AD3A56ED2}"/>
    <cellStyle name="Currency 19" xfId="763" xr:uid="{37A6C58C-F1BA-498E-8BEF-28DDE7B663C9}"/>
    <cellStyle name="Currency 2" xfId="83" xr:uid="{00000000-0005-0000-0000-00004E000000}"/>
    <cellStyle name="Currency 2 2" xfId="765" xr:uid="{6239419D-A8B4-4493-94AD-8201165B716D}"/>
    <cellStyle name="Currency 2 3" xfId="766" xr:uid="{61E37F47-AB2B-47BF-807C-3D612F1CC358}"/>
    <cellStyle name="Currency 2 4" xfId="764" xr:uid="{1AE8213E-1CCA-4A4E-829A-900D93AC25BA}"/>
    <cellStyle name="Currency 20" xfId="767" xr:uid="{85F4D85D-15BD-4026-BA27-B2DF7D24783B}"/>
    <cellStyle name="Currency 21" xfId="768" xr:uid="{F81317D1-4976-4739-9500-5157F5B1C2FF}"/>
    <cellStyle name="Currency 3" xfId="769" xr:uid="{F644D185-EB1F-4E08-912A-5D58C11D2373}"/>
    <cellStyle name="Currency 4" xfId="770" xr:uid="{E08CC9E9-78FB-4215-BD5F-84985490F333}"/>
    <cellStyle name="Currency 5" xfId="771" xr:uid="{B02A34AF-68DE-4F37-88C2-6E8974B22508}"/>
    <cellStyle name="Currency 6" xfId="772" xr:uid="{E5EDFE2F-3ADC-416A-B0AC-D2305D2F69AD}"/>
    <cellStyle name="Currency 7" xfId="773" xr:uid="{1F5F1B86-C477-4B0C-87E0-60B00651602B}"/>
    <cellStyle name="Currency 8" xfId="774" xr:uid="{19AFF7AB-7B88-4D9D-95F7-41B126C75E10}"/>
    <cellStyle name="Currency 9" xfId="775" xr:uid="{2FAE43A4-F98A-4C34-8C8D-CCEDB34610C6}"/>
    <cellStyle name="Currency Dollar" xfId="84" xr:uid="{00000000-0005-0000-0000-00004F000000}"/>
    <cellStyle name="Currency Dollar (2dp)" xfId="85" xr:uid="{00000000-0005-0000-0000-000050000000}"/>
    <cellStyle name="Currency EUR" xfId="86" xr:uid="{00000000-0005-0000-0000-000051000000}"/>
    <cellStyle name="Currency EUR (2dp)" xfId="87" xr:uid="{00000000-0005-0000-0000-000052000000}"/>
    <cellStyle name="Currency Euro" xfId="88" xr:uid="{00000000-0005-0000-0000-000053000000}"/>
    <cellStyle name="Currency Euro (2dp)" xfId="89" xr:uid="{00000000-0005-0000-0000-000054000000}"/>
    <cellStyle name="Currency GBP" xfId="90" xr:uid="{00000000-0005-0000-0000-000055000000}"/>
    <cellStyle name="Currency GBP (2dp)" xfId="91" xr:uid="{00000000-0005-0000-0000-000056000000}"/>
    <cellStyle name="Currency Pound" xfId="92" xr:uid="{00000000-0005-0000-0000-000057000000}"/>
    <cellStyle name="Currency Pound (2dp)" xfId="93" xr:uid="{00000000-0005-0000-0000-000058000000}"/>
    <cellStyle name="Currency USD" xfId="94" xr:uid="{00000000-0005-0000-0000-000059000000}"/>
    <cellStyle name="Currency USD (2dp)" xfId="95" xr:uid="{00000000-0005-0000-0000-00005A000000}"/>
    <cellStyle name="Currency0" xfId="96" xr:uid="{00000000-0005-0000-0000-00005B000000}"/>
    <cellStyle name="CustomStyle1" xfId="777" xr:uid="{5C36C6E3-42B1-4F91-99F3-FB2CD0F2661A}"/>
    <cellStyle name="CustomStyle10" xfId="778" xr:uid="{FAEECF3F-47A5-4F85-A586-1F37D3577669}"/>
    <cellStyle name="CustomStyle15" xfId="779" xr:uid="{7D7C98AF-9CB7-48C6-8C84-496F735613B8}"/>
    <cellStyle name="Dash" xfId="780" xr:uid="{DFF63640-3C0F-4D46-98EF-15F0F6F33154}"/>
    <cellStyle name="Data" xfId="781" xr:uid="{62A45D66-9228-41A0-B47A-816F8B604D1B}"/>
    <cellStyle name="Data 2" xfId="782" xr:uid="{8C52561A-4608-4F00-A6CE-B26276F5E930}"/>
    <cellStyle name="Date" xfId="97" xr:uid="{00000000-0005-0000-0000-00005C000000}"/>
    <cellStyle name="Date - Estilo1" xfId="784" xr:uid="{136784E3-CD7F-48E3-A82F-DC4F14F2AA89}"/>
    <cellStyle name="Date - Estilo1 2" xfId="785" xr:uid="{5957392F-8420-4C58-9C7D-DF0262672435}"/>
    <cellStyle name="Date (Month)" xfId="98" xr:uid="{00000000-0005-0000-0000-00005D000000}"/>
    <cellStyle name="Date (Year)" xfId="99" xr:uid="{00000000-0005-0000-0000-00005E000000}"/>
    <cellStyle name="Date [d-mmm-yy]" xfId="100" xr:uid="{00000000-0005-0000-0000-00005F000000}"/>
    <cellStyle name="Date [mm-d-yy]" xfId="101" xr:uid="{00000000-0005-0000-0000-000060000000}"/>
    <cellStyle name="Date [mm-d-yyyy]" xfId="102" xr:uid="{00000000-0005-0000-0000-000061000000}"/>
    <cellStyle name="Date [mmm-d-yyyy]" xfId="103" xr:uid="{00000000-0005-0000-0000-000062000000}"/>
    <cellStyle name="Date [mmm-yy]" xfId="104" xr:uid="{00000000-0005-0000-0000-000063000000}"/>
    <cellStyle name="Date [mmm-yyyy]" xfId="105" xr:uid="{00000000-0005-0000-0000-000064000000}"/>
    <cellStyle name="Date 2" xfId="786" xr:uid="{0D42DF62-F376-41E0-B7EF-74C9EF40CADE}"/>
    <cellStyle name="Date 3" xfId="787" xr:uid="{A8205534-1912-481D-BE49-98B67DC2E008}"/>
    <cellStyle name="Date 4" xfId="783" xr:uid="{F7381C25-3408-4E95-8DDC-78314A6D8200}"/>
    <cellStyle name="Date 5" xfId="1359" xr:uid="{3C5D3348-E901-49EA-8AF7-4912C9AEEF14}"/>
    <cellStyle name="Date 6" xfId="1366" xr:uid="{861A6FED-3CCE-4B72-909A-9C869F2AB895}"/>
    <cellStyle name="Date Aligned" xfId="106" xr:uid="{00000000-0005-0000-0000-000065000000}"/>
    <cellStyle name="Date Aligned 2" xfId="789" xr:uid="{7F33B82F-B7DA-4573-A94B-5CD926D5E07B}"/>
    <cellStyle name="Date Aligned 3" xfId="788" xr:uid="{4CC78DE2-1684-46AB-9EF2-001951A63135}"/>
    <cellStyle name="Date_BT2" xfId="107" xr:uid="{00000000-0005-0000-0000-000066000000}"/>
    <cellStyle name="Date2" xfId="108" xr:uid="{00000000-0005-0000-0000-000067000000}"/>
    <cellStyle name="Dates" xfId="109" xr:uid="{00000000-0005-0000-0000-000068000000}"/>
    <cellStyle name="DateYear" xfId="110" xr:uid="{00000000-0005-0000-0000-000069000000}"/>
    <cellStyle name="Déprotégée" xfId="111" xr:uid="{00000000-0005-0000-0000-00006A000000}"/>
    <cellStyle name="desppag" xfId="790" xr:uid="{9357424D-C805-476F-85CA-900DA09357AD}"/>
    <cellStyle name="desppag 2" xfId="791" xr:uid="{128BAFF8-E408-43CD-9850-B4C34E7B4FCB}"/>
    <cellStyle name="Devise" xfId="112" xr:uid="{00000000-0005-0000-0000-00006B000000}"/>
    <cellStyle name="Dezimal (0.0)" xfId="113" xr:uid="{00000000-0005-0000-0000-00006C000000}"/>
    <cellStyle name="Dezimal [0]_Compiling Utility Macros" xfId="792" xr:uid="{B84D8073-EFE0-4C4D-BF5C-1BEB2B0DCF0E}"/>
    <cellStyle name="Dezimal_Compiling Utility Macros" xfId="793" xr:uid="{F00DEAAD-DDA3-4DB3-B711-A3AED3DC4F16}"/>
    <cellStyle name="Dia" xfId="794" xr:uid="{0AC1A00E-0C43-47A4-ACE9-349D5F7F4AFB}"/>
    <cellStyle name="Dia 2" xfId="795" xr:uid="{C5E2D2A2-B0DF-49CF-9EBA-8326F3CA6D6D}"/>
    <cellStyle name="Diseño" xfId="796" xr:uid="{9FBB3F00-A972-40BC-B2CD-A039FCCF5532}"/>
    <cellStyle name="Diseño 2" xfId="797" xr:uid="{F5E8D224-86BC-4D54-8F99-FC8C24E1169F}"/>
    <cellStyle name="Diseño 2 2" xfId="798" xr:uid="{9E6F6712-DAC9-487D-9567-AE36EE19012D}"/>
    <cellStyle name="Diseño 3" xfId="799" xr:uid="{97EC4442-4D08-4E44-9904-7CAB36B76182}"/>
    <cellStyle name="Diseño 4" xfId="800" xr:uid="{86838953-76E2-4858-9E10-EA6D2504F254}"/>
    <cellStyle name="divisao" xfId="801" xr:uid="{69582573-5173-4116-BC20-ADAA5048BDF3}"/>
    <cellStyle name="Dollar" xfId="114" xr:uid="{00000000-0005-0000-0000-00006D000000}"/>
    <cellStyle name="Dollar 2" xfId="803" xr:uid="{DED7288D-95B4-445F-861E-6CF64AAD9184}"/>
    <cellStyle name="Dollar 3" xfId="802" xr:uid="{CC4BD6D6-6371-40B6-AEEC-EE0FAAD8766A}"/>
    <cellStyle name="dollars" xfId="115" xr:uid="{00000000-0005-0000-0000-00006E000000}"/>
    <cellStyle name="DollarWhole" xfId="116" xr:uid="{00000000-0005-0000-0000-00006F000000}"/>
    <cellStyle name="Dotted Line" xfId="117" xr:uid="{00000000-0005-0000-0000-000070000000}"/>
    <cellStyle name="Dotted Line 2" xfId="805" xr:uid="{895ED45E-DB5F-4B1D-A1DE-9DD04C2FE108}"/>
    <cellStyle name="Dotted Line 3" xfId="804" xr:uid="{9A4D5DEE-34E1-4C88-B71F-A51407AE5E08}"/>
    <cellStyle name="Double Accounting" xfId="118" xr:uid="{00000000-0005-0000-0000-000071000000}"/>
    <cellStyle name="Driver" xfId="119" xr:uid="{00000000-0005-0000-0000-000072000000}"/>
    <cellStyle name="Driver Lable" xfId="120" xr:uid="{00000000-0005-0000-0000-000073000000}"/>
    <cellStyle name="drivers" xfId="806" xr:uid="{790967D4-AE75-4531-B6FA-6A328F5C9FF7}"/>
    <cellStyle name="Encabez1" xfId="807" xr:uid="{036AF15D-D035-4CEB-9A02-5727B5A6512A}"/>
    <cellStyle name="Encabez1 2" xfId="808" xr:uid="{EE1A8294-A271-4315-9880-7147AA00D518}"/>
    <cellStyle name="Encabez2" xfId="809" xr:uid="{BE57BCA0-33AC-4567-B31C-3139CBE1C97A}"/>
    <cellStyle name="Encabez2 2" xfId="810" xr:uid="{03932138-94C7-4B7D-8CD1-AA50B051C068}"/>
    <cellStyle name="Entités" xfId="121" xr:uid="{00000000-0005-0000-0000-000074000000}"/>
    <cellStyle name="EPS" xfId="122" xr:uid="{00000000-0005-0000-0000-000075000000}"/>
    <cellStyle name="EPSActual" xfId="123" xr:uid="{00000000-0005-0000-0000-000076000000}"/>
    <cellStyle name="EPSEstimate" xfId="124" xr:uid="{00000000-0005-0000-0000-000077000000}"/>
    <cellStyle name="Est - $" xfId="125" xr:uid="{00000000-0005-0000-0000-000078000000}"/>
    <cellStyle name="Est - $ 2" xfId="811" xr:uid="{96441C64-84D2-4275-B7AA-03DEECD05F3C}"/>
    <cellStyle name="Est - %" xfId="126" xr:uid="{00000000-0005-0000-0000-000079000000}"/>
    <cellStyle name="Est - % 2" xfId="812" xr:uid="{1DF3D320-2409-4B65-84F4-E2390FF3800E}"/>
    <cellStyle name="Est 0,000.0" xfId="127" xr:uid="{00000000-0005-0000-0000-00007A000000}"/>
    <cellStyle name="Est 0,000.0 2" xfId="813" xr:uid="{B39B06BD-6C22-4012-8B29-5AD10B8A7797}"/>
    <cellStyle name="Estilo 1" xfId="814" xr:uid="{3C45FE44-50DB-4CBC-9D71-6F626F5D1548}"/>
    <cellStyle name="Estilo 1 2" xfId="815" xr:uid="{68E7C648-226C-4DD0-9A7E-B612F1022653}"/>
    <cellStyle name="Estilo 1 3" xfId="816" xr:uid="{75CC8B75-1303-49D2-9456-061D48C63E49}"/>
    <cellStyle name="Estilo 2" xfId="817" xr:uid="{815C25CE-C979-4E77-9F37-863B3F25E0D8}"/>
    <cellStyle name="Estilo 2 2" xfId="818" xr:uid="{9BC9EC6B-54A0-4607-AA44-1641EAB82832}"/>
    <cellStyle name="Euro" xfId="128" xr:uid="{00000000-0005-0000-0000-00007B000000}"/>
    <cellStyle name="Euro 2" xfId="820" xr:uid="{5330E9A8-58C3-47A9-B23D-63F9D4CC2B8C}"/>
    <cellStyle name="Euro 2 2" xfId="821" xr:uid="{32442CC4-0D16-454D-B464-68E25035F749}"/>
    <cellStyle name="Euro 3" xfId="822" xr:uid="{4D6A4E7C-294F-4435-9D14-14E4E3D0B2F5}"/>
    <cellStyle name="Euro 4" xfId="823" xr:uid="{B0605908-1E8C-4291-85A1-5DB3C563C7C5}"/>
    <cellStyle name="Euro 5" xfId="819" xr:uid="{4784B7C8-5CF9-465B-9E01-9EA5A6413514}"/>
    <cellStyle name="Excel.Chart" xfId="824" xr:uid="{BDD811B8-70E9-4EBE-988B-7D8D628110B1}"/>
    <cellStyle name="Explanatory Text" xfId="427" builtinId="53" customBuiltin="1"/>
    <cellStyle name="Explanatory Text 2" xfId="825" xr:uid="{29AE4373-95BF-4CFB-8D19-B227B84A8481}"/>
    <cellStyle name="EY House" xfId="826" xr:uid="{2C681683-AF6C-4259-ADBB-054A58971B2D}"/>
    <cellStyle name="EY House 2" xfId="827" xr:uid="{B04A4828-0239-4EDF-827C-550F2A7620AF}"/>
    <cellStyle name="f" xfId="828" xr:uid="{32D9D452-BE39-43CB-BBB8-A8648DB769E1}"/>
    <cellStyle name="f 2" xfId="829" xr:uid="{FCB21A2D-2838-43DC-A499-F0289E79378A}"/>
    <cellStyle name="f_2 - Brasilcel 401 402 Maio.06" xfId="830" xr:uid="{5F8F3B60-C66D-4921-9544-653ACCDEA598}"/>
    <cellStyle name="f_3 - Ricardo - Brasilcel Junho-05 EITF" xfId="831" xr:uid="{6B9A9EC4-0957-4429-981B-118CE334B650}"/>
    <cellStyle name="f_6 - Brasilcel 401 402 - mar 06 FINAL" xfId="832" xr:uid="{FCD4FF24-25FD-4DB2-AFAE-495ABA32C4A9}"/>
    <cellStyle name="f_BASE VIVO 311203 - Val II" xfId="833" xr:uid="{DE16A670-2753-4582-82E3-5BF7AA8C2FAC}"/>
    <cellStyle name="f_Brasilcel 401 402 - mar 06 FINAL" xfId="834" xr:uid="{2AE1D881-3843-4297-A47F-F69343E3E686}"/>
    <cellStyle name="f_Brasilcel mar05 FINAL enviado" xfId="835" xr:uid="{638A48C6-6022-475D-9415-F1C4DBBB3DBA}"/>
    <cellStyle name="f_Concessão Licença" xfId="836" xr:uid="{F345FC13-1F84-48CF-B54D-B46DB3E3C469}"/>
    <cellStyle name="f_Concessão Licença 2" xfId="837" xr:uid="{E687CBE8-259A-4E2D-9C9C-5AB3A3FC14E0}"/>
    <cellStyle name="f_leasing TCO dez.03 a set.04 V.T-gestiona FEV.05 (ESTIMATIVA)" xfId="838" xr:uid="{4790F994-5FD6-49FD-8101-DDFB938F13EC}"/>
    <cellStyle name="f_Minoritários 0604 da v. ALEJANDRO final II" xfId="839" xr:uid="{9AC9A8AE-09B7-4949-8A0D-FEA47942865C}"/>
    <cellStyle name="f_Minoritários Brasilcel mar 05" xfId="840" xr:uid="{8A28E5E2-6944-4D40-9FE0-370101E9DA5A}"/>
    <cellStyle name="f_Minoritários Brasilcel mar 05 2" xfId="841" xr:uid="{E8AF6DA3-D911-4909-BC84-DFA5D081A228}"/>
    <cellStyle name="f_Mod.proposto Espanha Brasilcel dez.03 IV" xfId="842" xr:uid="{A036298E-B324-4A95-BE8F-F35A27E85861}"/>
    <cellStyle name="f_Planilha TCP Holding IAS set.04 - após revisão espanha" xfId="843" xr:uid="{8B884AE0-FBBE-4F16-889F-B9B8AC327B4F}"/>
    <cellStyle name="f_Planilha TCP Holding IAS set.04 - após revisão espanha 2" xfId="844" xr:uid="{C4A1C060-0A91-41E2-B1DC-08402EA76A8E}"/>
    <cellStyle name="f_Planilha TCP Holding IAS set.04 - após revisão espanha I" xfId="845" xr:uid="{7AA1909B-6D11-4480-9F00-5CAD777C0DDB}"/>
    <cellStyle name="f_Planilha TCP Holding IAS set.04 - após revisão espanha I 2" xfId="846" xr:uid="{1F3AB036-488E-4909-BB10-EC9FF5F746A3}"/>
    <cellStyle name="f_Recon. GT  set.04 após revisão Espanha" xfId="847" xr:uid="{193CD709-2D1F-42B4-8158-F33EDE1B062C}"/>
    <cellStyle name="f_Recon. GT  set.04 após revisão Espanha 2" xfId="848" xr:uid="{2B056C06-406C-497C-8778-070057E30145}"/>
    <cellStyle name="f_Recon. GT  set.04 após revisão Espanha I" xfId="849" xr:uid="{C559CCA2-46F8-484F-A82B-B0CAEEF8F1BD}"/>
    <cellStyle name="f_Recon. GT  set.04 após revisão Espanha I 2" xfId="850" xr:uid="{392B201C-EE21-4B50-94D8-0B6FD3EB1B30}"/>
    <cellStyle name="f_Recon. set.04 TCO após revisão Spanish I" xfId="851" xr:uid="{677888DF-A14F-4382-9910-203B8800226F}"/>
    <cellStyle name="f_Recon. set.04 TCO após revisão Spanish I 2" xfId="852" xr:uid="{214A2114-B512-4063-9BB6-7B7795A3D2ED}"/>
    <cellStyle name="f_Template IAS TCP - março.04 após rev.Esp." xfId="853" xr:uid="{1A284838-CC28-4E2E-ADAE-998B3206AE78}"/>
    <cellStyle name="f_Template IAS TCP - março.04 após rev.Esp.1" xfId="854" xr:uid="{CBCED005-1C1D-41CE-928F-C53881779E09}"/>
    <cellStyle name="f_Template IAS TCP Consol. set.04" xfId="855" xr:uid="{EE3ADD9B-223B-4647-A1A2-831B880781CE}"/>
    <cellStyle name="f_Template IAS TCP Consol. set.04 após rev.Esp." xfId="856" xr:uid="{648BA2C5-55F8-4C9E-BFCC-771356AB48A6}"/>
    <cellStyle name="f_Template IAS TCP Consol. set.041" xfId="857" xr:uid="{1F8C7D55-2961-4149-944E-96BC237F631E}"/>
    <cellStyle name="f_Template IAS TCP Consol. set.042" xfId="858" xr:uid="{B114C32D-87BC-4543-B90F-83A714CD3F5E}"/>
    <cellStyle name="f_Template TC set.04 após revisão espanha" xfId="859" xr:uid="{0759D34A-9682-4DAC-9363-BD74005D5167}"/>
    <cellStyle name="f_Template TC set.04 após revisão espanha 2" xfId="860" xr:uid="{104786EE-13A4-4DAC-BDFB-CB375A606C65}"/>
    <cellStyle name="f_Template TC set.04 após revisão espanha I" xfId="861" xr:uid="{5FDD7FC7-3D78-450A-8754-8376E0069513}"/>
    <cellStyle name="f_Template TC set.04 após revisão espanha I 2" xfId="862" xr:uid="{0C30D128-2E1B-4983-BD28-7F6A4D39D700}"/>
    <cellStyle name="f_Template TCP MAR 05" xfId="863" xr:uid="{CCE6C314-0F05-402F-998D-D7C8F6E881CF}"/>
    <cellStyle name="f_Template TCP MAR 05 2" xfId="864" xr:uid="{8D937D8F-7882-4BE5-B710-5EB6D96D4851}"/>
    <cellStyle name="f_Templates IAS TCP - junho.04 c. e_sif" xfId="865" xr:uid="{24CCBBA0-8A7E-4749-A167-AA87804A1D9C}"/>
    <cellStyle name="f_Templates IAS TCP - junho.04 c. e_sif reclassif. 14.09" xfId="866" xr:uid="{232BC468-66AE-4686-9DAB-AD13848BA00A}"/>
    <cellStyle name="f_Templates IAS TCP jun.04 Consol.após rev.espanha" xfId="867" xr:uid="{22F87B15-923D-415A-AE39-28ECDC2DECE4}"/>
    <cellStyle name="f_Templates IAS TCP jun.04 Consol.após rev.espanha1" xfId="868" xr:uid="{2EA6F545-08E0-4F65-ACCC-02068949C099}"/>
    <cellStyle name="f_Worksheet in (C)   IAS Dezembro_03" xfId="869" xr:uid="{9E62705C-D635-4A38-97E1-3D1315865004}"/>
    <cellStyle name="f_Worksheet in (C) 2241 IAS Dezembro_03" xfId="870" xr:uid="{39F709FB-ED11-4E5A-87BA-B0462D9EFCAF}"/>
    <cellStyle name="f_Worksheet in 2241 IAS Dezembro_03" xfId="871" xr:uid="{027D91A9-7550-4526-A346-17DFD080735C}"/>
    <cellStyle name="f_Worksheet in 2242 IAS JUNHO 2004" xfId="872" xr:uid="{32F9D822-146C-4876-B937-29333586F221}"/>
    <cellStyle name="f_Worksheet in 2242 IAS JUNHO 2004 2" xfId="873" xr:uid="{186A4BFC-FB57-46FC-B210-B552D1E4EB7A}"/>
    <cellStyle name="F2" xfId="874" xr:uid="{42350466-243B-4B21-9C70-9ADA16804478}"/>
    <cellStyle name="F2 2" xfId="875" xr:uid="{4BF6EEE7-4BDA-40CC-A845-503D991453FA}"/>
    <cellStyle name="F3" xfId="876" xr:uid="{67053170-C93D-428B-A693-FD66FF8F05B2}"/>
    <cellStyle name="F3 2" xfId="877" xr:uid="{16682883-B8C2-431D-B2DB-4BE255863A47}"/>
    <cellStyle name="F4" xfId="878" xr:uid="{8E828FAE-845F-4C0E-8343-DB10F39B9782}"/>
    <cellStyle name="F4 2" xfId="879" xr:uid="{8186665F-0D27-4D61-885D-FE4C720BF113}"/>
    <cellStyle name="F5" xfId="880" xr:uid="{AE503698-6947-44CD-9FE4-CEC5078EDFE5}"/>
    <cellStyle name="F5 2" xfId="881" xr:uid="{1D571C2D-F428-4DA9-9BD5-133494BC3009}"/>
    <cellStyle name="F6" xfId="882" xr:uid="{C057D337-06EA-4AF0-AD50-39F0F29F6EF6}"/>
    <cellStyle name="F6 2" xfId="883" xr:uid="{435CAC0F-C637-4F11-93C8-3CFF2D5BA3AC}"/>
    <cellStyle name="F7" xfId="884" xr:uid="{F98A4BEC-E5A8-4E04-B5B7-8B70A6FC568B}"/>
    <cellStyle name="F7 2" xfId="885" xr:uid="{63E8A2E7-809D-4C02-B12A-1940B3E14D74}"/>
    <cellStyle name="F8" xfId="886" xr:uid="{2A3B4A02-3B00-4F40-8F2A-EA826E69FB63}"/>
    <cellStyle name="F8 2" xfId="887" xr:uid="{F00E2C28-229C-494E-AC11-926D4D09E56F}"/>
    <cellStyle name="fact_Feuil1 (8)" xfId="129" xr:uid="{00000000-0005-0000-0000-00007C000000}"/>
    <cellStyle name="Fail" xfId="888" xr:uid="{E65E6EA5-146F-40A8-8341-8D6A946B41A4}"/>
    <cellStyle name="Fecha" xfId="889" xr:uid="{1D72A3B0-3E7D-4CE4-819C-7CE7EBC538CB}"/>
    <cellStyle name="Fecha 2" xfId="890" xr:uid="{626BE523-F0AD-4C3A-93E6-8B3B3749772A}"/>
    <cellStyle name="Fecha 2 2" xfId="891" xr:uid="{9A0D8F61-840A-4A99-9CA0-EB314AE57E9F}"/>
    <cellStyle name="Fecha 3" xfId="892" xr:uid="{0F87CAC2-4F2D-407E-90E8-33C8A77572B1}"/>
    <cellStyle name="FF_EURO" xfId="130" xr:uid="{00000000-0005-0000-0000-00007D000000}"/>
    <cellStyle name="Fijo" xfId="893" xr:uid="{0DEDED30-E1E5-41E9-8CDD-9C87995F1A96}"/>
    <cellStyle name="Fijo 2" xfId="894" xr:uid="{2E5A7CBB-BAA2-426E-8CEC-1A985CD49793}"/>
    <cellStyle name="Financiero" xfId="895" xr:uid="{104AF364-C3A8-478D-A4F4-1958FCABC024}"/>
    <cellStyle name="Financiero 2" xfId="896" xr:uid="{302F2EA5-009A-4F7B-9160-30688FB9B3C0}"/>
    <cellStyle name="FiscalPeriod" xfId="897" xr:uid="{85B03121-6474-4EBB-A95C-1419527118F0}"/>
    <cellStyle name="Fixed" xfId="131" xr:uid="{00000000-0005-0000-0000-00007E000000}"/>
    <cellStyle name="Fixed [0]" xfId="132" xr:uid="{00000000-0005-0000-0000-00007F000000}"/>
    <cellStyle name="Fixed 2" xfId="899" xr:uid="{5E466969-1BC4-4435-8A0C-54FC5267185E}"/>
    <cellStyle name="Fixed 3" xfId="900" xr:uid="{1573B142-431F-4F5E-8F86-EBDD8308B799}"/>
    <cellStyle name="Fixed 4" xfId="901" xr:uid="{6A0F3AE4-AF4F-4D7A-BD2C-E51AC912D547}"/>
    <cellStyle name="Fixed 5" xfId="898" xr:uid="{A7BF97DE-70A2-47EC-BF8D-91E5858EDF00}"/>
    <cellStyle name="Fixed 6" xfId="1361" xr:uid="{2E5A7F5F-C2EB-4D8F-97E5-5D80EF204D99}"/>
    <cellStyle name="Fixed 7" xfId="1364" xr:uid="{3F82A724-C757-4B3E-8F0B-057CD5058D36}"/>
    <cellStyle name="Fixo" xfId="902" xr:uid="{BFD7B271-4C8F-444E-BB86-709E812D45B2}"/>
    <cellStyle name="fo]_x000d__x000a_UserName=Murat Zelef_x000d__x000a_UserCompany=Bumerang_x000d__x000a__x000d__x000a_[File Paths]_x000d__x000a_WorkingDirectory=C:\EQUIS\DLWIN_x000d__x000a_DownLoader=C" xfId="133" xr:uid="{00000000-0005-0000-0000-000080000000}"/>
    <cellStyle name="Följde hyperlänken" xfId="134" xr:uid="{00000000-0005-0000-0000-000081000000}"/>
    <cellStyle name="Footer SBILogo1" xfId="135" xr:uid="{00000000-0005-0000-0000-000082000000}"/>
    <cellStyle name="Footer SBILogo2" xfId="136" xr:uid="{00000000-0005-0000-0000-000083000000}"/>
    <cellStyle name="Footnote" xfId="137" xr:uid="{00000000-0005-0000-0000-000084000000}"/>
    <cellStyle name="Footnote 2" xfId="904" xr:uid="{475B6A3C-4B9B-4C9C-B29D-593051AF7CAA}"/>
    <cellStyle name="Footnote 3" xfId="905" xr:uid="{45C333F2-55B0-4669-8FC6-519C6EA9DD39}"/>
    <cellStyle name="Footnote 4" xfId="903" xr:uid="{41FE218F-688C-4C68-9802-88BE92A8FAE4}"/>
    <cellStyle name="Footnote Reference" xfId="138" xr:uid="{00000000-0005-0000-0000-000085000000}"/>
    <cellStyle name="Footnote_Innsamling" xfId="139" xr:uid="{00000000-0005-0000-0000-000086000000}"/>
    <cellStyle name="Formula10" xfId="906" xr:uid="{05D204D5-4E4C-4C1D-8919-8316BF3AD18B}"/>
    <cellStyle name="front page small" xfId="140" xr:uid="{00000000-0005-0000-0000-000087000000}"/>
    <cellStyle name="General" xfId="141" xr:uid="{00000000-0005-0000-0000-000088000000}"/>
    <cellStyle name="Good" xfId="419" builtinId="26" customBuiltin="1"/>
    <cellStyle name="Good 2" xfId="908" xr:uid="{EA987B49-0983-4DEA-B1D2-DD2DF3F472EB}"/>
    <cellStyle name="Grey" xfId="142" xr:uid="{00000000-0005-0000-0000-000089000000}"/>
    <cellStyle name="Grey 2" xfId="910" xr:uid="{C378F1CA-971B-4204-8FEB-FAB791BE3B85}"/>
    <cellStyle name="Grey 3" xfId="909" xr:uid="{E12E7A27-4D08-4CF3-951D-4BDC268CF049}"/>
    <cellStyle name="GrowthRate" xfId="143" xr:uid="{00000000-0005-0000-0000-00008A000000}"/>
    <cellStyle name="GrowthSeq" xfId="144" xr:uid="{00000000-0005-0000-0000-00008B000000}"/>
    <cellStyle name="Grupo" xfId="911" xr:uid="{F5AB5DC1-4FBE-42CC-B4BC-334B4BA43E4A}"/>
    <cellStyle name="H0" xfId="145" xr:uid="{00000000-0005-0000-0000-00008C000000}"/>
    <cellStyle name="H1" xfId="146" xr:uid="{00000000-0005-0000-0000-00008D000000}"/>
    <cellStyle name="H2" xfId="147" xr:uid="{00000000-0005-0000-0000-00008E000000}"/>
    <cellStyle name="H3" xfId="148" xr:uid="{00000000-0005-0000-0000-00008F000000}"/>
    <cellStyle name="H4" xfId="149" xr:uid="{00000000-0005-0000-0000-000090000000}"/>
    <cellStyle name="haeding 2" xfId="150" xr:uid="{00000000-0005-0000-0000-000091000000}"/>
    <cellStyle name="Hard" xfId="151" xr:uid="{00000000-0005-0000-0000-000092000000}"/>
    <cellStyle name="Hard input" xfId="152" xr:uid="{00000000-0005-0000-0000-000093000000}"/>
    <cellStyle name="hard no." xfId="153" xr:uid="{00000000-0005-0000-0000-000094000000}"/>
    <cellStyle name="Hard Percent" xfId="154" xr:uid="{00000000-0005-0000-0000-000095000000}"/>
    <cellStyle name="Hard Percent 2" xfId="913" xr:uid="{597AD793-15FF-4FF6-8A97-A8E5EB31A9E0}"/>
    <cellStyle name="Hard Percent 3" xfId="912" xr:uid="{409F111D-1AC3-4AE2-8A76-D9C7A4E1F9BE}"/>
    <cellStyle name="head2" xfId="155" xr:uid="{00000000-0005-0000-0000-000096000000}"/>
    <cellStyle name="Header" xfId="156" xr:uid="{00000000-0005-0000-0000-000097000000}"/>
    <cellStyle name="header 2" xfId="915" xr:uid="{CC70CCAD-6310-405C-88C8-0C7A4CA1BB46}"/>
    <cellStyle name="Header 3" xfId="916" xr:uid="{AF558E64-FBF5-4B0B-83EC-DF2B8E8A9EF9}"/>
    <cellStyle name="Header 4" xfId="917" xr:uid="{1181DDD4-8F77-45F4-AB23-93E178DAA1B0}"/>
    <cellStyle name="header 5" xfId="914" xr:uid="{A78A04FA-52A8-45F5-9C6F-E34BE948FBAE}"/>
    <cellStyle name="header 6" xfId="1362" xr:uid="{F0217390-529A-413B-970D-00503B1BBDCB}"/>
    <cellStyle name="header 7" xfId="1363" xr:uid="{D72191A8-7DC3-42BA-BA93-BF273EF15779}"/>
    <cellStyle name="Header Draft Stamp" xfId="157" xr:uid="{00000000-0005-0000-0000-000098000000}"/>
    <cellStyle name="Header_Innsamling" xfId="158" xr:uid="{00000000-0005-0000-0000-000099000000}"/>
    <cellStyle name="Header1" xfId="918" xr:uid="{729CA287-A1A2-4AC8-A9CB-CE6E570584C6}"/>
    <cellStyle name="Header1 2" xfId="919" xr:uid="{91E471F7-6946-4AD8-9372-5F2188B4CB6B}"/>
    <cellStyle name="Header2" xfId="920" xr:uid="{3172FE23-438F-4D3D-8839-0EF6EAE4D10E}"/>
    <cellStyle name="Header2 2" xfId="921" xr:uid="{BFA4A8BB-F1A6-4A55-9802-A722A210992E}"/>
    <cellStyle name="Heading" xfId="159" xr:uid="{00000000-0005-0000-0000-00009A000000}"/>
    <cellStyle name="Heading 1" xfId="415" builtinId="16" customBuiltin="1"/>
    <cellStyle name="Heading 1 2" xfId="922" xr:uid="{61B10C4D-579E-40F8-AC40-06FEF81A762F}"/>
    <cellStyle name="Heading 1 3" xfId="923" xr:uid="{834C1E9A-1AE8-4B26-95D9-CD888A21A7E9}"/>
    <cellStyle name="Heading 1 Above" xfId="160" xr:uid="{00000000-0005-0000-0000-00009B000000}"/>
    <cellStyle name="Heading 1+" xfId="161" xr:uid="{00000000-0005-0000-0000-00009C000000}"/>
    <cellStyle name="Heading 2" xfId="416" builtinId="17" customBuiltin="1"/>
    <cellStyle name="Heading 2 2" xfId="924" xr:uid="{475DD9AD-B67C-43DE-AEB6-8B1B51EC10B9}"/>
    <cellStyle name="Heading 2 2 2" xfId="925" xr:uid="{95077CC3-1147-4677-BC0B-645DB2B00140}"/>
    <cellStyle name="Heading 2 2 3" xfId="926" xr:uid="{06C781A6-310F-4077-AFDA-C25D4F2F3CD7}"/>
    <cellStyle name="Heading 2 3" xfId="927" xr:uid="{AB0B19CA-3928-4662-91F2-CF4C6A71FC64}"/>
    <cellStyle name="Heading 2 Below" xfId="162" xr:uid="{00000000-0005-0000-0000-00009D000000}"/>
    <cellStyle name="Heading 2+" xfId="163" xr:uid="{00000000-0005-0000-0000-00009E000000}"/>
    <cellStyle name="Heading 3" xfId="417" builtinId="18" customBuiltin="1"/>
    <cellStyle name="Heading 3 2" xfId="928" xr:uid="{7C35988D-57D6-4016-8C5C-0C1F69D0598D}"/>
    <cellStyle name="Heading 3 2 2" xfId="929" xr:uid="{1CC6B2FA-5689-4A6D-B1A8-44A4D586F8E3}"/>
    <cellStyle name="Heading 3 2 3" xfId="930" xr:uid="{574CBD9A-BEFC-486C-AC20-22066DB94836}"/>
    <cellStyle name="Heading 3 3" xfId="931" xr:uid="{614FB704-CB8A-4A93-991D-203C87E394EB}"/>
    <cellStyle name="Heading 3+" xfId="164" xr:uid="{00000000-0005-0000-0000-00009F000000}"/>
    <cellStyle name="Heading 4" xfId="418" builtinId="19" customBuiltin="1"/>
    <cellStyle name="Heading 4 2" xfId="932" xr:uid="{24EDF743-9A69-4CAC-8063-F7A3A59F6A89}"/>
    <cellStyle name="Heading 5" xfId="165" xr:uid="{00000000-0005-0000-0000-0000A0000000}"/>
    <cellStyle name="Helv" xfId="933" xr:uid="{67EA7D0E-3D2C-48B1-824A-0D4FEEA6F2E9}"/>
    <cellStyle name="Hidden" xfId="934" xr:uid="{4B4ABDE3-9678-4B9E-AEFC-5C310F4BC645}"/>
    <cellStyle name="Highlight" xfId="166" xr:uid="{00000000-0005-0000-0000-0000A1000000}"/>
    <cellStyle name="Hipervínculo" xfId="935" xr:uid="{61407660-F7EC-4FB1-853A-C741EE798489}"/>
    <cellStyle name="Hipervínculo 2" xfId="936" xr:uid="{3FFC12E6-8923-4FD0-A070-6498B453A1FA}"/>
    <cellStyle name="Hipervínculo 2 2" xfId="937" xr:uid="{D4F2FC22-A0A5-4927-AFD0-8CA96DBEFF0B}"/>
    <cellStyle name="Hipervínculo visitado" xfId="938" xr:uid="{C7FB56AE-5924-463A-8A62-BC84AE236BC8}"/>
    <cellStyle name="Hipervínculo visitado 2" xfId="939" xr:uid="{7CBBD0CB-7C8F-495C-B652-7DF136ED1D07}"/>
    <cellStyle name="Hipervínculo visitado_~0006874" xfId="940" xr:uid="{B6CC214A-ABCA-464C-BC7A-0F73511244A7}"/>
    <cellStyle name="Hipervínculo_~0006874" xfId="941" xr:uid="{4B32D3CC-DD7C-4D14-8D9C-0BA739E09F1D}"/>
    <cellStyle name="Hist inmatning" xfId="167" xr:uid="{00000000-0005-0000-0000-0000A2000000}"/>
    <cellStyle name="Hyperlänk" xfId="168" xr:uid="{00000000-0005-0000-0000-0000A3000000}"/>
    <cellStyle name="Hyperlink 2" xfId="169" xr:uid="{00000000-0005-0000-0000-0000A4000000}"/>
    <cellStyle name="Hyperlink 3" xfId="942" xr:uid="{11B0B1EA-4622-42AF-8DE5-CF58554961E9}"/>
    <cellStyle name="IncomeStatement" xfId="170" xr:uid="{00000000-0005-0000-0000-0000A5000000}"/>
    <cellStyle name="Indefinido" xfId="943" xr:uid="{5EF2A088-0659-4922-BB11-4DF284499F19}"/>
    <cellStyle name="Indefinido 2" xfId="944" xr:uid="{63F9711B-1D99-4159-B811-2D693545EDD7}"/>
    <cellStyle name="indice" xfId="945" xr:uid="{6BC123FF-B94E-487C-96AF-845433E9562C}"/>
    <cellStyle name="InLink" xfId="171" xr:uid="{00000000-0005-0000-0000-0000A6000000}"/>
    <cellStyle name="Input" xfId="421" builtinId="20" customBuiltin="1"/>
    <cellStyle name="Input %" xfId="946" xr:uid="{8FC6B061-9546-4E19-8F23-F56E9DFAF8CA}"/>
    <cellStyle name="Input [yellow]" xfId="172" xr:uid="{00000000-0005-0000-0000-0000A7000000}"/>
    <cellStyle name="Input 0" xfId="947" xr:uid="{B1D1E7BF-CB99-4EE0-8114-D0B4E9ACC680}"/>
    <cellStyle name="Input 0,0" xfId="948" xr:uid="{E1E8B0F6-C1C6-4058-9412-886EA7192EBB}"/>
    <cellStyle name="Input 2" xfId="949" xr:uid="{80D1B2CD-8DB3-4BE5-834C-2E04740DC342}"/>
    <cellStyle name="Input 2 2" xfId="950" xr:uid="{CF6638EE-1CA8-4D14-830E-288AD69879F9}"/>
    <cellStyle name="Input 3" xfId="951" xr:uid="{A19CAA18-1B67-4826-9CBD-ED8CACEF1740}"/>
    <cellStyle name="Input 4" xfId="952" xr:uid="{8F2C3459-FE4E-4771-93DF-52B444C5A2AD}"/>
    <cellStyle name="Input 5" xfId="953" xr:uid="{D3007006-023A-4581-AA91-57CD9ADD8B01}"/>
    <cellStyle name="Input 6" xfId="954" xr:uid="{D2CCDB1C-8731-4410-A19F-C4A3A0C1AC7E}"/>
    <cellStyle name="Input 7" xfId="955" xr:uid="{ED498203-A03E-4BBE-8DBE-EC87D6E097B5}"/>
    <cellStyle name="Input calculation" xfId="173" xr:uid="{00000000-0005-0000-0000-0000A8000000}"/>
    <cellStyle name="Input Cell" xfId="956" xr:uid="{577B4884-F0AC-4A74-8F61-9A15AC2AAD96}"/>
    <cellStyle name="Input Cells" xfId="957" xr:uid="{998E67D8-A0B5-4829-BFBE-FDB799C939DA}"/>
    <cellStyle name="Input Currency" xfId="174" xr:uid="{00000000-0005-0000-0000-0000A9000000}"/>
    <cellStyle name="Input data" xfId="175" xr:uid="{00000000-0005-0000-0000-0000AA000000}"/>
    <cellStyle name="Input Date" xfId="176" xr:uid="{00000000-0005-0000-0000-0000AB000000}"/>
    <cellStyle name="Input estimate" xfId="177" xr:uid="{00000000-0005-0000-0000-0000AC000000}"/>
    <cellStyle name="Input Fixed [0]" xfId="178" xr:uid="{00000000-0005-0000-0000-0000AD000000}"/>
    <cellStyle name="Input link" xfId="179" xr:uid="{00000000-0005-0000-0000-0000AE000000}"/>
    <cellStyle name="Input link (different workbook)" xfId="180" xr:uid="{00000000-0005-0000-0000-0000AF000000}"/>
    <cellStyle name="Input Link_Copy of ESA5 ForecastScaling" xfId="181" xr:uid="{00000000-0005-0000-0000-0000B0000000}"/>
    <cellStyle name="Input Normal" xfId="182" xr:uid="{00000000-0005-0000-0000-0000B1000000}"/>
    <cellStyle name="Input parameter" xfId="183" xr:uid="{00000000-0005-0000-0000-0000B2000000}"/>
    <cellStyle name="Input Percent" xfId="184" xr:uid="{00000000-0005-0000-0000-0000B3000000}"/>
    <cellStyle name="Input Percent [2]" xfId="185" xr:uid="{00000000-0005-0000-0000-0000B4000000}"/>
    <cellStyle name="Input Percent_Book1" xfId="186" xr:uid="{00000000-0005-0000-0000-0000B5000000}"/>
    <cellStyle name="Input Titles" xfId="187" xr:uid="{00000000-0005-0000-0000-0000B6000000}"/>
    <cellStyle name="Input%" xfId="188" xr:uid="{00000000-0005-0000-0000-0000B7000000}"/>
    <cellStyle name="Input0dec" xfId="189" xr:uid="{00000000-0005-0000-0000-0000B8000000}"/>
    <cellStyle name="Input10" xfId="958" xr:uid="{669EB398-A7A0-42B8-913B-53533BB0D101}"/>
    <cellStyle name="Input10 2" xfId="959" xr:uid="{BE228813-0BBC-47C6-9568-A22F2B932E5A}"/>
    <cellStyle name="Input2" xfId="960" xr:uid="{B2F5306A-2666-4C31-886D-C558CEE3ED21}"/>
    <cellStyle name="Input2dec" xfId="190" xr:uid="{00000000-0005-0000-0000-0000B9000000}"/>
    <cellStyle name="InputBlueFont" xfId="191" xr:uid="{00000000-0005-0000-0000-0000BA000000}"/>
    <cellStyle name="InputDate" xfId="192" xr:uid="{00000000-0005-0000-0000-0000BB000000}"/>
    <cellStyle name="InputDecimal" xfId="193" xr:uid="{00000000-0005-0000-0000-0000BC000000}"/>
    <cellStyle name="InputValue" xfId="194" xr:uid="{00000000-0005-0000-0000-0000BD000000}"/>
    <cellStyle name="Integer" xfId="195" xr:uid="{00000000-0005-0000-0000-0000BE000000}"/>
    <cellStyle name="Invisible" xfId="961" xr:uid="{61744300-2E5F-46AB-AD2B-0CA115F055FB}"/>
    <cellStyle name="Item" xfId="196" xr:uid="{00000000-0005-0000-0000-0000BF000000}"/>
    <cellStyle name="Items_Optional" xfId="197" xr:uid="{00000000-0005-0000-0000-0000C0000000}"/>
    <cellStyle name="ItemTypeClass" xfId="198" xr:uid="{00000000-0005-0000-0000-0000C1000000}"/>
    <cellStyle name="James" xfId="199" xr:uid="{00000000-0005-0000-0000-0000C2000000}"/>
    <cellStyle name="kopregel" xfId="200" xr:uid="{00000000-0005-0000-0000-0000C3000000}"/>
    <cellStyle name="KPMG Heading 1" xfId="962" xr:uid="{55E76BB5-B5B5-4E91-AC26-EA6DB9333258}"/>
    <cellStyle name="KPMG Heading 2" xfId="963" xr:uid="{19AEC78A-3CAA-415B-9921-2D124FFB40C3}"/>
    <cellStyle name="KPMG Heading 3" xfId="964" xr:uid="{4D04B90E-803C-4AE6-BA66-36933E3D74BD}"/>
    <cellStyle name="KPMG Heading 4" xfId="965" xr:uid="{4631CC80-482A-4147-BC29-032028B1E8F4}"/>
    <cellStyle name="KPMG Normal" xfId="966" xr:uid="{C3CE283E-0282-4B46-BA2A-E3C54E7AD63D}"/>
    <cellStyle name="KPMG Normal 2" xfId="967" xr:uid="{CE59A24E-5AF8-4720-91C1-25C1C04B9DB7}"/>
    <cellStyle name="KPMG Normal Text" xfId="968" xr:uid="{B3D17158-CBB5-40FB-958E-19D3A298209C}"/>
    <cellStyle name="KPMG Normal Text 2" xfId="969" xr:uid="{E24A60DB-A85C-4AB4-8DE5-C33AAC96EAB4}"/>
    <cellStyle name="LAC" xfId="970" xr:uid="{C14BB322-54FB-41C3-937C-6B9C81D6CBE0}"/>
    <cellStyle name="LAC 2" xfId="971" xr:uid="{145AA260-98A9-4390-B921-916E5B8B52A7}"/>
    <cellStyle name="Libellés" xfId="201" xr:uid="{00000000-0005-0000-0000-0000C4000000}"/>
    <cellStyle name="Linked" xfId="202" xr:uid="{00000000-0005-0000-0000-0000C5000000}"/>
    <cellStyle name="Linked 2" xfId="972" xr:uid="{B01FC634-9F89-4538-97CC-4ED3252102A6}"/>
    <cellStyle name="Linked Cell" xfId="424" builtinId="24" customBuiltin="1"/>
    <cellStyle name="Linked Cell 2" xfId="973" xr:uid="{ABB73E3D-B107-4BB2-A506-C16C21144556}"/>
    <cellStyle name="Linked Cells" xfId="974" xr:uid="{24E7E34A-35F4-4E5D-A687-F653F5F46362}"/>
    <cellStyle name="Locked" xfId="203" xr:uid="{00000000-0005-0000-0000-0000C6000000}"/>
    <cellStyle name="Main Title" xfId="204" xr:uid="{00000000-0005-0000-0000-0000C7000000}"/>
    <cellStyle name="Major item" xfId="205" xr:uid="{00000000-0005-0000-0000-0000C8000000}"/>
    <cellStyle name="margenta-f" xfId="206" xr:uid="{00000000-0005-0000-0000-0000C9000000}"/>
    <cellStyle name="Margin" xfId="207" xr:uid="{00000000-0005-0000-0000-0000CA000000}"/>
    <cellStyle name="Margin 2" xfId="975" xr:uid="{E5FAC074-456A-458F-B129-11E98B785D51}"/>
    <cellStyle name="Margins" xfId="208" xr:uid="{00000000-0005-0000-0000-0000CB000000}"/>
    <cellStyle name="MetricLabel" xfId="976" xr:uid="{558056B3-9CC4-4462-889E-5B98A2F38194}"/>
    <cellStyle name="MetricLabelBlue" xfId="977" xr:uid="{AA44D6B5-DE4A-418B-BFE4-57EF89AF1FF3}"/>
    <cellStyle name="MetricValue" xfId="978" xr:uid="{621AE8DC-33D6-4082-B498-5CA53A3A7BAF}"/>
    <cellStyle name="Migliaia (0)" xfId="979" xr:uid="{C7FC5946-8D5B-4FDE-97CF-114C9425CBE9}"/>
    <cellStyle name="Migliaia_Foglio1" xfId="209" xr:uid="{00000000-0005-0000-0000-0000CC000000}"/>
    <cellStyle name="Millares [0]_~0006901" xfId="980" xr:uid="{34D06277-43CE-4C9B-83B5-330BB6B0CAEB}"/>
    <cellStyle name="Millares 2" xfId="981" xr:uid="{D0A1F884-A5B5-4788-9C6D-D8036BE5D1A5}"/>
    <cellStyle name="Millares 2 2" xfId="982" xr:uid="{77E733F2-6F98-4D3A-8E92-4F0D247209AC}"/>
    <cellStyle name="Millares 3" xfId="983" xr:uid="{D0C9F740-B0E5-420E-A544-F6702E0FD9F0}"/>
    <cellStyle name="Millares 4" xfId="984" xr:uid="{741D4314-1331-49CA-9491-69503A2357F0}"/>
    <cellStyle name="Millares_~0006901" xfId="985" xr:uid="{2E405429-B9C2-4FE3-A9A9-24BF080022E9}"/>
    <cellStyle name="Milliers [0]_Aimants permanents" xfId="210" xr:uid="{00000000-0005-0000-0000-0000CD000000}"/>
    <cellStyle name="Milliers [00]" xfId="211" xr:uid="{00000000-0005-0000-0000-0000CE000000}"/>
    <cellStyle name="Milliers_Aimants permanents" xfId="212" xr:uid="{00000000-0005-0000-0000-0000CF000000}"/>
    <cellStyle name="mine" xfId="213" xr:uid="{00000000-0005-0000-0000-0000D0000000}"/>
    <cellStyle name="MLComma0" xfId="986" xr:uid="{5BA64345-C37B-4987-9053-30233FC87955}"/>
    <cellStyle name="MLMultiple0" xfId="987" xr:uid="{12E2345D-F4BF-4EBB-B9AC-A7CF3E6C25E0}"/>
    <cellStyle name="MLPercent0" xfId="988" xr:uid="{5CD015E1-9C07-490A-9E99-F4A88E01B451}"/>
    <cellStyle name="Model" xfId="989" xr:uid="{6C7E3DE1-10B1-4383-ABCD-0AA0F6748A71}"/>
    <cellStyle name="Moeda [0]_Intx SMS Vivo x Outras Operadoras" xfId="990" xr:uid="{AFE91A99-7E28-4DA0-9F8F-55C34BAA2E46}"/>
    <cellStyle name="Moeda 2" xfId="991" xr:uid="{42BE73F7-DA7C-4C28-8A43-9816E2C39A5A}"/>
    <cellStyle name="Moeda_Intx SMS Vivo x Outras Operadoras" xfId="992" xr:uid="{4191F58A-50FC-48FB-AF0C-03D5265829DA}"/>
    <cellStyle name="Moeda0" xfId="993" xr:uid="{399812D2-357B-4F1C-AF93-4DACF11A263C}"/>
    <cellStyle name="Moneda [0]_~0006874" xfId="994" xr:uid="{611C0647-661C-432E-94FE-C6C7E3DF5FA9}"/>
    <cellStyle name="Moneda_~0006874" xfId="995" xr:uid="{1B831CF4-BBC3-47DD-A10D-150C248FE45B}"/>
    <cellStyle name="Monétaire [0]_Aimants permanents" xfId="214" xr:uid="{00000000-0005-0000-0000-0000D1000000}"/>
    <cellStyle name="Monetaire [0]_laroux" xfId="996" xr:uid="{395A647A-8AE1-493D-A3E9-2CC5BF397C47}"/>
    <cellStyle name="Monétaire [0]_laroux" xfId="997" xr:uid="{DCD36EA6-650B-4D6E-8CBB-96FEEB1DFD4A}"/>
    <cellStyle name="Monetaire [0]_laroux_1" xfId="998" xr:uid="{9F18FF6F-4BDF-4AD5-B2AE-27EFFD844DF3}"/>
    <cellStyle name="Monétaire [0]_laroux_1" xfId="999" xr:uid="{6BB4D911-1B75-4606-8B52-75C8D4173093}"/>
    <cellStyle name="Monetaire [0]_laroux_2" xfId="1000" xr:uid="{96C92C56-B0FA-429C-9A65-7DECE0A8BF08}"/>
    <cellStyle name="Monétaire [0]_laroux_2" xfId="1001" xr:uid="{F8731613-7DD2-489A-8FA4-2288A2C89215}"/>
    <cellStyle name="Monétaire [00]" xfId="215" xr:uid="{00000000-0005-0000-0000-0000D2000000}"/>
    <cellStyle name="Monétaire_Aimants permanents" xfId="216" xr:uid="{00000000-0005-0000-0000-0000D3000000}"/>
    <cellStyle name="Monetaire_laroux" xfId="1002" xr:uid="{D76AEE33-1A38-4BD9-92E5-4FC145C48035}"/>
    <cellStyle name="Monétaire_laroux" xfId="1003" xr:uid="{CBACED1B-C1F8-4BB7-B86D-68BC43F272B4}"/>
    <cellStyle name="Monetaire_laroux_1" xfId="1004" xr:uid="{95D9E7B4-07FE-4B0F-8926-511F92A8411B}"/>
    <cellStyle name="Monétaire_laroux_1" xfId="1005" xr:uid="{4447A379-DC06-4340-9875-BB9D8831DABD}"/>
    <cellStyle name="Monetaire_laroux_2" xfId="1006" xr:uid="{7CD93B72-E39C-41B9-A0E4-5CF0CCE52BE9}"/>
    <cellStyle name="Monétaire_laroux_2" xfId="1007" xr:uid="{AADA1A32-FEFD-4B23-9A10-AD70DD50BB91}"/>
    <cellStyle name="Monetario" xfId="1008" xr:uid="{A3121513-B270-4025-A481-B1D5723C5FDB}"/>
    <cellStyle name="Monetario 2" xfId="1009" xr:uid="{3A15648E-9DCD-47E3-AD9F-F856E90C9B96}"/>
    <cellStyle name="Monetario0" xfId="1010" xr:uid="{BEA10CC4-94A9-4192-B98D-3D04EAA9655F}"/>
    <cellStyle name="Monetario0 2" xfId="1011" xr:uid="{41B7A3B4-D061-4F0A-8AC9-F77BB657CC6A}"/>
    <cellStyle name="Multiple" xfId="217" xr:uid="{00000000-0005-0000-0000-0000D4000000}"/>
    <cellStyle name="Multiple 2" xfId="1013" xr:uid="{92049821-AB54-4490-ACE5-EDA5D80EF404}"/>
    <cellStyle name="multiple 3" xfId="1012" xr:uid="{423DC6C0-D8D6-46A7-B8EB-B075F2C4D24D}"/>
    <cellStyle name="multiple 4" xfId="1365" xr:uid="{8792E40C-4735-44F6-9477-A8D38E0463BE}"/>
    <cellStyle name="multiple 5" xfId="1360" xr:uid="{46CA1D33-6996-4814-805C-DF5DA6C7D2B8}"/>
    <cellStyle name="NA is zero" xfId="218" xr:uid="{00000000-0005-0000-0000-0000D5000000}"/>
    <cellStyle name="Name" xfId="219" xr:uid="{00000000-0005-0000-0000-0000D6000000}"/>
    <cellStyle name="neg0.0" xfId="220" xr:uid="{00000000-0005-0000-0000-0000D7000000}"/>
    <cellStyle name="Neutral 2" xfId="1015" xr:uid="{E72B8E8B-5112-4A23-8B38-8D63DBDF1492}"/>
    <cellStyle name="Neutral 3" xfId="1014" xr:uid="{0F9BAFD6-1CF8-46BE-A12A-D4CC7A8CF61B}"/>
    <cellStyle name="no dec" xfId="221" xr:uid="{00000000-0005-0000-0000-0000D8000000}"/>
    <cellStyle name="no dec 2" xfId="1016" xr:uid="{5C0A2E8B-3EFC-44A2-BE0F-9C52EAA53478}"/>
    <cellStyle name="No Decimal" xfId="1017" xr:uid="{75A47E07-A1EF-4D41-95B6-B68C7EE8C2A2}"/>
    <cellStyle name="No-definido" xfId="1018" xr:uid="{AB7F8254-51F2-413E-9B19-2680B1061A70}"/>
    <cellStyle name="Normal" xfId="0" builtinId="0"/>
    <cellStyle name="Normal - Estilo1" xfId="1019" xr:uid="{F65A0793-0D4D-4DA6-AA98-97761B62FB64}"/>
    <cellStyle name="Normal - Estilo1 2" xfId="1020" xr:uid="{A221AD67-93AE-468F-BD49-18EDDF151735}"/>
    <cellStyle name="Normal - Estilo2" xfId="1021" xr:uid="{42AD1D66-DB63-4559-86B1-882531D3D28F}"/>
    <cellStyle name="Normal - Estilo2 2" xfId="1022" xr:uid="{6CCC3C6E-E672-4C28-877B-63D223BC1D4C}"/>
    <cellStyle name="Normal - Estilo3" xfId="1023" xr:uid="{139067ED-86AA-49F3-9284-9D511FBAF67F}"/>
    <cellStyle name="Normal - Estilo3 2" xfId="1024" xr:uid="{E91F5EC5-8BE8-41BC-8287-A67A6BBDE36D}"/>
    <cellStyle name="Normal - Estilo4" xfId="1025" xr:uid="{C70F11F5-4072-4E52-901E-EA445726A66F}"/>
    <cellStyle name="Normal - Estilo4 2" xfId="1026" xr:uid="{3724F752-E30C-4563-A452-43E02C7030E6}"/>
    <cellStyle name="Normal - Estilo5" xfId="1027" xr:uid="{90052E80-A6C2-48C6-9816-91C33643F754}"/>
    <cellStyle name="Normal - Estilo5 2" xfId="1028" xr:uid="{19252D7D-41A3-4893-97AA-E5896882D392}"/>
    <cellStyle name="Normal - Estilo6" xfId="1029" xr:uid="{F4BC9ADA-7C00-4F46-A154-843CCA54A3CE}"/>
    <cellStyle name="Normal - Estilo6 2" xfId="1030" xr:uid="{18ABBB1D-BD40-4251-90D5-54902537BCFC}"/>
    <cellStyle name="Normal - Estilo7" xfId="1031" xr:uid="{12C998AA-FDC7-451C-87F1-30B2CEA9B539}"/>
    <cellStyle name="Normal - Estilo7 2" xfId="1032" xr:uid="{EADA1E55-E6F7-4CC2-B29C-5C305CA01607}"/>
    <cellStyle name="Normal - Style1" xfId="222" xr:uid="{00000000-0005-0000-0000-0000DA000000}"/>
    <cellStyle name="Normal - Style1 2" xfId="1033" xr:uid="{8C2820FD-1744-4786-A396-6BDF1B0D190A}"/>
    <cellStyle name="Normal (no,)" xfId="223" xr:uid="{00000000-0005-0000-0000-0000DB000000}"/>
    <cellStyle name="Normal [0]" xfId="224" xr:uid="{00000000-0005-0000-0000-0000DC000000}"/>
    <cellStyle name="Normal [1]" xfId="225" xr:uid="{00000000-0005-0000-0000-0000DD000000}"/>
    <cellStyle name="Normal [2]" xfId="226" xr:uid="{00000000-0005-0000-0000-0000DE000000}"/>
    <cellStyle name="Normal [3]" xfId="227" xr:uid="{00000000-0005-0000-0000-0000DF000000}"/>
    <cellStyle name="Normal 1" xfId="228" xr:uid="{00000000-0005-0000-0000-0000E0000000}"/>
    <cellStyle name="Normal 10" xfId="1034" xr:uid="{3F4CCCC3-452C-4564-A601-E31348D6CDF7}"/>
    <cellStyle name="Normal 11" xfId="1035" xr:uid="{47616CCD-5CF9-4F46-959D-E4E067F6680D}"/>
    <cellStyle name="Normal 12" xfId="1036" xr:uid="{E09FAACA-0F05-4891-B3E8-2E4CEC989B6D}"/>
    <cellStyle name="Normal 13" xfId="1037" xr:uid="{4B67A007-131A-404D-987F-5D687D1C6333}"/>
    <cellStyle name="Normal 14" xfId="1038" xr:uid="{A6DFDD5B-6FC1-43A7-87F9-8A65B03FF719}"/>
    <cellStyle name="Normal 15" xfId="1039" xr:uid="{0B693118-46D0-46B1-9029-C08385580E52}"/>
    <cellStyle name="Normal 16" xfId="1040" xr:uid="{B7BE11D1-03CD-4C1D-9F06-F05383F8E37F}"/>
    <cellStyle name="Normal 17" xfId="1041" xr:uid="{B57AF703-5C2B-44C3-A2D9-D64988E5AAAD}"/>
    <cellStyle name="Normal 18" xfId="1042" xr:uid="{C6EF30B7-4677-4B12-B03D-64C478D346E3}"/>
    <cellStyle name="Normal 19" xfId="1043" xr:uid="{D861FB89-37B2-42F4-9560-09B04B883B58}"/>
    <cellStyle name="Normal 2" xfId="229" xr:uid="{00000000-0005-0000-0000-0000E1000000}"/>
    <cellStyle name="Normal 2 2" xfId="1045" xr:uid="{02DE8060-24C3-4739-9D60-E55F43046270}"/>
    <cellStyle name="Normal 2 2 2" xfId="1046" xr:uid="{5241377E-3A46-4235-A6E2-A877A90AB362}"/>
    <cellStyle name="Normal 2 3" xfId="1047" xr:uid="{66469015-AE42-4F7A-B6AE-2A6D943674E6}"/>
    <cellStyle name="Normal 2 4" xfId="1048" xr:uid="{2EA84CA7-06A8-484C-9323-5D20090E9615}"/>
    <cellStyle name="Normal 2 5" xfId="1049" xr:uid="{F39803D5-05DB-4C8B-9E75-E143EBEC85B6}"/>
    <cellStyle name="Normal 2 6" xfId="1050" xr:uid="{DE6D95E6-BABC-4A6E-A230-DD247715CE7C}"/>
    <cellStyle name="Normal 2 7" xfId="1044" xr:uid="{00E22D68-13D2-4C2A-B807-FD9762D1BCEB}"/>
    <cellStyle name="Normal 2_FC" xfId="1051" xr:uid="{E75F867B-97E1-4ED2-A343-C13BBD7E2B4C}"/>
    <cellStyle name="Normal 20" xfId="1052" xr:uid="{CCDBA4FB-20FB-4549-8380-F0928D05171C}"/>
    <cellStyle name="Normal 21" xfId="1053" xr:uid="{FD20B297-5104-43FE-8541-28E87A412923}"/>
    <cellStyle name="Normal 22" xfId="1054" xr:uid="{C95E92F9-3AA2-4076-90B3-E267166C311D}"/>
    <cellStyle name="Normal 23" xfId="1055" xr:uid="{7BA83169-F562-4F8D-801D-F00C837C4D13}"/>
    <cellStyle name="Normal 24" xfId="1056" xr:uid="{489D718F-BE20-4B17-96C0-2997E775D036}"/>
    <cellStyle name="Normal 25" xfId="1057" xr:uid="{EFC576CC-BDB6-4D64-AA19-16FCCEA582FA}"/>
    <cellStyle name="Normal 26" xfId="1058" xr:uid="{7A73D028-3A75-45D3-83BC-46140D09D6C8}"/>
    <cellStyle name="Normal 26 2" xfId="1059" xr:uid="{CD92DE6F-0613-46A8-A713-FDA7A67BB398}"/>
    <cellStyle name="Normal 27" xfId="1060" xr:uid="{66AADA64-3BB8-45BE-A55D-B0AB3C56D6C7}"/>
    <cellStyle name="Normal 28" xfId="1061" xr:uid="{594C5B8F-3822-4801-ADAB-96F8421D58AB}"/>
    <cellStyle name="Normal 29" xfId="1062" xr:uid="{675BAE15-5477-4431-9173-F9C808EAAD1F}"/>
    <cellStyle name="Normal 3" xfId="230" xr:uid="{00000000-0005-0000-0000-0000E2000000}"/>
    <cellStyle name="Normal 3 2" xfId="413" xr:uid="{70DAC8A8-3CD1-4AF0-9475-1BEA52A3131B}"/>
    <cellStyle name="Normal 3 2 2" xfId="1063" xr:uid="{D5108BFC-D4D3-4B86-9F42-19726E74D644}"/>
    <cellStyle name="Normal 3 3" xfId="1064" xr:uid="{CA1A21B1-C159-41B9-ACCB-41C1378ADE5F}"/>
    <cellStyle name="Normal 3 4" xfId="1065" xr:uid="{F3F5F7DE-81D3-4DE3-9CD7-7A177EAFBEC4}"/>
    <cellStyle name="Normal 30" xfId="1066" xr:uid="{58BCC43C-66DF-4EB1-AD41-E8BD7B2E9D58}"/>
    <cellStyle name="Normal 31" xfId="1067" xr:uid="{1BE9544C-85EF-4F81-A39D-E26DBB23BE36}"/>
    <cellStyle name="Normal 32" xfId="1068" xr:uid="{D16B1F4D-D36B-4E94-B2A9-8A4D30543EDD}"/>
    <cellStyle name="Normal 33" xfId="1069" xr:uid="{226DD090-F816-4AD0-B51D-9D4598081E54}"/>
    <cellStyle name="Normal 34" xfId="1070" xr:uid="{BDC910D2-984F-4C42-8FAA-3A00BEBB38FC}"/>
    <cellStyle name="Normal 35" xfId="1071" xr:uid="{2425459B-5600-4098-B339-90DD1448912D}"/>
    <cellStyle name="Normal 36" xfId="1072" xr:uid="{B91BCBF0-BCA7-48E9-9985-8657933CDB1F}"/>
    <cellStyle name="Normal 37" xfId="1073" xr:uid="{0732FE26-6FB1-4441-928A-7B354DCDB565}"/>
    <cellStyle name="Normal 38" xfId="1074" xr:uid="{E6381C67-E2A7-47B6-AFAF-54AF3567C71A}"/>
    <cellStyle name="Normal 39" xfId="1075" xr:uid="{344C24D7-08B7-430B-ABEC-D03AC601076E}"/>
    <cellStyle name="Normal 4" xfId="410" xr:uid="{6D074B14-DC16-46FE-8AD6-E723E70F7336}"/>
    <cellStyle name="Normal 4 2" xfId="1077" xr:uid="{D0B4C405-A016-477D-B423-DDCF79E7068D}"/>
    <cellStyle name="Normal 4 2 2" xfId="1078" xr:uid="{23BE7208-FB14-4A41-8241-AD8C22FD76C8}"/>
    <cellStyle name="Normal 4 3" xfId="1079" xr:uid="{138FE846-6B83-43F8-A75D-4D4943E544C9}"/>
    <cellStyle name="Normal 4 4" xfId="1080" xr:uid="{0E91D945-E2A1-4022-866A-159B130F5476}"/>
    <cellStyle name="Normal 4 5" xfId="1081" xr:uid="{4B816EA8-BE56-43DE-A71E-6C8EC8FD6AB7}"/>
    <cellStyle name="Normal 4 6" xfId="1076" xr:uid="{3EDA12F1-12F0-41ED-A0F0-7CE278C13A88}"/>
    <cellStyle name="Normal 4_FC" xfId="1082" xr:uid="{3E547140-A5E4-402C-91AA-3A634AE14DE8}"/>
    <cellStyle name="Normal 40" xfId="1083" xr:uid="{2534D757-5F4D-492C-A179-B69E03EB830B}"/>
    <cellStyle name="Normal 41" xfId="1084" xr:uid="{EFE1BB8E-3A4E-4640-8A07-94303A53201D}"/>
    <cellStyle name="Normal 42" xfId="1085" xr:uid="{14D38B2D-9C66-4E42-8A82-768152673494}"/>
    <cellStyle name="Normal 43" xfId="1086" xr:uid="{B6D6E20B-0D79-4E72-BB3D-AEE0C7574B08}"/>
    <cellStyle name="Normal 44" xfId="1087" xr:uid="{07ABDE98-3E1E-42DB-86D7-4AEC5B83EE71}"/>
    <cellStyle name="Normal 45" xfId="447" xr:uid="{5578F627-862D-4DE0-9812-FA699F397C63}"/>
    <cellStyle name="Normal 46" xfId="1356" xr:uid="{D6D488EC-B22E-4D09-98D0-4D7D6BDA9FC2}"/>
    <cellStyle name="Normal 47" xfId="1374" xr:uid="{A5A8E6B9-B963-4718-A5E1-DD6055E60DB7}"/>
    <cellStyle name="Normal 5" xfId="412" xr:uid="{460F6A91-94C7-4B88-9F55-F293F3DBED8B}"/>
    <cellStyle name="Normal 5 2" xfId="1088" xr:uid="{4345E2BA-6DB4-4859-9C37-F5F5FA51C9F5}"/>
    <cellStyle name="Normal 6" xfId="1089" xr:uid="{9F4D47D4-1A54-405A-B50A-6A6BCD124A7C}"/>
    <cellStyle name="Normal 7" xfId="1090" xr:uid="{94E2F64D-6B30-4639-AC86-3B2B03749C1F}"/>
    <cellStyle name="Normal 8" xfId="1091" xr:uid="{EACF53C1-3BF2-43DA-9BF7-0AC58481BA03}"/>
    <cellStyle name="Normal 9" xfId="1092" xr:uid="{1A0FB3C9-A8A0-429A-BCDF-6F8611D4D63F}"/>
    <cellStyle name="Normal Bold" xfId="231" xr:uid="{00000000-0005-0000-0000-0000E3000000}"/>
    <cellStyle name="Normal Bold 2" xfId="1094" xr:uid="{2B40BB27-43F0-4B1E-B6BE-F807284CE820}"/>
    <cellStyle name="Normal bold 3" xfId="1093" xr:uid="{BD26396C-7293-4101-9DAB-B42808EF956A}"/>
    <cellStyle name="Normal bold 4" xfId="1367" xr:uid="{BC6203A4-2E69-4FA9-BB3A-95FB42E761E1}"/>
    <cellStyle name="Normal bold 5" xfId="1358" xr:uid="{5B55A1CA-7AB5-4305-A7F9-1ECF8FC789A8}"/>
    <cellStyle name="Normal Italics" xfId="1095" xr:uid="{A66263C2-60DB-4EC5-B084-F81468210A49}"/>
    <cellStyle name="Normal Pct" xfId="232" xr:uid="{00000000-0005-0000-0000-0000E4000000}"/>
    <cellStyle name="Normal_bt debt model" xfId="8" xr:uid="{00000000-0005-0000-0000-0000E5000000}"/>
    <cellStyle name="Normal_BT3" xfId="6" xr:uid="{00000000-0005-0000-0000-0000E6000000}"/>
    <cellStyle name="normal1" xfId="1096" xr:uid="{D94773A9-B40B-49AC-9D5B-46BA02AD54A0}"/>
    <cellStyle name="NormalE" xfId="233" xr:uid="{00000000-0005-0000-0000-0000E7000000}"/>
    <cellStyle name="NormalGB" xfId="234" xr:uid="{00000000-0005-0000-0000-0000E8000000}"/>
    <cellStyle name="Normal-HelBold" xfId="1097" xr:uid="{72FDE566-4EF1-4EB2-97F5-1D3520A7370C}"/>
    <cellStyle name="Normal-HelBold 2" xfId="1098" xr:uid="{F65CDCFD-013F-4891-A4D3-269F0BDA11F6}"/>
    <cellStyle name="Normal-HelUnderline" xfId="1099" xr:uid="{876770D2-2A54-4F08-AD9F-3D82EEEC0C58}"/>
    <cellStyle name="Normal-HelUnderline 2" xfId="1100" xr:uid="{0C96E1A3-3F33-4B16-AD10-3C376DC4F783}"/>
    <cellStyle name="Normal-Helvetica" xfId="1101" xr:uid="{526582E6-6FD6-46E0-ADDF-7ABD30C7B8C5}"/>
    <cellStyle name="Normal-Helvetica 2" xfId="1102" xr:uid="{62B3E82D-4941-4524-8CD2-53B3C01105D5}"/>
    <cellStyle name="NormalMultiple" xfId="235" xr:uid="{00000000-0005-0000-0000-0000E9000000}"/>
    <cellStyle name="NOT" xfId="236" xr:uid="{00000000-0005-0000-0000-0000EA000000}"/>
    <cellStyle name="Note 2" xfId="1103" xr:uid="{FE67EE5B-FE8F-4B31-9737-85BBAC8AB3BB}"/>
    <cellStyle name="Note 2 2" xfId="1104" xr:uid="{A1285FD1-0655-49BC-BBB6-4E7EFDF891E5}"/>
    <cellStyle name="Notes" xfId="237" xr:uid="{00000000-0005-0000-0000-0000EB000000}"/>
    <cellStyle name="NPPESalesPct" xfId="238" xr:uid="{00000000-0005-0000-0000-0000EC000000}"/>
    <cellStyle name="Nuevo" xfId="1105" xr:uid="{55E217F1-8350-4A2C-9AFF-88E6C94AC499}"/>
    <cellStyle name="Number" xfId="239" xr:uid="{00000000-0005-0000-0000-0000ED000000}"/>
    <cellStyle name="Number (2dp)" xfId="240" xr:uid="{00000000-0005-0000-0000-0000EE000000}"/>
    <cellStyle name="Number 2" xfId="1107" xr:uid="{C7BAA316-303E-429B-9863-9215050B1788}"/>
    <cellStyle name="Number 3" xfId="1108" xr:uid="{D46D083D-65B9-40BD-A492-028D4B4F24A9}"/>
    <cellStyle name="Number 4" xfId="1106" xr:uid="{F78A1338-F9B6-48E3-A2B7-C7D68A68C9DD}"/>
    <cellStyle name="Number 5" xfId="1368" xr:uid="{5EDDBF6D-5A22-493B-B033-4F6BD4C2FF0C}"/>
    <cellStyle name="Number 6" xfId="1357" xr:uid="{9616672C-6369-42E9-980A-932FEF7A6A07}"/>
    <cellStyle name="Number_Copy of ESA5 ForecastScaling" xfId="241" xr:uid="{00000000-0005-0000-0000-0000EF000000}"/>
    <cellStyle name="NWI%S" xfId="242" xr:uid="{00000000-0005-0000-0000-0000F0000000}"/>
    <cellStyle name="Œ…‹æØ‚è [0.00]_GE 3 MINIMUM" xfId="1109" xr:uid="{E9B0C345-C591-4248-98F1-4581D91EDEB4}"/>
    <cellStyle name="Œ…‹æØ‚è_GE 3 MINIMUM" xfId="1110" xr:uid="{8A338933-DA8B-4AF9-82A9-E8EB7B553C22}"/>
    <cellStyle name="Ombrée" xfId="243" xr:uid="{00000000-0005-0000-0000-0000F1000000}"/>
    <cellStyle name="Onedec" xfId="244" xr:uid="{00000000-0005-0000-0000-0000F2000000}"/>
    <cellStyle name="Option" xfId="245" xr:uid="{00000000-0005-0000-0000-0000F3000000}"/>
    <cellStyle name="Output" xfId="422" builtinId="21" customBuiltin="1"/>
    <cellStyle name="Output 2" xfId="1111" xr:uid="{D96436BD-8E5A-4E16-ADC7-89D722E9D294}"/>
    <cellStyle name="Page Number" xfId="246" xr:uid="{00000000-0005-0000-0000-0000F4000000}"/>
    <cellStyle name="Page Number 2" xfId="1113" xr:uid="{71DBFC27-6669-40C6-AE71-08F643C6C1BD}"/>
    <cellStyle name="Page Number 3" xfId="1114" xr:uid="{B8511A4E-EA89-4949-B04D-B50B68642320}"/>
    <cellStyle name="Page Number 4" xfId="1112" xr:uid="{4B16AE1E-158B-4B86-8707-D3FB1A9AC439}"/>
    <cellStyle name="Page_Header" xfId="1115" xr:uid="{1599A21A-6872-4E70-A9DD-81D9EA19838D}"/>
    <cellStyle name="Pagina" xfId="1116" xr:uid="{D83E236E-5008-47E9-A5CE-5E4CF55428A5}"/>
    <cellStyle name="Part number" xfId="1117" xr:uid="{A9F779DA-A9D6-4CC8-A257-BC1E10FD40F7}"/>
    <cellStyle name="Pass" xfId="1118" xr:uid="{F46B0F18-03D2-4185-937D-558CAAD37F46}"/>
    <cellStyle name="PB Table Heading" xfId="247" xr:uid="{00000000-0005-0000-0000-0000F5000000}"/>
    <cellStyle name="PB Table Highlight1" xfId="248" xr:uid="{00000000-0005-0000-0000-0000F6000000}"/>
    <cellStyle name="PB Table Highlight2" xfId="249" xr:uid="{00000000-0005-0000-0000-0000F7000000}"/>
    <cellStyle name="PB Table Highlight3" xfId="250" xr:uid="{00000000-0005-0000-0000-0000F8000000}"/>
    <cellStyle name="PB Table Standard Row" xfId="251" xr:uid="{00000000-0005-0000-0000-0000F9000000}"/>
    <cellStyle name="PB Table Subtotal Row" xfId="252" xr:uid="{00000000-0005-0000-0000-0000FA000000}"/>
    <cellStyle name="PB Table Total Row" xfId="253" xr:uid="{00000000-0005-0000-0000-0000FB000000}"/>
    <cellStyle name="pb_page_heading_LS" xfId="254" xr:uid="{00000000-0005-0000-0000-0000FC000000}"/>
    <cellStyle name="pc1" xfId="255" xr:uid="{00000000-0005-0000-0000-0000FD000000}"/>
    <cellStyle name="PctLine" xfId="256" xr:uid="{00000000-0005-0000-0000-0000FE000000}"/>
    <cellStyle name="per.style" xfId="1119" xr:uid="{25AA32F3-C1EB-49C5-9D0D-CBCAD5DC7827}"/>
    <cellStyle name="Percen - Estilo1" xfId="1120" xr:uid="{1D80B203-9F62-4C57-BB7D-0F82DFA855C3}"/>
    <cellStyle name="Percen - Estilo1 2" xfId="1121" xr:uid="{C2D96077-D3C2-47F3-8687-67C5D6D68206}"/>
    <cellStyle name="Percen - Modelo1" xfId="1122" xr:uid="{3E246070-3602-45EE-A5FE-33B48A7100F8}"/>
    <cellStyle name="Percent" xfId="2" builtinId="5"/>
    <cellStyle name="Percent (0)" xfId="257" xr:uid="{00000000-0005-0000-0000-000000010000}"/>
    <cellStyle name="Percent (0) 2" xfId="1125" xr:uid="{DDD2ED20-B7EB-4DAA-B88D-02E59F0D0B84}"/>
    <cellStyle name="Percent (0) 3" xfId="1124" xr:uid="{DF1E2507-55CC-41C8-8603-E5C339F74346}"/>
    <cellStyle name="Percent (0.0)" xfId="258" xr:uid="{00000000-0005-0000-0000-000001010000}"/>
    <cellStyle name="Percent (0.00)" xfId="259" xr:uid="{00000000-0005-0000-0000-000002010000}"/>
    <cellStyle name="Percent [0%]" xfId="1126" xr:uid="{5C100CFE-A8C6-4F8D-A833-F7BA6894D84E}"/>
    <cellStyle name="Percent [0.00%]" xfId="1127" xr:uid="{0D189399-A2EA-42A8-B12A-704450D0125A}"/>
    <cellStyle name="Percent [0]" xfId="260" xr:uid="{00000000-0005-0000-0000-000003010000}"/>
    <cellStyle name="Percent [1]" xfId="261" xr:uid="{00000000-0005-0000-0000-000004010000}"/>
    <cellStyle name="Percent [2]" xfId="262" xr:uid="{00000000-0005-0000-0000-000005010000}"/>
    <cellStyle name="Percent [2] 2" xfId="1129" xr:uid="{AC651BBE-9F25-4480-ADEB-32BA725933EF}"/>
    <cellStyle name="Percent [2] 3" xfId="1128" xr:uid="{468C8AA8-F9E1-4AA1-AD45-37597B743748}"/>
    <cellStyle name="Percent 0" xfId="263" xr:uid="{00000000-0005-0000-0000-000006010000}"/>
    <cellStyle name="Percent 0.00" xfId="264" xr:uid="{00000000-0005-0000-0000-000007010000}"/>
    <cellStyle name="Percent 0_3q" xfId="265" xr:uid="{00000000-0005-0000-0000-000008010000}"/>
    <cellStyle name="Percent 10" xfId="1130" xr:uid="{72A33CF3-30F7-4B2C-84F2-0A571AC26271}"/>
    <cellStyle name="Percent 11" xfId="1131" xr:uid="{4C47BA00-C951-4B6C-BACB-DC51C60C9087}"/>
    <cellStyle name="Percent 12" xfId="1132" xr:uid="{6C1C93B7-8502-49A0-B09F-DEC0E0294EAA}"/>
    <cellStyle name="Percent 13" xfId="1133" xr:uid="{A8DFC33D-6890-4E1B-BE9F-E4F5167F4551}"/>
    <cellStyle name="Percent 14" xfId="1134" xr:uid="{AB5A26F1-777E-481D-B548-C958DDA0A2D2}"/>
    <cellStyle name="Percent 15" xfId="1135" xr:uid="{551ECC42-5F0A-47F1-BB27-198F882BBF15}"/>
    <cellStyle name="Percent 16" xfId="1136" xr:uid="{2F8F4633-3341-4342-BA51-189EA8F629AB}"/>
    <cellStyle name="Percent 17" xfId="1137" xr:uid="{94AD7D10-C7DD-4CF5-988A-C888DD8A7CD7}"/>
    <cellStyle name="Percent 18" xfId="1138" xr:uid="{48773E5D-F8E1-4601-8828-78F5387821A9}"/>
    <cellStyle name="Percent 19" xfId="1139" xr:uid="{CCCB451A-4943-45BE-9000-0FB0D0C0BA04}"/>
    <cellStyle name="Percent 2" xfId="5" xr:uid="{00000000-0005-0000-0000-000009010000}"/>
    <cellStyle name="Percent 2 2" xfId="1141" xr:uid="{4E920210-27FC-492E-8D96-58A034BB9ECA}"/>
    <cellStyle name="Percent 2 3" xfId="1142" xr:uid="{D6E45802-5FA3-4027-8771-7FF448A4ED3E}"/>
    <cellStyle name="Percent 2 4" xfId="1143" xr:uid="{19E754A5-2341-4F25-B9F5-6153A8002328}"/>
    <cellStyle name="Percent 2 5" xfId="1144" xr:uid="{A3861E52-2E07-4A91-8033-A83BB2DF931E}"/>
    <cellStyle name="Percent 2 6" xfId="1140" xr:uid="{5A3BD48E-684E-4BB7-A8A2-2DF05A83D801}"/>
    <cellStyle name="Percent 20" xfId="1145" xr:uid="{21E860A9-A91A-47FF-8D09-1BECC4B84D10}"/>
    <cellStyle name="Percent 21" xfId="1146" xr:uid="{D054932D-DDB3-478D-A454-4C89C7DB2D28}"/>
    <cellStyle name="Percent 22" xfId="1147" xr:uid="{8C983B94-0B21-4BB2-BD1A-F51874B53E99}"/>
    <cellStyle name="Percent 23" xfId="1148" xr:uid="{9BD85341-714D-4638-8BCF-EE2E90F78B11}"/>
    <cellStyle name="Percent 24" xfId="1149" xr:uid="{B9CDA9D3-5934-4595-9582-08B37B8A2605}"/>
    <cellStyle name="Percent 25" xfId="1150" xr:uid="{ABF23941-062C-4714-BFCD-F1E09BF06E9F}"/>
    <cellStyle name="Percent 26" xfId="1151" xr:uid="{3F9EAD83-87DB-441E-8940-DAD9491F63E7}"/>
    <cellStyle name="Percent 27" xfId="1152" xr:uid="{9D31E5DE-F168-4805-BDD6-6FCBA3613FD9}"/>
    <cellStyle name="Percent 28" xfId="1153" xr:uid="{A0779BB2-DF12-4B5B-B2B2-B5BA55E028D3}"/>
    <cellStyle name="Percent 29" xfId="1154" xr:uid="{EF3153C8-5C22-4396-8BB6-6A24030993BE}"/>
    <cellStyle name="Percent 3" xfId="266" xr:uid="{00000000-0005-0000-0000-00000A010000}"/>
    <cellStyle name="Percent 3 2" xfId="1156" xr:uid="{1A0C710D-398B-408C-BB6C-EA2F7F9D7730}"/>
    <cellStyle name="Percent 3 3" xfId="1157" xr:uid="{4E5AEEF2-964F-424F-9C8D-76EED6690310}"/>
    <cellStyle name="Percent 3 4" xfId="1155" xr:uid="{A6AADCAE-6D38-4268-AB16-F1B4CD4CBEE5}"/>
    <cellStyle name="Percent 30" xfId="1158" xr:uid="{3FF57EB7-FD77-4A88-8E70-D550D52B7715}"/>
    <cellStyle name="Percent 31" xfId="1159" xr:uid="{6E939BE2-0BD4-45A7-BA7C-98BCC46357BD}"/>
    <cellStyle name="Percent 32" xfId="1123" xr:uid="{C01F2E76-DB3D-48F3-A3E7-893F0D38EE7E}"/>
    <cellStyle name="Percent 33" xfId="1369" xr:uid="{F4679E4F-35A6-41F6-95E6-A7153D163D3B}"/>
    <cellStyle name="Percent 34" xfId="615" xr:uid="{A8DD9DA7-01C1-4BEB-94E9-DD51334F626C}"/>
    <cellStyle name="Percent 4" xfId="414" xr:uid="{8CED0618-45C0-4617-98CF-8B648D497A36}"/>
    <cellStyle name="Percent 4 2" xfId="1160" xr:uid="{FE949041-FE60-4343-8977-019E92B9393E}"/>
    <cellStyle name="Percent 5" xfId="1161" xr:uid="{5E604420-AD80-4E26-B5AE-0AF9BCC26CF5}"/>
    <cellStyle name="Percent 5 4" xfId="1162" xr:uid="{D35169E6-BFC8-43BC-B140-C0F9D7A3BF26}"/>
    <cellStyle name="Percent 6" xfId="1163" xr:uid="{026FE04F-F69D-4D55-AD70-5D954E073699}"/>
    <cellStyle name="Percent 7" xfId="1164" xr:uid="{37CE5F08-5D78-45AF-A6C2-8B10AFDFE656}"/>
    <cellStyle name="Percent 8" xfId="1165" xr:uid="{011767C8-BF19-44BA-95A3-9930A247CB25}"/>
    <cellStyle name="Percent 9" xfId="1166" xr:uid="{C654505A-A95A-4DFF-A6A7-B0F5D237D4BE}"/>
    <cellStyle name="Percentage" xfId="267" xr:uid="{00000000-0005-0000-0000-00000B010000}"/>
    <cellStyle name="Percentage (2dp)" xfId="268" xr:uid="{00000000-0005-0000-0000-00000C010000}"/>
    <cellStyle name="Percentage_Copy of ESA5 ForecastScaling" xfId="269" xr:uid="{00000000-0005-0000-0000-00000D010000}"/>
    <cellStyle name="PercentChange" xfId="270" xr:uid="{00000000-0005-0000-0000-00000E010000}"/>
    <cellStyle name="PercentPresentation" xfId="271" xr:uid="{00000000-0005-0000-0000-00000F010000}"/>
    <cellStyle name="PercentSales" xfId="272" xr:uid="{00000000-0005-0000-0000-000010010000}"/>
    <cellStyle name="Percentual" xfId="1167" xr:uid="{CA1E6B41-57FD-4222-A593-D26491D7A5DE}"/>
    <cellStyle name="PerShare" xfId="273" xr:uid="{00000000-0005-0000-0000-000011010000}"/>
    <cellStyle name="PillarData" xfId="1168" xr:uid="{00AFD311-E06B-470D-8270-4DFD72A9A86F}"/>
    <cellStyle name="PillarData 2" xfId="1169" xr:uid="{D549CE91-9A01-4FD8-849E-796B4894B615}"/>
    <cellStyle name="PillarData 3" xfId="1170" xr:uid="{1FA7174F-EABF-425F-81A9-78BAFA446EF2}"/>
    <cellStyle name="PillarHeading" xfId="1171" xr:uid="{BE7E4F57-5A7C-4A09-894D-782AD36A7B5C}"/>
    <cellStyle name="PillarHeading 2" xfId="1172" xr:uid="{64BD79E1-4AB6-48FB-8CE5-F9911D078F8E}"/>
    <cellStyle name="PillarText" xfId="1173" xr:uid="{E8188739-3011-44FD-8446-D94E37AF26E8}"/>
    <cellStyle name="PillarText 2" xfId="1174" xr:uid="{19973B08-26E8-49E9-BCFC-228E839B6EBD}"/>
    <cellStyle name="PillarText 3" xfId="1175" xr:uid="{AC10C9A8-D467-42D3-A830-845586C4C557}"/>
    <cellStyle name="PillarTotal" xfId="1176" xr:uid="{9FBF2A25-2A7F-4E19-8A02-8C8861CEE55A}"/>
    <cellStyle name="PillarTotal 2" xfId="1177" xr:uid="{9CA4BA89-D227-45D2-A4E6-97554016EFB7}"/>
    <cellStyle name="Ponto" xfId="1178" xr:uid="{E55A0B0C-C40C-4A2C-B6CB-4F2F9F2F5746}"/>
    <cellStyle name="POPS" xfId="274" xr:uid="{00000000-0005-0000-0000-000012010000}"/>
    <cellStyle name="Porcentagem 2" xfId="1179" xr:uid="{BAE49F38-A800-4697-975D-5E01A5DD6F09}"/>
    <cellStyle name="Porcentagem 2 2" xfId="1180" xr:uid="{8C4C4228-BFEE-49E8-8A8E-2CD526ABC398}"/>
    <cellStyle name="Porcentagem 3" xfId="1181" xr:uid="{69B3012C-847C-4DC6-8C70-9B8FB5132377}"/>
    <cellStyle name="Porcentagem 3 2" xfId="1182" xr:uid="{5B1E5DFD-7B0A-4A4F-A801-BC29FD7183EF}"/>
    <cellStyle name="Porcentagem 4" xfId="1183" xr:uid="{1DCEC3E4-D260-49FA-9E2E-8C380891AFE6}"/>
    <cellStyle name="Porcentagem 4 2" xfId="1184" xr:uid="{3D7E35DA-80AC-4242-A330-DF261D6FEB47}"/>
    <cellStyle name="Porcentagem 5" xfId="1185" xr:uid="{7E8B8D7F-3B3A-4FF4-B5DA-EAD4BBB6B578}"/>
    <cellStyle name="Porcentagem 6" xfId="1186" xr:uid="{C3A96091-9890-4037-B7E7-E42920CCD641}"/>
    <cellStyle name="Porcentagem%" xfId="1187" xr:uid="{2F5834BD-BE53-4F65-B0A8-0AE56615FD9E}"/>
    <cellStyle name="Porcentaje" xfId="1188" xr:uid="{671CD05E-7523-4456-9AF9-CA5BB11A27D7}"/>
    <cellStyle name="Porcentaje 2" xfId="1189" xr:uid="{B388EF34-135C-4879-8BA0-CD359E466B31}"/>
    <cellStyle name="Porcentaje 2 2" xfId="1190" xr:uid="{76B49F54-0920-45D4-91EF-38C21F438A18}"/>
    <cellStyle name="Porcentaje 3" xfId="1191" xr:uid="{024B743E-498F-40DF-994D-57E6B78EAF22}"/>
    <cellStyle name="Porcentaje 4" xfId="1192" xr:uid="{2223CDD5-5A24-4C67-BF37-4F87EE66E56F}"/>
    <cellStyle name="Porcentaje 5" xfId="1193" xr:uid="{B059E01E-F861-4322-AC2F-AE7142695268}"/>
    <cellStyle name="Porcentaje 5 2" xfId="1194" xr:uid="{B643B77C-022E-4BDC-B2BF-BBA0DCAE2114}"/>
    <cellStyle name="Porcentual_AR 11-01" xfId="1195" xr:uid="{3E2DCD77-1AD7-4EA7-8D8D-4E724FDC48B4}"/>
    <cellStyle name="Pourcentage [0]" xfId="275" xr:uid="{00000000-0005-0000-0000-000013010000}"/>
    <cellStyle name="Pourcentage [00]" xfId="276" xr:uid="{00000000-0005-0000-0000-000014010000}"/>
    <cellStyle name="Pourcentage_BASCULER" xfId="277" xr:uid="{00000000-0005-0000-0000-000015010000}"/>
    <cellStyle name="Preço-Unit-Tot" xfId="1196" xr:uid="{46A1396D-4BFF-45DE-990B-3E97CBCA13E1}"/>
    <cellStyle name="Presentation" xfId="278" xr:uid="{00000000-0005-0000-0000-000016010000}"/>
    <cellStyle name="PresentationZero" xfId="279" xr:uid="{00000000-0005-0000-0000-000017010000}"/>
    <cellStyle name="Price" xfId="280" xr:uid="{00000000-0005-0000-0000-000018010000}"/>
    <cellStyle name="Price 2" xfId="1198" xr:uid="{8A3A2D48-D340-4711-BF5D-68887A2E4610}"/>
    <cellStyle name="Price 3" xfId="1197" xr:uid="{138D8540-4F6E-4CAE-A938-5F8B7A7E95BE}"/>
    <cellStyle name="Procenten" xfId="281" xr:uid="{00000000-0005-0000-0000-000019010000}"/>
    <cellStyle name="PSChar" xfId="1199" xr:uid="{555FCD8D-E96A-40C4-AD48-AB303B8C7CB5}"/>
    <cellStyle name="PSChar 2" xfId="1200" xr:uid="{6DAF376B-B5E1-4D5C-A800-710D78599403}"/>
    <cellStyle name="PSDate" xfId="1201" xr:uid="{B2B8452D-A7D1-4500-B5B1-CD09C4F4E03E}"/>
    <cellStyle name="PSDec" xfId="1202" xr:uid="{C25876B4-C031-4D42-B070-9D85B29B345F}"/>
    <cellStyle name="PSHeading" xfId="1203" xr:uid="{C204D4B6-4DFC-4D54-B3A9-3E1481B63F9C}"/>
    <cellStyle name="PSHeading 2" xfId="1204" xr:uid="{3B299590-C9A3-431A-9308-1F89BF27A90F}"/>
    <cellStyle name="PSInt" xfId="1205" xr:uid="{9AAFFA90-8032-4192-A48E-D521A429E50B}"/>
    <cellStyle name="PSSpacer" xfId="1206" xr:uid="{478E795D-8A4B-4240-823D-616E1A29F09D}"/>
    <cellStyle name="PSSpacer 2" xfId="1207" xr:uid="{4478DC5C-7B80-4336-8561-D02F7379B0DE}"/>
    <cellStyle name="Pub percent" xfId="282" xr:uid="{00000000-0005-0000-0000-00001A010000}"/>
    <cellStyle name="Punto" xfId="1208" xr:uid="{BB1501CC-8C19-47C7-99FE-3C820298ACF2}"/>
    <cellStyle name="Punto 2" xfId="1209" xr:uid="{F5FCEC50-FE93-4B4A-AA5F-481F7C99E8CD}"/>
    <cellStyle name="Punto 2 2" xfId="1210" xr:uid="{DF3F4035-ED08-4E38-B028-B357D0E5816F}"/>
    <cellStyle name="Punto 3" xfId="1211" xr:uid="{C703E1EF-B9D9-40C5-A4B7-D9BD3C572AD4}"/>
    <cellStyle name="Punto0" xfId="1212" xr:uid="{50B95B95-D918-432C-BD66-C953CED3818B}"/>
    <cellStyle name="Punto0 - Modelo1" xfId="1213" xr:uid="{3365756B-DD97-4E11-82B7-D5E4920AB70D}"/>
    <cellStyle name="Punto0 - Modelo3" xfId="1214" xr:uid="{A4452F95-7D96-42C8-9551-1F65B595A002}"/>
    <cellStyle name="Punto0 2" xfId="1215" xr:uid="{14612134-9118-4F94-8EAE-AAF48DF45F1F}"/>
    <cellStyle name="Punto0 2 2" xfId="1216" xr:uid="{985B6D7B-999B-405B-82FC-1124D9474B49}"/>
    <cellStyle name="Punto0 3" xfId="1217" xr:uid="{C4A14EE7-AD9E-491A-A96B-5F7A639EE63C}"/>
    <cellStyle name="Punto0 3 2" xfId="1218" xr:uid="{1C48083B-AE66-4413-898F-819A829183F3}"/>
    <cellStyle name="Punto0 4" xfId="1219" xr:uid="{0FCEF28D-9B7D-45BD-9A25-351C110B13A5}"/>
    <cellStyle name="Punto0 4 2" xfId="1220" xr:uid="{3D841B3C-A3E3-4AAD-9785-8A4E969191C7}"/>
    <cellStyle name="Punto0 5" xfId="1221" xr:uid="{95CE0AB1-CCD4-45E4-A421-02B470DE8AF6}"/>
    <cellStyle name="Punto0_~0022452" xfId="1222" xr:uid="{ABDE9112-6981-4453-954B-98A7B2053503}"/>
    <cellStyle name="Quant." xfId="1223" xr:uid="{25F250CE-E7FA-4BB5-A32B-CE250F545627}"/>
    <cellStyle name="r" xfId="283" xr:uid="{00000000-0005-0000-0000-00001B010000}"/>
    <cellStyle name="r_Canal Digital" xfId="284" xr:uid="{00000000-0005-0000-0000-00001C010000}"/>
    <cellStyle name="r_Canal Digital_Deutsche" xfId="285" xr:uid="{00000000-0005-0000-0000-00001D010000}"/>
    <cellStyle name="r_Canal Digital_Fixed" xfId="286" xr:uid="{00000000-0005-0000-0000-00001E010000}"/>
    <cellStyle name="r_Canal Digital_Fixed_Deutsche" xfId="287" xr:uid="{00000000-0005-0000-0000-00001F010000}"/>
    <cellStyle name="r_Canal Digital_Fixed_Innsamling" xfId="288" xr:uid="{00000000-0005-0000-0000-000020010000}"/>
    <cellStyle name="r_Canal Digital_Group" xfId="289" xr:uid="{00000000-0005-0000-0000-000021010000}"/>
    <cellStyle name="r_Canal Digital_Group_Deutsche" xfId="290" xr:uid="{00000000-0005-0000-0000-000022010000}"/>
    <cellStyle name="r_Canal Digital_Group_Innsamling" xfId="291" xr:uid="{00000000-0005-0000-0000-000023010000}"/>
    <cellStyle name="r_Canal Digital_Innsamling" xfId="292" xr:uid="{00000000-0005-0000-0000-000024010000}"/>
    <cellStyle name="r_Canal Digital_Mobile" xfId="293" xr:uid="{00000000-0005-0000-0000-000025010000}"/>
    <cellStyle name="r_Canal Digital_Mobile_Deutsche" xfId="294" xr:uid="{00000000-0005-0000-0000-000026010000}"/>
    <cellStyle name="r_Canal Digital_Mobile_Innsamling" xfId="295" xr:uid="{00000000-0005-0000-0000-000027010000}"/>
    <cellStyle name="r_Canal Digital_Special items" xfId="296" xr:uid="{00000000-0005-0000-0000-000028010000}"/>
    <cellStyle name="r_Canal Digital_Special items_Deutsche" xfId="297" xr:uid="{00000000-0005-0000-0000-000029010000}"/>
    <cellStyle name="r_Canal Digital_Special items_Innsamling" xfId="298" xr:uid="{00000000-0005-0000-0000-00002A010000}"/>
    <cellStyle name="r_tel" xfId="299" xr:uid="{00000000-0005-0000-0000-00002B010000}"/>
    <cellStyle name="r_tel.xls Chart 680" xfId="300" xr:uid="{00000000-0005-0000-0000-00002C010000}"/>
    <cellStyle name="r_Telenor" xfId="301" xr:uid="{00000000-0005-0000-0000-00002D010000}"/>
    <cellStyle name="RatioX" xfId="302" xr:uid="{00000000-0005-0000-0000-00002E010000}"/>
    <cellStyle name="Red font" xfId="303" xr:uid="{00000000-0005-0000-0000-00002F010000}"/>
    <cellStyle name="Report" xfId="304" xr:uid="{00000000-0005-0000-0000-000030010000}"/>
    <cellStyle name="Right" xfId="305" xr:uid="{00000000-0005-0000-0000-000031010000}"/>
    <cellStyle name="RM" xfId="1224" xr:uid="{26B6D835-0201-4998-8345-D967C25E1B10}"/>
    <cellStyle name="Rmess" xfId="306" xr:uid="{00000000-0005-0000-0000-000032010000}"/>
    <cellStyle name="Rnumber" xfId="307" xr:uid="{00000000-0005-0000-0000-000033010000}"/>
    <cellStyle name="Rnumber 0d" xfId="308" xr:uid="{00000000-0005-0000-0000-000034010000}"/>
    <cellStyle name="Rnumber_eurosubs10" xfId="309" xr:uid="{00000000-0005-0000-0000-000035010000}"/>
    <cellStyle name="robs" xfId="1225" xr:uid="{EE1A5913-EF43-4D55-8CA5-091F5AF8B23B}"/>
    <cellStyle name="robs 2" xfId="1226" xr:uid="{EF1FC21E-9A00-4A31-8D32-5AA23A20C423}"/>
    <cellStyle name="rodape" xfId="1227" xr:uid="{39F38EEC-E29B-4E1B-95F2-E473104116FF}"/>
    <cellStyle name="Row and Column Total" xfId="310" xr:uid="{00000000-0005-0000-0000-000036010000}"/>
    <cellStyle name="Row Heading" xfId="311" xr:uid="{00000000-0005-0000-0000-000037010000}"/>
    <cellStyle name="Row Heading (No Wrap)" xfId="312" xr:uid="{00000000-0005-0000-0000-000038010000}"/>
    <cellStyle name="Row Ignore" xfId="313" xr:uid="{00000000-0005-0000-0000-000039010000}"/>
    <cellStyle name="Row label" xfId="314" xr:uid="{00000000-0005-0000-0000-00003A010000}"/>
    <cellStyle name="Row label (indent)" xfId="315" xr:uid="{00000000-0005-0000-0000-00003B010000}"/>
    <cellStyle name="Row Sub total" xfId="316" xr:uid="{00000000-0005-0000-0000-00003C010000}"/>
    <cellStyle name="Row Title 1" xfId="317" xr:uid="{00000000-0005-0000-0000-00003D010000}"/>
    <cellStyle name="Row Title 1 2" xfId="1228" xr:uid="{4F813CA5-B6B7-40FA-B32D-EB088B1B9841}"/>
    <cellStyle name="Row Title 2" xfId="318" xr:uid="{00000000-0005-0000-0000-00003E010000}"/>
    <cellStyle name="Row Title 2 2" xfId="1229" xr:uid="{C2F3D23D-6AA6-48CA-8D3A-3C47A08AC460}"/>
    <cellStyle name="Row Title 3" xfId="319" xr:uid="{00000000-0005-0000-0000-00003F010000}"/>
    <cellStyle name="Row Title 3 2" xfId="1230" xr:uid="{BB97D418-762C-41A2-87FD-EB4795DE7C91}"/>
    <cellStyle name="Row Total" xfId="320" xr:uid="{00000000-0005-0000-0000-000040010000}"/>
    <cellStyle name="Row Total 2" xfId="1231" xr:uid="{CAC91D13-E95E-425F-B073-D5D8B733BC1F}"/>
    <cellStyle name="s]_x000d__x000a_spooler=yes_x000d__x000a_load=nwpopup.exe_x000d__x000a_run=_x000d__x000a_Beep=No_x000d__x000a_NullPort=None_x000d__x000a_BorderWidth=3_x000d__x000a_CursorBlinkRate=345_x000d__x000a_DoubleClickSpeed=3" xfId="1232" xr:uid="{E962A0F8-5A6D-4E34-A616-E249248DF02D}"/>
    <cellStyle name="s]_x000d__x000a_spooler=yes_x000d__x000a_load=nwpopup.exe_x000d__x000a_run=_x000d__x000a_Beep=No_x000d__x000a_NullPort=None_x000d__x000a_BorderWidth=3_x000d__x000a_CursorBlinkRate=345_x000d__x000a_DoubleClickSpeed=3 2" xfId="1233" xr:uid="{156B0BC5-D8DD-4FCF-889F-E6FC2F21916D}"/>
    <cellStyle name="Saisie" xfId="321" xr:uid="{00000000-0005-0000-0000-000041010000}"/>
    <cellStyle name="Salomon Logo" xfId="322" xr:uid="{00000000-0005-0000-0000-000042010000}"/>
    <cellStyle name="SAPBEXaggData" xfId="1234" xr:uid="{48A324F7-7B92-4FFA-9D1F-33FCE00D511C}"/>
    <cellStyle name="SAPBEXaggDataEmph" xfId="1235" xr:uid="{BD5273B7-24C8-4EA2-B09B-C55F8386BFEC}"/>
    <cellStyle name="SAPBEXaggItem" xfId="1236" xr:uid="{0AEBFDCC-9CC9-4CA7-AE2B-21888A3F358B}"/>
    <cellStyle name="SAPBEXchaText" xfId="1237" xr:uid="{DBC14E27-F97B-407E-8A67-B5737B99EE9A}"/>
    <cellStyle name="SAPBEXexcBad7" xfId="1238" xr:uid="{34C8B69E-ED92-4367-90A8-179DC17B5B06}"/>
    <cellStyle name="SAPBEXexcBad8" xfId="1239" xr:uid="{D39696C1-39B2-433F-B2F1-26E6BA3926DB}"/>
    <cellStyle name="SAPBEXexcBad9" xfId="1240" xr:uid="{AFF1FD3F-14FF-40AE-A3CD-FA268539AD3D}"/>
    <cellStyle name="SAPBEXexcCritical4" xfId="1241" xr:uid="{88D6C127-16D3-4CDA-9088-425C12FF994C}"/>
    <cellStyle name="SAPBEXexcCritical5" xfId="1242" xr:uid="{18F7D167-9FA9-4831-A92B-5828F045B204}"/>
    <cellStyle name="SAPBEXexcCritical6" xfId="1243" xr:uid="{85433FDE-6F42-4C27-86BF-526C80CE8809}"/>
    <cellStyle name="SAPBEXexcGood1" xfId="1244" xr:uid="{CA889F70-05E9-4E45-B139-5DF1299A7DDD}"/>
    <cellStyle name="SAPBEXexcGood2" xfId="1245" xr:uid="{7FA95E94-FD67-4068-8F33-6D24C2611F10}"/>
    <cellStyle name="SAPBEXexcGood3" xfId="1246" xr:uid="{493A5201-2E73-4676-A446-DBA6220763D7}"/>
    <cellStyle name="SAPBEXfilterDrill" xfId="1247" xr:uid="{7F374DDA-0400-4DFE-A688-342CEA417CC7}"/>
    <cellStyle name="SAPBEXfilterItem" xfId="1248" xr:uid="{2DC063B3-AE07-4445-B09D-B0C98CD5395A}"/>
    <cellStyle name="SAPBEXfilterText" xfId="1249" xr:uid="{2DCF8B14-561F-4E4D-946F-CC3B06BBA684}"/>
    <cellStyle name="SAPBEXformats" xfId="1250" xr:uid="{C9B1DBC3-D809-4E08-B366-722DFB2B9C7F}"/>
    <cellStyle name="SAPBEXheaderItem" xfId="1251" xr:uid="{0CF56C8E-CE17-45A0-8C70-EC1C560114E3}"/>
    <cellStyle name="SAPBEXheaderText" xfId="1252" xr:uid="{1AE4AAB9-0D53-45AC-AB78-9211BC9ABF1B}"/>
    <cellStyle name="SAPBEXresData" xfId="1253" xr:uid="{E71F5EA3-1E1A-40C9-B227-85CFBB6FC22B}"/>
    <cellStyle name="SAPBEXresDataEmph" xfId="1254" xr:uid="{05C15055-0CEF-4C0C-94E6-894D8F8CCFD3}"/>
    <cellStyle name="SAPBEXresItem" xfId="1255" xr:uid="{382606EF-4CA2-4458-B184-DAACC5695C74}"/>
    <cellStyle name="SAPBEXstdData" xfId="1256" xr:uid="{E975E1E2-CA0F-4563-AD23-4D3D2668F66D}"/>
    <cellStyle name="SAPBEXstdDataEmph" xfId="1257" xr:uid="{3E6EC453-D4E0-41A8-992C-33118CD06930}"/>
    <cellStyle name="SAPBEXstdItem" xfId="1258" xr:uid="{DAA77CAF-693B-436C-ADCE-4F33290EAD2E}"/>
    <cellStyle name="SAPBEXtitle" xfId="1259" xr:uid="{F579C29A-FFE2-47C4-A885-FDE106933263}"/>
    <cellStyle name="SAPBEXundefined" xfId="1260" xr:uid="{EB47786A-AEA4-488B-A21F-3D1CBAF1F71D}"/>
    <cellStyle name="ScripFactor" xfId="323" xr:uid="{00000000-0005-0000-0000-000043010000}"/>
    <cellStyle name="Section name" xfId="1262" xr:uid="{4EC3676C-243D-426D-9A9C-075D3D818E0B}"/>
    <cellStyle name="Section Title" xfId="324" xr:uid="{00000000-0005-0000-0000-000044010000}"/>
    <cellStyle name="SectionHeading" xfId="325" xr:uid="{00000000-0005-0000-0000-000045010000}"/>
    <cellStyle name="Separador de m" xfId="1263" xr:uid="{0B374FBB-6584-441F-8812-FC07D148D8BD}"/>
    <cellStyle name="Separador de milhares [0]_Intx SMS Vivo x Outras Operadoras" xfId="1264" xr:uid="{9595C829-4A43-4EC3-9348-B700A70E92D9}"/>
    <cellStyle name="Separador de milhares 2" xfId="1265" xr:uid="{F7FAE665-CD9C-4DBF-9AFF-78E47A7DAC53}"/>
    <cellStyle name="Separador de milhares 2 2" xfId="1266" xr:uid="{1205B626-C7A3-4926-99D2-027EA6016F76}"/>
    <cellStyle name="Separador de milhares 2 2 2" xfId="1267" xr:uid="{5B9023AF-478C-4F7F-9926-F07D648105BA}"/>
    <cellStyle name="Separador de milhares 3" xfId="1268" xr:uid="{369D2F0D-F519-4C8F-BDBF-6708E6E16E07}"/>
    <cellStyle name="Separador de milhares 3 2" xfId="1269" xr:uid="{23FC67E0-5D98-4912-BA27-0EDDCB73D804}"/>
    <cellStyle name="Separador de milhares 4" xfId="1270" xr:uid="{209E3CC7-09C2-4E1E-AA6D-3501126C6DF3}"/>
    <cellStyle name="Separador de milhares 4 2" xfId="1271" xr:uid="{DFFBBA81-AD63-4D6F-B684-640F4064E427}"/>
    <cellStyle name="Separador de milhares 5" xfId="1272" xr:uid="{14297486-6083-412B-A380-CCAFDF93EAC7}"/>
    <cellStyle name="Separador de milhares 5 2" xfId="1273" xr:uid="{B6A615D6-3E0E-46BE-A99F-C97567AB3101}"/>
    <cellStyle name="Separador de milhares 6" xfId="1274" xr:uid="{D0774667-3123-4A8E-9EA7-F24775137892}"/>
    <cellStyle name="Separador de milhares 7" xfId="1275" xr:uid="{B9EDCDC4-FEAB-4228-9FDB-0B6012C1C7A8}"/>
    <cellStyle name="Separador de milhares 7 2" xfId="1276" xr:uid="{F0BBB29A-9CF2-4C72-BD4A-E945A6F676D6}"/>
    <cellStyle name="Separador de milhares 7 3" xfId="1277" xr:uid="{F2776038-87BB-4742-B27C-DB83C22D2A02}"/>
    <cellStyle name="Separador de milhares 8" xfId="1278" xr:uid="{465BB7BD-763D-4186-926D-07ACCD6C8A5C}"/>
    <cellStyle name="Separador de milhares_Intx SMS Vivo x Outras Operadoras" xfId="1279" xr:uid="{E2449FBF-3E3C-42EF-A8CD-A08713181AFB}"/>
    <cellStyle name="Shaded" xfId="1280" xr:uid="{25DF636F-F193-4264-9BD9-5E346CE7ED7B}"/>
    <cellStyle name="Shares" xfId="326" xr:uid="{00000000-0005-0000-0000-000047010000}"/>
    <cellStyle name="Single Accounting" xfId="327" xr:uid="{00000000-0005-0000-0000-000048010000}"/>
    <cellStyle name="Small Number" xfId="328" xr:uid="{00000000-0005-0000-0000-000049010000}"/>
    <cellStyle name="Small Percentage" xfId="329" xr:uid="{00000000-0005-0000-0000-00004A010000}"/>
    <cellStyle name="Sous titre" xfId="330" xr:uid="{00000000-0005-0000-0000-00004B010000}"/>
    <cellStyle name="Spreadsheet title" xfId="1281" xr:uid="{E012AF0C-A4EA-4A6C-85CC-6E29BF74E255}"/>
    <cellStyle name="ssubtitulo" xfId="1282" xr:uid="{5A2C5E0E-D01D-42F9-B250-6EFB371F9BA8}"/>
    <cellStyle name="Standaard_KPN" xfId="331" xr:uid="{00000000-0005-0000-0000-00004C010000}"/>
    <cellStyle name="Standard" xfId="332" xr:uid="{00000000-0005-0000-0000-00004D010000}"/>
    <cellStyle name="Strange" xfId="333" xr:uid="{00000000-0005-0000-0000-00004E010000}"/>
    <cellStyle name="STYL1 - Estilo8" xfId="1283" xr:uid="{301456B5-195A-4B4E-88EE-720D6E05B85F}"/>
    <cellStyle name="STYL1 - Estilo8 2" xfId="1284" xr:uid="{768A8400-3E48-4775-B8DC-B64795264B05}"/>
    <cellStyle name="STYL1 - Style1" xfId="334" xr:uid="{00000000-0005-0000-0000-00004F010000}"/>
    <cellStyle name="STYL1 - Style1 2" xfId="1286" xr:uid="{5DF88843-D7F9-4ED4-8712-ADBF899C19B3}"/>
    <cellStyle name="STYL1 - Style1 3" xfId="1287" xr:uid="{B9AE065E-E616-4732-9EE5-D6016F83E71A}"/>
    <cellStyle name="STYL1 - Style1 4" xfId="1285" xr:uid="{D44B806F-C28F-4315-9442-C98DC358A18F}"/>
    <cellStyle name="Style 1" xfId="335" xr:uid="{00000000-0005-0000-0000-000050010000}"/>
    <cellStyle name="Style 1 2" xfId="1288" xr:uid="{12E85954-08D5-42C8-B514-D6AD35877BFE}"/>
    <cellStyle name="Style 1 2 2" xfId="1289" xr:uid="{77C65A13-27FA-44E0-B84B-CC990F025527}"/>
    <cellStyle name="Subhead" xfId="336" xr:uid="{00000000-0005-0000-0000-000051010000}"/>
    <cellStyle name="subtitulo" xfId="1290" xr:uid="{0C1F6794-EF36-4987-A2F5-E257DDA89273}"/>
    <cellStyle name="Sub-titulo" xfId="1291" xr:uid="{602772AF-739F-41BC-9484-5A84F2057FD3}"/>
    <cellStyle name="Sub-Título" xfId="1292" xr:uid="{C5FDD819-80B9-4814-93E9-70913B807983}"/>
    <cellStyle name="Sub-titulo 2" xfId="1293" xr:uid="{86278037-641D-41DC-A1BC-0A506C8422F3}"/>
    <cellStyle name="Subtotal" xfId="1294" xr:uid="{B2907E51-74E1-4844-8B44-D05FC83F055A}"/>
    <cellStyle name="Sub-total" xfId="1295" xr:uid="{7FBBF162-DE68-4CEC-B96B-AF6961B40FCF}"/>
    <cellStyle name="Sub-total row" xfId="337" xr:uid="{00000000-0005-0000-0000-000052010000}"/>
    <cellStyle name="Table" xfId="338" xr:uid="{00000000-0005-0000-0000-000053010000}"/>
    <cellStyle name="Table finish row" xfId="339" xr:uid="{00000000-0005-0000-0000-000054010000}"/>
    <cellStyle name="Table Head" xfId="340" xr:uid="{00000000-0005-0000-0000-000055010000}"/>
    <cellStyle name="Table Head 2" xfId="1297" xr:uid="{4740EB65-32FC-42E6-AAE8-8E1BCD8EB447}"/>
    <cellStyle name="Table Head 3" xfId="1298" xr:uid="{293C0784-8D67-4FE9-8820-80BCEAFBE93E}"/>
    <cellStyle name="Table Head 4" xfId="1299" xr:uid="{DF55C2A7-8FC2-439A-AAC9-00AA17E19BFA}"/>
    <cellStyle name="Table Head 5" xfId="1296" xr:uid="{BC4DC404-DB19-4AC5-AFC2-978FEEDEE9B1}"/>
    <cellStyle name="Table Head Aligned" xfId="341" xr:uid="{00000000-0005-0000-0000-000056010000}"/>
    <cellStyle name="Table Head Aligned 2" xfId="1301" xr:uid="{EBFA95B7-4B82-4D96-A317-930F05619367}"/>
    <cellStyle name="Table Head Aligned 3" xfId="1300" xr:uid="{4814AD46-156F-4AE6-B6D2-79CED0BB16EA}"/>
    <cellStyle name="Table Head Blue" xfId="342" xr:uid="{00000000-0005-0000-0000-000057010000}"/>
    <cellStyle name="Table Head Blue 2" xfId="1303" xr:uid="{28A81888-5072-4802-B13F-58A1827CF340}"/>
    <cellStyle name="Table Head Blue 3" xfId="1304" xr:uid="{7F1A3B50-6FC7-4517-9020-7E150974FA1C}"/>
    <cellStyle name="Table Head Blue 4" xfId="1302" xr:uid="{41671E8F-E54E-4D0C-9B5F-3F0744ADE4F4}"/>
    <cellStyle name="Table Head Green" xfId="343" xr:uid="{00000000-0005-0000-0000-000058010000}"/>
    <cellStyle name="Table Head Green 2" xfId="1306" xr:uid="{5C9A4FA6-95C6-45A7-8AC9-BAF28E97B7DA}"/>
    <cellStyle name="Table Head Green 3" xfId="1307" xr:uid="{7FD1B8AB-5E7E-44A1-8378-D9A647D90F01}"/>
    <cellStyle name="Table Head Green 4" xfId="1305" xr:uid="{542F6620-AECA-492C-ABA6-63C78D7854E2}"/>
    <cellStyle name="Table Head_Millicom_current" xfId="344" xr:uid="{00000000-0005-0000-0000-000059010000}"/>
    <cellStyle name="table numbers 1" xfId="345" xr:uid="{00000000-0005-0000-0000-00005A010000}"/>
    <cellStyle name="Table numbers 2" xfId="346" xr:uid="{00000000-0005-0000-0000-00005B010000}"/>
    <cellStyle name="Table shading" xfId="347" xr:uid="{00000000-0005-0000-0000-00005C010000}"/>
    <cellStyle name="Table Source" xfId="348" xr:uid="{00000000-0005-0000-0000-00005D010000}"/>
    <cellStyle name="Table Sub Head" xfId="349" xr:uid="{00000000-0005-0000-0000-00005E010000}"/>
    <cellStyle name="Table Text" xfId="350" xr:uid="{00000000-0005-0000-0000-00005F010000}"/>
    <cellStyle name="Table Title" xfId="351" xr:uid="{00000000-0005-0000-0000-000060010000}"/>
    <cellStyle name="Table Title 2" xfId="1309" xr:uid="{68030C87-26B1-42F1-B41F-19C8A02CE53E}"/>
    <cellStyle name="Table Title 3" xfId="1310" xr:uid="{26EE795B-2806-46A5-9F46-B7B551BDC5EA}"/>
    <cellStyle name="Table Title 4" xfId="1311" xr:uid="{E00A31FA-C2BD-41C7-B034-C4BB150BB820}"/>
    <cellStyle name="Table Title 5" xfId="1308" xr:uid="{81423330-A4E0-4E88-9593-1EE9E4208796}"/>
    <cellStyle name="Table unfinish row" xfId="352" xr:uid="{00000000-0005-0000-0000-000061010000}"/>
    <cellStyle name="Table Units" xfId="353" xr:uid="{00000000-0005-0000-0000-000062010000}"/>
    <cellStyle name="Table Units 2" xfId="1313" xr:uid="{FDF8DA9F-15D8-4303-AB50-5EC90A541F0F}"/>
    <cellStyle name="Table Units 3" xfId="1314" xr:uid="{6E297BFB-D614-4E8D-942D-AFD72B512C9E}"/>
    <cellStyle name="Table Units 4" xfId="1315" xr:uid="{51AEE4BB-2D1F-499C-8A61-86629DFED97D}"/>
    <cellStyle name="Table Units 5" xfId="1312" xr:uid="{E74C0719-76FA-4ABA-897D-8E153C7706D8}"/>
    <cellStyle name="Table unshading" xfId="354" xr:uid="{00000000-0005-0000-0000-000063010000}"/>
    <cellStyle name="TableBorder" xfId="355" xr:uid="{00000000-0005-0000-0000-000064010000}"/>
    <cellStyle name="TableFootnotes" xfId="356" xr:uid="{00000000-0005-0000-0000-000065010000}"/>
    <cellStyle name="TableTitleFormat" xfId="357" xr:uid="{00000000-0005-0000-0000-000066010000}"/>
    <cellStyle name="taples Plaza" xfId="1316" xr:uid="{F44A9261-AC3B-4B3C-A2BE-4F17CAC8E5DF}"/>
    <cellStyle name="taples Plaza 2" xfId="1317" xr:uid="{BBC55C61-2742-4942-A948-07170E6D8F5C}"/>
    <cellStyle name="Test [green]" xfId="358" xr:uid="{00000000-0005-0000-0000-000067010000}"/>
    <cellStyle name="test a style" xfId="359" xr:uid="{00000000-0005-0000-0000-000068010000}"/>
    <cellStyle name="Text" xfId="360" xr:uid="{00000000-0005-0000-0000-000069010000}"/>
    <cellStyle name="Text 1" xfId="361" xr:uid="{00000000-0005-0000-0000-00006A010000}"/>
    <cellStyle name="Text 2" xfId="362" xr:uid="{00000000-0005-0000-0000-00006B010000}"/>
    <cellStyle name="Text 3" xfId="1319" xr:uid="{AE2AF6A6-5B66-4222-9C17-1D92A1FBE40D}"/>
    <cellStyle name="TEXT 4" xfId="1318" xr:uid="{251A213C-99CC-43EB-B5F4-F2C5439035F3}"/>
    <cellStyle name="TEXT 5" xfId="1373" xr:uid="{1DD72E1A-6F7B-437A-A808-9E7C922CE00D}"/>
    <cellStyle name="TEXT 6" xfId="1261" xr:uid="{6D02CCD5-FD7E-4621-B1DE-28021F973974}"/>
    <cellStyle name="Text Head 1" xfId="363" xr:uid="{00000000-0005-0000-0000-00006C010000}"/>
    <cellStyle name="Text Head 2" xfId="364" xr:uid="{00000000-0005-0000-0000-00006D010000}"/>
    <cellStyle name="Text Indent 1" xfId="365" xr:uid="{00000000-0005-0000-0000-00006E010000}"/>
    <cellStyle name="Text Indent 2" xfId="366" xr:uid="{00000000-0005-0000-0000-00006F010000}"/>
    <cellStyle name="TFCF" xfId="367" xr:uid="{00000000-0005-0000-0000-000070010000}"/>
    <cellStyle name="Time Strip" xfId="368" xr:uid="{00000000-0005-0000-0000-000071010000}"/>
    <cellStyle name="times" xfId="369" xr:uid="{00000000-0005-0000-0000-000072010000}"/>
    <cellStyle name="Times 10" xfId="370" xr:uid="{00000000-0005-0000-0000-000073010000}"/>
    <cellStyle name="Times 12" xfId="371" xr:uid="{00000000-0005-0000-0000-000074010000}"/>
    <cellStyle name="times_Deutsche" xfId="372" xr:uid="{00000000-0005-0000-0000-000075010000}"/>
    <cellStyle name="Title 2" xfId="1320" xr:uid="{1143F628-9D94-4B6C-9110-7AF5D37DC885}"/>
    <cellStyle name="Title 2 2" xfId="1321" xr:uid="{6DF0EB5B-5138-4709-A246-4BBC3DF68E2E}"/>
    <cellStyle name="Title Heading" xfId="373" xr:uid="{00000000-0005-0000-0000-000076010000}"/>
    <cellStyle name="Title II" xfId="374" xr:uid="{00000000-0005-0000-0000-000077010000}"/>
    <cellStyle name="title1" xfId="375" xr:uid="{00000000-0005-0000-0000-000078010000}"/>
    <cellStyle name="Title2" xfId="376" xr:uid="{00000000-0005-0000-0000-000079010000}"/>
    <cellStyle name="TitleII" xfId="377" xr:uid="{00000000-0005-0000-0000-00007A010000}"/>
    <cellStyle name="Titles" xfId="378" xr:uid="{00000000-0005-0000-0000-00007B010000}"/>
    <cellStyle name="Titre" xfId="379" xr:uid="{00000000-0005-0000-0000-00007C010000}"/>
    <cellStyle name="titulo" xfId="1322" xr:uid="{32027A5F-1FE7-4215-8104-58624BB5868A}"/>
    <cellStyle name="Titulo1" xfId="1323" xr:uid="{C8845C88-CB62-4FF2-AF66-6BB8FE97829F}"/>
    <cellStyle name="Titulo2" xfId="1324" xr:uid="{9B0A1396-6E2F-4B0C-BC4D-97C90F6C68EA}"/>
    <cellStyle name="titulomov" xfId="1325" xr:uid="{6BAC4C0C-D5AE-4F79-BED7-9ED523829980}"/>
    <cellStyle name="Titulo-Seccion" xfId="1326" xr:uid="{B9255DDA-8DC2-46F7-A8F9-2EBF067B2083}"/>
    <cellStyle name="Titulo-Seccion 2" xfId="1327" xr:uid="{A1DFF97D-227F-4B78-92EB-9417604B5DB7}"/>
    <cellStyle name="TOC 1" xfId="380" xr:uid="{00000000-0005-0000-0000-00007D010000}"/>
    <cellStyle name="TOC 2" xfId="381" xr:uid="{00000000-0005-0000-0000-00007E010000}"/>
    <cellStyle name="Todos" xfId="1328" xr:uid="{290AC10D-C062-489C-BFE4-DEBAAF4009F6}"/>
    <cellStyle name="tom" xfId="382" xr:uid="{00000000-0005-0000-0000-00007F010000}"/>
    <cellStyle name="Topline" xfId="383" xr:uid="{00000000-0005-0000-0000-000080010000}"/>
    <cellStyle name="Total" xfId="428" builtinId="25" customBuiltin="1"/>
    <cellStyle name="Total 2" xfId="1329" xr:uid="{CD788801-AF71-45F2-A41F-3CF6EF83C33F}"/>
    <cellStyle name="Total 2 2" xfId="1330" xr:uid="{7350FF7D-54C2-444B-A58F-F340BB1D71E1}"/>
    <cellStyle name="Total 2 3" xfId="1331" xr:uid="{3880EFC7-6B58-4855-91C7-DF3AD3447594}"/>
    <cellStyle name="Total row" xfId="384" xr:uid="{00000000-0005-0000-0000-000081010000}"/>
    <cellStyle name="totalbalan" xfId="1332" xr:uid="{7CE56905-F48B-4AB9-9BBF-8B87BD2D6D9D}"/>
    <cellStyle name="Tusenskille_Korrigeringer for å nettoføre VØT" xfId="385" xr:uid="{00000000-0005-0000-0000-000082010000}"/>
    <cellStyle name="Tusental (0)_1998-Q2" xfId="386" xr:uid="{00000000-0005-0000-0000-000083010000}"/>
    <cellStyle name="Tusental_1998-Q4-NORGE" xfId="387" xr:uid="{00000000-0005-0000-0000-000084010000}"/>
    <cellStyle name="ul" xfId="388" xr:uid="{00000000-0005-0000-0000-000085010000}"/>
    <cellStyle name="Unhighlight" xfId="389" xr:uid="{00000000-0005-0000-0000-000086010000}"/>
    <cellStyle name="Unit" xfId="390" xr:uid="{00000000-0005-0000-0000-000087010000}"/>
    <cellStyle name="units" xfId="391" xr:uid="{00000000-0005-0000-0000-000088010000}"/>
    <cellStyle name="Untotal row" xfId="392" xr:uid="{00000000-0005-0000-0000-000089010000}"/>
    <cellStyle name="Upload Only" xfId="393" xr:uid="{00000000-0005-0000-0000-00008A010000}"/>
    <cellStyle name="V¡rgula" xfId="1333" xr:uid="{92F69183-E9E9-428A-90B3-05F6BCE4A1CA}"/>
    <cellStyle name="V¡rgula0" xfId="1334" xr:uid="{8D923266-6723-43EB-B27E-F733EB49192F}"/>
    <cellStyle name="Valuta (0)" xfId="1335" xr:uid="{950861F1-8B6C-413A-B855-1D58F75BBDCE}"/>
    <cellStyle name="VENDOR" xfId="1336" xr:uid="{9DDDC7E4-C198-4E5A-AC2A-F9B3D5861CF8}"/>
    <cellStyle name="Vírgula 2" xfId="1337" xr:uid="{CD163619-4358-4B94-BD85-9EBA9158B3B5}"/>
    <cellStyle name="Vírgula 2 2" xfId="1338" xr:uid="{8D975AD0-D377-4364-BA00-A864E915B6ED}"/>
    <cellStyle name="Vírgula0" xfId="1339" xr:uid="{E46B4FF9-E81B-4A44-A618-2359424E3A56}"/>
    <cellStyle name="Währung [0]_Compiling Utility Macros" xfId="1340" xr:uid="{A1B5DFA9-5FA6-44D3-922C-F384299377F4}"/>
    <cellStyle name="Währung_Compiling Utility Macros" xfId="1341" xr:uid="{ACB2C32E-3A56-4726-941A-6563BF03DE3B}"/>
    <cellStyle name="Warning Text" xfId="426" builtinId="11" customBuiltin="1"/>
    <cellStyle name="Warning Text 2" xfId="1342" xr:uid="{D8756C1D-7AC5-4026-9D06-D99B3D25DDFE}"/>
    <cellStyle name="web_ normal" xfId="394" xr:uid="{00000000-0005-0000-0000-00008C010000}"/>
    <cellStyle name="White" xfId="395" xr:uid="{00000000-0005-0000-0000-00008D010000}"/>
    <cellStyle name="WhitePattern1" xfId="1343" xr:uid="{F88C6CC9-A883-451D-A31B-755E9407A520}"/>
    <cellStyle name="WhitePattern1 2" xfId="1344" xr:uid="{3310A781-0C14-4E09-98F5-0B65EF6BE354}"/>
    <cellStyle name="WholeNumber" xfId="396" xr:uid="{00000000-0005-0000-0000-00008E010000}"/>
    <cellStyle name="WP Header" xfId="397" xr:uid="{00000000-0005-0000-0000-00008F010000}"/>
    <cellStyle name="x" xfId="1345" xr:uid="{C9880E28-1D85-40A3-9760-90D5216CABAD}"/>
    <cellStyle name="Year" xfId="398" xr:uid="{00000000-0005-0000-0000-000090010000}"/>
    <cellStyle name="Year 2" xfId="1347" xr:uid="{E99AE1F2-6724-43A4-8F0E-225FC16B04EA}"/>
    <cellStyle name="Year 3" xfId="1348" xr:uid="{3CD55E2F-4150-462A-B2FA-64B136BAAB43}"/>
    <cellStyle name="Year 4" xfId="1349" xr:uid="{F4394AA6-AE75-4382-9DAA-76CAD0B5851E}"/>
    <cellStyle name="Year 5" xfId="1346" xr:uid="{F2B37875-4486-4480-9334-BB268448D819}"/>
    <cellStyle name="Yen" xfId="399" xr:uid="{00000000-0005-0000-0000-000091010000}"/>
    <cellStyle name="ZERO" xfId="1350" xr:uid="{D62ACF31-20C5-4C3F-914E-A6929A624734}"/>
    <cellStyle name="zero = - [0]" xfId="1351" xr:uid="{BC968D80-D7E4-4126-9E0F-19EA0DAAFFC4}"/>
    <cellStyle name="ZERO = - [1]" xfId="1352" xr:uid="{77752942-C39F-4F84-93FA-C5F2461B470E}"/>
    <cellStyle name="zero = - [2]" xfId="1353" xr:uid="{EF45E51C-688E-47D3-8798-66C24B21C8B3}"/>
    <cellStyle name="ZERO = [-]" xfId="1354" xr:uid="{060CAA4B-9117-42EC-BD84-52E6419C12CB}"/>
    <cellStyle name="ZERO_R15" xfId="1355" xr:uid="{43D124AF-64F9-4376-9B08-7580D93A9ED2}"/>
    <cellStyle name="똿뗦먛귟 [0.00]_PRODUCT DETAIL Q1_x0013_" xfId="400" xr:uid="{00000000-0005-0000-0000-000092010000}"/>
    <cellStyle name="똿뗦먛귟_PRODUCT DETAIL Q1TAIL" xfId="401" xr:uid="{00000000-0005-0000-0000-000093010000}"/>
    <cellStyle name="믅됞 [0.00]_PRODUCT DETAIL Q1Q3" xfId="402" xr:uid="{00000000-0005-0000-0000-000094010000}"/>
    <cellStyle name="믅됞_PRODUCT DETAIL Q1TA" xfId="403" xr:uid="{00000000-0005-0000-0000-000095010000}"/>
    <cellStyle name="뷭?_BOOKSHIP_상세일정 (2) (2) " xfId="404" xr:uid="{00000000-0005-0000-0000-000096010000}"/>
    <cellStyle name="콤마 [0]_97년도 프로젝트 현황 (2)OMMENTS_총무" xfId="405" xr:uid="{00000000-0005-0000-0000-000097010000}"/>
    <cellStyle name="콤마_97년도 프로젝트 현황 (2) (2)OMMENT" xfId="406" xr:uid="{00000000-0005-0000-0000-000098010000}"/>
    <cellStyle name="통화 [0]_97년도 프로젝트 현황 (2)OMMENT" xfId="407" xr:uid="{00000000-0005-0000-0000-000099010000}"/>
    <cellStyle name="통화_97년도 프로젝트 현황 (2) (2)OMMENT" xfId="408" xr:uid="{00000000-0005-0000-0000-00009A010000}"/>
    <cellStyle name="표준_97년 프로젝트 현황) (2) (2)" xfId="409" xr:uid="{00000000-0005-0000-0000-00009B010000}"/>
  </cellStyles>
  <dxfs count="0"/>
  <tableStyles count="0" defaultTableStyle="TableStyleMedium2" defaultPivotStyle="PivotStyleLight16"/>
  <colors>
    <mruColors>
      <color rgb="FF00CC99"/>
      <color rgb="FF799098"/>
      <color rgb="FF4A626E"/>
      <color rgb="FF009999"/>
      <color rgb="FF26323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numRef>
              <c:f>Valuation!$M$2:$R$2</c:f>
              <c:numCache>
                <c:formatCode>General</c:formatCode>
                <c:ptCount val="6"/>
                <c:pt idx="0">
                  <c:v>2020</c:v>
                </c:pt>
                <c:pt idx="1">
                  <c:v>2021</c:v>
                </c:pt>
                <c:pt idx="2">
                  <c:v>2022</c:v>
                </c:pt>
                <c:pt idx="3">
                  <c:v>2023</c:v>
                </c:pt>
                <c:pt idx="4">
                  <c:v>2024</c:v>
                </c:pt>
                <c:pt idx="5">
                  <c:v>2025</c:v>
                </c:pt>
              </c:numCache>
            </c:numRef>
          </c:cat>
          <c:val>
            <c:numRef>
              <c:f>Valuation!$M$45:$R$45</c:f>
              <c:numCache>
                <c:formatCode>0.0%</c:formatCode>
                <c:ptCount val="6"/>
                <c:pt idx="0">
                  <c:v>1.6127878344089581E-2</c:v>
                </c:pt>
                <c:pt idx="1">
                  <c:v>8.0632806337203114E-3</c:v>
                </c:pt>
                <c:pt idx="2">
                  <c:v>-4.4685164960417433E-2</c:v>
                </c:pt>
                <c:pt idx="3">
                  <c:v>-7.1183095477238029E-2</c:v>
                </c:pt>
                <c:pt idx="4">
                  <c:v>1.1177783979917472E-2</c:v>
                </c:pt>
                <c:pt idx="5">
                  <c:v>5.4958406398161304E-2</c:v>
                </c:pt>
              </c:numCache>
            </c:numRef>
          </c:val>
          <c:extLst>
            <c:ext xmlns:c16="http://schemas.microsoft.com/office/drawing/2014/chart" uri="{C3380CC4-5D6E-409C-BE32-E72D297353CC}">
              <c16:uniqueId val="{00000000-EF54-4AA9-9482-2B8199E70B81}"/>
            </c:ext>
          </c:extLst>
        </c:ser>
        <c:dLbls>
          <c:showLegendKey val="0"/>
          <c:showVal val="0"/>
          <c:showCatName val="0"/>
          <c:showSerName val="0"/>
          <c:showPercent val="0"/>
          <c:showBubbleSize val="0"/>
        </c:dLbls>
        <c:gapWidth val="219"/>
        <c:overlap val="-27"/>
        <c:axId val="962872280"/>
        <c:axId val="962877200"/>
      </c:barChart>
      <c:catAx>
        <c:axId val="962872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62877200"/>
        <c:crosses val="autoZero"/>
        <c:auto val="1"/>
        <c:lblAlgn val="ctr"/>
        <c:lblOffset val="100"/>
        <c:noMultiLvlLbl val="0"/>
      </c:catAx>
      <c:valAx>
        <c:axId val="962877200"/>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6287228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snaps'!$B$111</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snaps'!$D$110:$W$110</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snaps'!$D$111:$W$111</c:f>
              <c:numCache>
                <c:formatCode>0</c:formatCode>
                <c:ptCount val="20"/>
                <c:pt idx="0">
                  <c:v>232.6</c:v>
                </c:pt>
                <c:pt idx="1">
                  <c:v>232.3</c:v>
                </c:pt>
                <c:pt idx="2">
                  <c:v>237.4</c:v>
                </c:pt>
                <c:pt idx="3">
                  <c:v>241.8</c:v>
                </c:pt>
                <c:pt idx="4">
                  <c:v>233.6</c:v>
                </c:pt>
                <c:pt idx="5">
                  <c:v>231.6</c:v>
                </c:pt>
                <c:pt idx="6">
                  <c:v>229</c:v>
                </c:pt>
                <c:pt idx="7">
                  <c:v>228.5</c:v>
                </c:pt>
                <c:pt idx="8">
                  <c:v>226.1</c:v>
                </c:pt>
                <c:pt idx="9">
                  <c:v>223.9</c:v>
                </c:pt>
                <c:pt idx="10">
                  <c:v>231.7</c:v>
                </c:pt>
                <c:pt idx="11">
                  <c:v>229</c:v>
                </c:pt>
                <c:pt idx="12">
                  <c:v>230.7</c:v>
                </c:pt>
                <c:pt idx="13">
                  <c:v>229.3</c:v>
                </c:pt>
                <c:pt idx="14">
                  <c:v>232.8</c:v>
                </c:pt>
                <c:pt idx="15">
                  <c:v>233.9</c:v>
                </c:pt>
                <c:pt idx="16">
                  <c:v>232.7</c:v>
                </c:pt>
                <c:pt idx="17">
                  <c:v>232.4</c:v>
                </c:pt>
                <c:pt idx="18">
                  <c:v>240.7</c:v>
                </c:pt>
                <c:pt idx="19">
                  <c:v>238.5</c:v>
                </c:pt>
              </c:numCache>
            </c:numRef>
          </c:val>
          <c:smooth val="0"/>
          <c:extLst>
            <c:ext xmlns:c16="http://schemas.microsoft.com/office/drawing/2014/chart" uri="{C3380CC4-5D6E-409C-BE32-E72D297353CC}">
              <c16:uniqueId val="{00000000-3FBD-4BCB-88F0-C7E07EC15817}"/>
            </c:ext>
          </c:extLst>
        </c:ser>
        <c:ser>
          <c:idx val="1"/>
          <c:order val="1"/>
          <c:tx>
            <c:strRef>
              <c:f>'Earnings snaps'!$B$112</c:f>
              <c:strCache>
                <c:ptCount val="1"/>
                <c:pt idx="0">
                  <c:v>Internet</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snaps'!$D$110:$W$110</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snaps'!$D$112:$W$112</c:f>
              <c:numCache>
                <c:formatCode>0</c:formatCode>
                <c:ptCount val="20"/>
                <c:pt idx="0">
                  <c:v>182.7</c:v>
                </c:pt>
                <c:pt idx="1">
                  <c:v>181.9</c:v>
                </c:pt>
                <c:pt idx="2">
                  <c:v>185</c:v>
                </c:pt>
                <c:pt idx="3">
                  <c:v>186.2</c:v>
                </c:pt>
                <c:pt idx="4">
                  <c:v>181.9</c:v>
                </c:pt>
                <c:pt idx="5">
                  <c:v>181</c:v>
                </c:pt>
                <c:pt idx="6">
                  <c:v>182.1</c:v>
                </c:pt>
                <c:pt idx="7">
                  <c:v>185.5</c:v>
                </c:pt>
                <c:pt idx="8">
                  <c:v>187</c:v>
                </c:pt>
                <c:pt idx="9">
                  <c:v>185.7</c:v>
                </c:pt>
                <c:pt idx="10">
                  <c:v>187.6</c:v>
                </c:pt>
                <c:pt idx="11">
                  <c:v>188.4</c:v>
                </c:pt>
                <c:pt idx="12">
                  <c:v>194</c:v>
                </c:pt>
                <c:pt idx="13">
                  <c:v>187.8</c:v>
                </c:pt>
                <c:pt idx="14">
                  <c:v>188.2</c:v>
                </c:pt>
                <c:pt idx="15">
                  <c:v>189.3</c:v>
                </c:pt>
                <c:pt idx="16">
                  <c:v>192.3</c:v>
                </c:pt>
                <c:pt idx="17">
                  <c:v>193.4</c:v>
                </c:pt>
                <c:pt idx="18">
                  <c:v>197.6</c:v>
                </c:pt>
                <c:pt idx="19">
                  <c:v>198.7</c:v>
                </c:pt>
              </c:numCache>
            </c:numRef>
          </c:val>
          <c:smooth val="0"/>
          <c:extLst>
            <c:ext xmlns:c16="http://schemas.microsoft.com/office/drawing/2014/chart" uri="{C3380CC4-5D6E-409C-BE32-E72D297353CC}">
              <c16:uniqueId val="{00000001-3FBD-4BCB-88F0-C7E07EC15817}"/>
            </c:ext>
          </c:extLst>
        </c:ser>
        <c:dLbls>
          <c:showLegendKey val="0"/>
          <c:showVal val="0"/>
          <c:showCatName val="0"/>
          <c:showSerName val="0"/>
          <c:showPercent val="0"/>
          <c:showBubbleSize val="0"/>
        </c:dLbls>
        <c:smooth val="0"/>
        <c:axId val="1611752383"/>
        <c:axId val="1611762783"/>
      </c:lineChart>
      <c:catAx>
        <c:axId val="161175238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611762783"/>
        <c:crosses val="autoZero"/>
        <c:auto val="1"/>
        <c:lblAlgn val="ctr"/>
        <c:lblOffset val="100"/>
        <c:noMultiLvlLbl val="0"/>
      </c:catAx>
      <c:valAx>
        <c:axId val="1611762783"/>
        <c:scaling>
          <c:orientation val="minMax"/>
        </c:scaling>
        <c:delete val="1"/>
        <c:axPos val="l"/>
        <c:numFmt formatCode="0" sourceLinked="1"/>
        <c:majorTickMark val="out"/>
        <c:minorTickMark val="none"/>
        <c:tickLblPos val="nextTo"/>
        <c:crossAx val="161175238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09877501960988E-2"/>
          <c:y val="0"/>
          <c:w val="0.94012635171259218"/>
          <c:h val="0.75466990454157268"/>
        </c:manualLayout>
      </c:layout>
      <c:lineChart>
        <c:grouping val="standard"/>
        <c:varyColors val="0"/>
        <c:ser>
          <c:idx val="0"/>
          <c:order val="0"/>
          <c:tx>
            <c:strRef>
              <c:f>'Earnings snaps'!$B$67</c:f>
              <c:strCache>
                <c:ptCount val="1"/>
                <c:pt idx="0">
                  <c:v>TV</c:v>
                </c:pt>
              </c:strCache>
            </c:strRef>
          </c:tx>
          <c:spPr>
            <a:ln w="25400" cap="rnd">
              <a:solidFill>
                <a:srgbClr val="263238"/>
              </a:solidFill>
              <a:prstDash val="solid"/>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9B-4C33-B8E1-F1758F23D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snaps'!$D$66:$W$66</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snaps'!$D$67:$W$67</c:f>
              <c:numCache>
                <c:formatCode>0.0%</c:formatCode>
                <c:ptCount val="20"/>
                <c:pt idx="0">
                  <c:v>9.1506335053965326E-2</c:v>
                </c:pt>
                <c:pt idx="1">
                  <c:v>8.1974848625989916E-2</c:v>
                </c:pt>
                <c:pt idx="2">
                  <c:v>8.3523505248744856E-2</c:v>
                </c:pt>
                <c:pt idx="3">
                  <c:v>5.7742782152230943E-2</c:v>
                </c:pt>
                <c:pt idx="4">
                  <c:v>4.2992261392948983E-3</c:v>
                </c:pt>
                <c:pt idx="5">
                  <c:v>-3.0133448127421802E-3</c:v>
                </c:pt>
                <c:pt idx="6">
                  <c:v>-3.5383319292333626E-2</c:v>
                </c:pt>
                <c:pt idx="7">
                  <c:v>-5.5004135649296959E-2</c:v>
                </c:pt>
                <c:pt idx="8">
                  <c:v>-3.210616438356162E-2</c:v>
                </c:pt>
                <c:pt idx="9">
                  <c:v>-3.3246977547495615E-2</c:v>
                </c:pt>
                <c:pt idx="10">
                  <c:v>1.1790393013100475E-2</c:v>
                </c:pt>
                <c:pt idx="11">
                  <c:v>2.1881838074397919E-3</c:v>
                </c:pt>
                <c:pt idx="12">
                  <c:v>2.0344980097302123E-2</c:v>
                </c:pt>
                <c:pt idx="13">
                  <c:v>2.4117909781152358E-2</c:v>
                </c:pt>
                <c:pt idx="14">
                  <c:v>4.747518342684609E-3</c:v>
                </c:pt>
                <c:pt idx="15">
                  <c:v>2.1397379912663883E-2</c:v>
                </c:pt>
                <c:pt idx="16">
                  <c:v>8.6692674469006636E-3</c:v>
                </c:pt>
                <c:pt idx="17">
                  <c:v>1.3519406890536434E-2</c:v>
                </c:pt>
                <c:pt idx="18">
                  <c:v>3.3934707903779948E-2</c:v>
                </c:pt>
                <c:pt idx="19">
                  <c:v>1.9666524155621978E-2</c:v>
                </c:pt>
              </c:numCache>
            </c:numRef>
          </c:val>
          <c:smooth val="0"/>
          <c:extLst>
            <c:ext xmlns:c16="http://schemas.microsoft.com/office/drawing/2014/chart" uri="{C3380CC4-5D6E-409C-BE32-E72D297353CC}">
              <c16:uniqueId val="{00000000-BB1B-4792-B9CD-1B1DC22CB50E}"/>
            </c:ext>
          </c:extLst>
        </c:ser>
        <c:ser>
          <c:idx val="1"/>
          <c:order val="1"/>
          <c:tx>
            <c:strRef>
              <c:f>'Earnings snaps'!$B$68</c:f>
              <c:strCache>
                <c:ptCount val="1"/>
                <c:pt idx="0">
                  <c:v>Internet</c:v>
                </c:pt>
              </c:strCache>
            </c:strRef>
          </c:tx>
          <c:spPr>
            <a:ln w="25400" cap="rnd">
              <a:solidFill>
                <a:srgbClr val="799098"/>
              </a:solidFill>
              <a:prstDash val="solid"/>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9B-4C33-B8E1-F1758F23D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snaps'!$D$66:$W$66</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snaps'!$D$68:$W$68</c:f>
              <c:numCache>
                <c:formatCode>0.0%</c:formatCode>
                <c:ptCount val="20"/>
                <c:pt idx="0">
                  <c:v>1.8962632459564865E-2</c:v>
                </c:pt>
                <c:pt idx="1">
                  <c:v>2.0763187429854169E-2</c:v>
                </c:pt>
                <c:pt idx="2">
                  <c:v>2.8921023359288034E-2</c:v>
                </c:pt>
                <c:pt idx="3">
                  <c:v>2.3076923076922995E-2</c:v>
                </c:pt>
                <c:pt idx="4">
                  <c:v>-4.3787629994526123E-3</c:v>
                </c:pt>
                <c:pt idx="5">
                  <c:v>-4.9477735019242131E-3</c:v>
                </c:pt>
                <c:pt idx="6">
                  <c:v>-1.5675675675675738E-2</c:v>
                </c:pt>
                <c:pt idx="7">
                  <c:v>-3.759398496240518E-3</c:v>
                </c:pt>
                <c:pt idx="8">
                  <c:v>2.8037383177569986E-2</c:v>
                </c:pt>
                <c:pt idx="9">
                  <c:v>2.5966850828729182E-2</c:v>
                </c:pt>
                <c:pt idx="10">
                  <c:v>3.0203185063152116E-2</c:v>
                </c:pt>
                <c:pt idx="11">
                  <c:v>1.563342318059302E-2</c:v>
                </c:pt>
                <c:pt idx="12">
                  <c:v>3.7433155080213831E-2</c:v>
                </c:pt>
                <c:pt idx="13">
                  <c:v>1.1308562197092309E-2</c:v>
                </c:pt>
                <c:pt idx="14">
                  <c:v>3.1982942430703876E-3</c:v>
                </c:pt>
                <c:pt idx="15">
                  <c:v>4.7770700636942109E-3</c:v>
                </c:pt>
                <c:pt idx="16">
                  <c:v>-8.7628865979381132E-3</c:v>
                </c:pt>
                <c:pt idx="17">
                  <c:v>2.9818956336528091E-2</c:v>
                </c:pt>
                <c:pt idx="18">
                  <c:v>4.9946865037194588E-2</c:v>
                </c:pt>
                <c:pt idx="19">
                  <c:v>4.9656629688325182E-2</c:v>
                </c:pt>
              </c:numCache>
            </c:numRef>
          </c:val>
          <c:smooth val="0"/>
          <c:extLst>
            <c:ext xmlns:c16="http://schemas.microsoft.com/office/drawing/2014/chart" uri="{C3380CC4-5D6E-409C-BE32-E72D297353CC}">
              <c16:uniqueId val="{00000001-BB1B-4792-B9CD-1B1DC22CB50E}"/>
            </c:ext>
          </c:extLst>
        </c:ser>
        <c:dLbls>
          <c:showLegendKey val="0"/>
          <c:showVal val="0"/>
          <c:showCatName val="0"/>
          <c:showSerName val="0"/>
          <c:showPercent val="0"/>
          <c:showBubbleSize val="0"/>
        </c:dLbls>
        <c:smooth val="0"/>
        <c:axId val="1611764031"/>
        <c:axId val="1611753631"/>
      </c:lineChart>
      <c:catAx>
        <c:axId val="1611764031"/>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611753631"/>
        <c:crosses val="autoZero"/>
        <c:auto val="1"/>
        <c:lblAlgn val="ctr"/>
        <c:lblOffset val="100"/>
        <c:noMultiLvlLbl val="0"/>
      </c:catAx>
      <c:valAx>
        <c:axId val="1611753631"/>
        <c:scaling>
          <c:orientation val="minMax"/>
        </c:scaling>
        <c:delete val="1"/>
        <c:axPos val="l"/>
        <c:numFmt formatCode="0.0%" sourceLinked="1"/>
        <c:majorTickMark val="out"/>
        <c:minorTickMark val="none"/>
        <c:tickLblPos val="nextTo"/>
        <c:crossAx val="1611764031"/>
        <c:crosses val="autoZero"/>
        <c:crossBetween val="between"/>
      </c:valAx>
      <c:spPr>
        <a:noFill/>
        <a:ln w="25400">
          <a:noFill/>
        </a:ln>
        <a:effectLst/>
      </c:spPr>
    </c:plotArea>
    <c:legend>
      <c:legendPos val="b"/>
      <c:layout>
        <c:manualLayout>
          <c:xMode val="edge"/>
          <c:yMode val="edge"/>
          <c:x val="0.33345813056831441"/>
          <c:y val="0.88581434512984059"/>
          <c:w val="0.35405910112536149"/>
          <c:h val="7.7249320552566211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'Earnings snaps'!$B$141</c:f>
              <c:strCache>
                <c:ptCount val="1"/>
                <c:pt idx="0">
                  <c:v>Group margins (RHS)</c:v>
                </c:pt>
              </c:strCache>
            </c:strRef>
          </c:tx>
          <c:spPr>
            <a:solidFill>
              <a:srgbClr val="263238"/>
            </a:solidFill>
            <a:ln>
              <a:noFill/>
            </a:ln>
            <a:effectLst/>
          </c:spPr>
          <c:invertIfNegative val="0"/>
          <c:cat>
            <c:strRef>
              <c:f>'Earnings snaps'!$C$139:$X$139</c:f>
              <c:strCache>
                <c:ptCount val="22"/>
                <c:pt idx="0">
                  <c:v>Q4 18</c:v>
                </c:pt>
                <c:pt idx="1">
                  <c:v>Q1 19</c:v>
                </c:pt>
                <c:pt idx="2">
                  <c:v>Q2 19</c:v>
                </c:pt>
                <c:pt idx="3">
                  <c:v>Q3 19</c:v>
                </c:pt>
                <c:pt idx="4">
                  <c:v>Q4 19</c:v>
                </c:pt>
                <c:pt idx="5">
                  <c:v>Q1 20</c:v>
                </c:pt>
                <c:pt idx="6">
                  <c:v>Q2 20</c:v>
                </c:pt>
                <c:pt idx="7">
                  <c:v>Q3 20</c:v>
                </c:pt>
                <c:pt idx="8">
                  <c:v>Q4 20</c:v>
                </c:pt>
                <c:pt idx="9">
                  <c:v>Q1 21</c:v>
                </c:pt>
                <c:pt idx="10">
                  <c:v>Q2 21</c:v>
                </c:pt>
                <c:pt idx="11">
                  <c:v>Q3 21</c:v>
                </c:pt>
                <c:pt idx="12">
                  <c:v>Q4 21</c:v>
                </c:pt>
                <c:pt idx="13">
                  <c:v>Q1 22</c:v>
                </c:pt>
                <c:pt idx="14">
                  <c:v>Q2 22</c:v>
                </c:pt>
                <c:pt idx="15">
                  <c:v>Q3 22</c:v>
                </c:pt>
                <c:pt idx="16">
                  <c:v>Q4 22</c:v>
                </c:pt>
                <c:pt idx="17">
                  <c:v>Q1 23</c:v>
                </c:pt>
                <c:pt idx="18">
                  <c:v>Q2 23</c:v>
                </c:pt>
                <c:pt idx="19">
                  <c:v>Q3 23</c:v>
                </c:pt>
                <c:pt idx="20">
                  <c:v>Q4 23</c:v>
                </c:pt>
                <c:pt idx="21">
                  <c:v>Q1 24</c:v>
                </c:pt>
              </c:strCache>
            </c:strRef>
          </c:cat>
          <c:val>
            <c:numRef>
              <c:f>'Earnings snaps'!$C$141:$X$141</c:f>
              <c:numCache>
                <c:formatCode>0.0%</c:formatCode>
                <c:ptCount val="22"/>
                <c:pt idx="0">
                  <c:v>0.45098996519149226</c:v>
                </c:pt>
                <c:pt idx="1">
                  <c:v>0.49520659391868277</c:v>
                </c:pt>
                <c:pt idx="2">
                  <c:v>0.48875810960153249</c:v>
                </c:pt>
                <c:pt idx="3">
                  <c:v>0.45929995929995932</c:v>
                </c:pt>
                <c:pt idx="4">
                  <c:v>0.44714530795829299</c:v>
                </c:pt>
                <c:pt idx="5">
                  <c:v>0.50119427422275264</c:v>
                </c:pt>
                <c:pt idx="6">
                  <c:v>0.49813505235350403</c:v>
                </c:pt>
                <c:pt idx="7">
                  <c:v>0.4951264240798216</c:v>
                </c:pt>
                <c:pt idx="8">
                  <c:v>0.47869263141288226</c:v>
                </c:pt>
                <c:pt idx="9">
                  <c:v>0.50453454220856619</c:v>
                </c:pt>
                <c:pt idx="10">
                  <c:v>0.49655331640225597</c:v>
                </c:pt>
                <c:pt idx="11">
                  <c:v>0.4907502547630353</c:v>
                </c:pt>
                <c:pt idx="12">
                  <c:v>0.47689779020460499</c:v>
                </c:pt>
                <c:pt idx="13">
                  <c:v>0.49196562368855656</c:v>
                </c:pt>
                <c:pt idx="14">
                  <c:v>0.48757840299611477</c:v>
                </c:pt>
                <c:pt idx="15">
                  <c:v>0.47025086519956921</c:v>
                </c:pt>
                <c:pt idx="16">
                  <c:v>0.4341293129616513</c:v>
                </c:pt>
                <c:pt idx="17">
                  <c:v>0.45702028526095795</c:v>
                </c:pt>
                <c:pt idx="18">
                  <c:v>0.44582457585031321</c:v>
                </c:pt>
                <c:pt idx="19">
                  <c:v>0.44137868520442131</c:v>
                </c:pt>
                <c:pt idx="20">
                  <c:v>0.44024804406763651</c:v>
                </c:pt>
                <c:pt idx="21">
                  <c:v>0.46096268029856963</c:v>
                </c:pt>
              </c:numCache>
            </c:numRef>
          </c:val>
          <c:extLst>
            <c:ext xmlns:c16="http://schemas.microsoft.com/office/drawing/2014/chart" uri="{C3380CC4-5D6E-409C-BE32-E72D297353CC}">
              <c16:uniqueId val="{00000000-3847-4986-8373-DD0E19E8F0E7}"/>
            </c:ext>
          </c:extLst>
        </c:ser>
        <c:dLbls>
          <c:showLegendKey val="0"/>
          <c:showVal val="0"/>
          <c:showCatName val="0"/>
          <c:showSerName val="0"/>
          <c:showPercent val="0"/>
          <c:showBubbleSize val="0"/>
        </c:dLbls>
        <c:gapWidth val="75"/>
        <c:axId val="1322751968"/>
        <c:axId val="1277256672"/>
      </c:barChart>
      <c:lineChart>
        <c:grouping val="standard"/>
        <c:varyColors val="0"/>
        <c:ser>
          <c:idx val="1"/>
          <c:order val="1"/>
          <c:tx>
            <c:strRef>
              <c:f>'Earnings snaps'!$B$140</c:f>
              <c:strCache>
                <c:ptCount val="1"/>
                <c:pt idx="0">
                  <c:v>Consolidated EBITDA growth (LHS)</c:v>
                </c:pt>
              </c:strCache>
            </c:strRef>
          </c:tx>
          <c:spPr>
            <a:ln w="28575" cap="rnd">
              <a:solidFill>
                <a:srgbClr val="799098"/>
              </a:solidFill>
              <a:round/>
            </a:ln>
            <a:effectLst/>
          </c:spPr>
          <c:marker>
            <c:symbol val="none"/>
          </c:marker>
          <c:cat>
            <c:strRef>
              <c:f>'Earnings snaps'!$C$139:$X$139</c:f>
              <c:strCache>
                <c:ptCount val="22"/>
                <c:pt idx="0">
                  <c:v>Q4 18</c:v>
                </c:pt>
                <c:pt idx="1">
                  <c:v>Q1 19</c:v>
                </c:pt>
                <c:pt idx="2">
                  <c:v>Q2 19</c:v>
                </c:pt>
                <c:pt idx="3">
                  <c:v>Q3 19</c:v>
                </c:pt>
                <c:pt idx="4">
                  <c:v>Q4 19</c:v>
                </c:pt>
                <c:pt idx="5">
                  <c:v>Q1 20</c:v>
                </c:pt>
                <c:pt idx="6">
                  <c:v>Q2 20</c:v>
                </c:pt>
                <c:pt idx="7">
                  <c:v>Q3 20</c:v>
                </c:pt>
                <c:pt idx="8">
                  <c:v>Q4 20</c:v>
                </c:pt>
                <c:pt idx="9">
                  <c:v>Q1 21</c:v>
                </c:pt>
                <c:pt idx="10">
                  <c:v>Q2 21</c:v>
                </c:pt>
                <c:pt idx="11">
                  <c:v>Q3 21</c:v>
                </c:pt>
                <c:pt idx="12">
                  <c:v>Q4 21</c:v>
                </c:pt>
                <c:pt idx="13">
                  <c:v>Q1 22</c:v>
                </c:pt>
                <c:pt idx="14">
                  <c:v>Q2 22</c:v>
                </c:pt>
                <c:pt idx="15">
                  <c:v>Q3 22</c:v>
                </c:pt>
                <c:pt idx="16">
                  <c:v>Q4 22</c:v>
                </c:pt>
                <c:pt idx="17">
                  <c:v>Q1 23</c:v>
                </c:pt>
                <c:pt idx="18">
                  <c:v>Q2 23</c:v>
                </c:pt>
                <c:pt idx="19">
                  <c:v>Q3 23</c:v>
                </c:pt>
                <c:pt idx="20">
                  <c:v>Q4 23</c:v>
                </c:pt>
                <c:pt idx="21">
                  <c:v>Q1 24</c:v>
                </c:pt>
              </c:strCache>
            </c:strRef>
          </c:cat>
          <c:val>
            <c:numRef>
              <c:f>'Earnings snaps'!$C$140:$X$140</c:f>
              <c:numCache>
                <c:formatCode>0.0%</c:formatCode>
                <c:ptCount val="22"/>
                <c:pt idx="0">
                  <c:v>6.2384274085546698E-2</c:v>
                </c:pt>
                <c:pt idx="1">
                  <c:v>7.4520915006519806E-2</c:v>
                </c:pt>
                <c:pt idx="2">
                  <c:v>9.9988715637431946E-2</c:v>
                </c:pt>
                <c:pt idx="3">
                  <c:v>7.1173242543703052E-2</c:v>
                </c:pt>
                <c:pt idx="4">
                  <c:v>0.10280615600473553</c:v>
                </c:pt>
                <c:pt idx="5">
                  <c:v>8.4779994455799867E-2</c:v>
                </c:pt>
                <c:pt idx="6">
                  <c:v>4.1193704884096682E-2</c:v>
                </c:pt>
                <c:pt idx="7">
                  <c:v>0.12108672010311361</c:v>
                </c:pt>
                <c:pt idx="8">
                  <c:v>0.10022662484046796</c:v>
                </c:pt>
                <c:pt idx="9">
                  <c:v>8.5425735288004789E-2</c:v>
                </c:pt>
                <c:pt idx="10">
                  <c:v>0.10696331764001732</c:v>
                </c:pt>
                <c:pt idx="11">
                  <c:v>8.3462136253009689E-2</c:v>
                </c:pt>
                <c:pt idx="12">
                  <c:v>0.11560798292316177</c:v>
                </c:pt>
                <c:pt idx="13">
                  <c:v>7.5095097235112318E-2</c:v>
                </c:pt>
                <c:pt idx="14">
                  <c:v>8.190036532713374E-2</c:v>
                </c:pt>
                <c:pt idx="15">
                  <c:v>5.0537467535740621E-2</c:v>
                </c:pt>
                <c:pt idx="16">
                  <c:v>8.982001014520069E-3</c:v>
                </c:pt>
                <c:pt idx="17">
                  <c:v>1.2453817390679633E-2</c:v>
                </c:pt>
                <c:pt idx="18">
                  <c:v>9.1392380039059251E-3</c:v>
                </c:pt>
                <c:pt idx="19">
                  <c:v>4.3630639395005E-2</c:v>
                </c:pt>
                <c:pt idx="20">
                  <c:v>0.11004291305379343</c:v>
                </c:pt>
                <c:pt idx="21">
                  <c:v>0.12601634597293399</c:v>
                </c:pt>
              </c:numCache>
            </c:numRef>
          </c:val>
          <c:smooth val="0"/>
          <c:extLst>
            <c:ext xmlns:c16="http://schemas.microsoft.com/office/drawing/2014/chart" uri="{C3380CC4-5D6E-409C-BE32-E72D297353CC}">
              <c16:uniqueId val="{00000002-3847-4986-8373-DD0E19E8F0E7}"/>
            </c:ext>
          </c:extLst>
        </c:ser>
        <c:dLbls>
          <c:showLegendKey val="0"/>
          <c:showVal val="0"/>
          <c:showCatName val="0"/>
          <c:showSerName val="0"/>
          <c:showPercent val="0"/>
          <c:showBubbleSize val="0"/>
        </c:dLbls>
        <c:marker val="1"/>
        <c:smooth val="0"/>
        <c:axId val="1495160607"/>
        <c:axId val="1495161855"/>
      </c:line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valAx>
        <c:axId val="127725667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751968"/>
        <c:crosses val="max"/>
        <c:crossBetween val="between"/>
      </c:valAx>
      <c:catAx>
        <c:axId val="1322751968"/>
        <c:scaling>
          <c:orientation val="minMax"/>
        </c:scaling>
        <c:delete val="1"/>
        <c:axPos val="b"/>
        <c:numFmt formatCode="General" sourceLinked="1"/>
        <c:majorTickMark val="out"/>
        <c:minorTickMark val="none"/>
        <c:tickLblPos val="nextTo"/>
        <c:crossAx val="1277256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E817-402A-ACA5-11778E6A433F}"/>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E817-402A-ACA5-11778E6A433F}"/>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817-402A-ACA5-11778E6A433F}"/>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E817-402A-ACA5-11778E6A433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'Market BB quarts'!$AL$50:$AL$53</c:f>
              <c:strCache>
                <c:ptCount val="4"/>
                <c:pt idx="0">
                  <c:v>Totalplay</c:v>
                </c:pt>
                <c:pt idx="1">
                  <c:v>MEGA (Cable)</c:v>
                </c:pt>
                <c:pt idx="2">
                  <c:v>TV (Retail)</c:v>
                </c:pt>
                <c:pt idx="3">
                  <c:v>Telmex FTTH</c:v>
                </c:pt>
              </c:strCache>
            </c:strRef>
          </c:cat>
          <c:val>
            <c:numRef>
              <c:f>'Market BB quarts'!$AM$50:$AM$53</c:f>
              <c:numCache>
                <c:formatCode>#,##0</c:formatCode>
                <c:ptCount val="4"/>
                <c:pt idx="0">
                  <c:v>13400</c:v>
                </c:pt>
                <c:pt idx="1">
                  <c:v>9292.1260000000002</c:v>
                </c:pt>
                <c:pt idx="2">
                  <c:v>17300</c:v>
                </c:pt>
                <c:pt idx="3">
                  <c:v>0</c:v>
                </c:pt>
              </c:numCache>
            </c:numRef>
          </c:val>
          <c:extLst>
            <c:ext xmlns:c16="http://schemas.microsoft.com/office/drawing/2014/chart" uri="{C3380CC4-5D6E-409C-BE32-E72D297353CC}">
              <c16:uniqueId val="{00000008-E817-402A-ACA5-11778E6A433F}"/>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0342-4BFB-8AF2-66B0961FFD2B}"/>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0342-4BFB-8AF2-66B0961FFD2B}"/>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0342-4BFB-8AF2-66B0961FFD2B}"/>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0342-4BFB-8AF2-66B0961FFD2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'Market BB quarts'!$AL$50:$AL$53</c:f>
              <c:strCache>
                <c:ptCount val="4"/>
                <c:pt idx="0">
                  <c:v>Totalplay</c:v>
                </c:pt>
                <c:pt idx="1">
                  <c:v>MEGA (Cable)</c:v>
                </c:pt>
                <c:pt idx="2">
                  <c:v>TV (Retail)</c:v>
                </c:pt>
                <c:pt idx="3">
                  <c:v>Telmex FTTH</c:v>
                </c:pt>
              </c:strCache>
            </c:strRef>
          </c:cat>
          <c:val>
            <c:numRef>
              <c:f>'Market BB quarts'!$AN$50:$AN$53</c:f>
              <c:numCache>
                <c:formatCode>#,##0</c:formatCode>
                <c:ptCount val="4"/>
                <c:pt idx="0">
                  <c:v>3208</c:v>
                </c:pt>
                <c:pt idx="1">
                  <c:v>3752.9119999999998</c:v>
                </c:pt>
                <c:pt idx="2">
                  <c:v>5591</c:v>
                </c:pt>
                <c:pt idx="3">
                  <c:v>0</c:v>
                </c:pt>
              </c:numCache>
            </c:numRef>
          </c:val>
          <c:extLst>
            <c:ext xmlns:c16="http://schemas.microsoft.com/office/drawing/2014/chart" uri="{C3380CC4-5D6E-409C-BE32-E72D297353CC}">
              <c16:uniqueId val="{00000008-0342-4BFB-8AF2-66B0961FFD2B}"/>
            </c:ext>
          </c:extLst>
        </c:ser>
        <c:ser>
          <c:idx val="0"/>
          <c:order val="1"/>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A-0342-4BFB-8AF2-66B0961FFD2B}"/>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C-0342-4BFB-8AF2-66B0961FFD2B}"/>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E-0342-4BFB-8AF2-66B0961FFD2B}"/>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10-0342-4BFB-8AF2-66B0961FFD2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'Market BB quarts'!$AL$50:$AL$53</c:f>
              <c:strCache>
                <c:ptCount val="4"/>
                <c:pt idx="0">
                  <c:v>Totalplay</c:v>
                </c:pt>
                <c:pt idx="1">
                  <c:v>MEGA (Cable)</c:v>
                </c:pt>
                <c:pt idx="2">
                  <c:v>TV (Retail)</c:v>
                </c:pt>
                <c:pt idx="3">
                  <c:v>Telmex FTTH</c:v>
                </c:pt>
              </c:strCache>
            </c:strRef>
          </c:cat>
          <c:val>
            <c:numRef>
              <c:f>'Market BB quarts'!$AN$50:$AN$53</c:f>
              <c:numCache>
                <c:formatCode>#,##0</c:formatCode>
                <c:ptCount val="4"/>
                <c:pt idx="0">
                  <c:v>3208</c:v>
                </c:pt>
                <c:pt idx="1">
                  <c:v>3752.9119999999998</c:v>
                </c:pt>
                <c:pt idx="2">
                  <c:v>5591</c:v>
                </c:pt>
                <c:pt idx="3">
                  <c:v>0</c:v>
                </c:pt>
              </c:numCache>
            </c:numRef>
          </c:val>
          <c:extLst>
            <c:ext xmlns:c16="http://schemas.microsoft.com/office/drawing/2014/chart" uri="{C3380CC4-5D6E-409C-BE32-E72D297353CC}">
              <c16:uniqueId val="{00000011-0342-4BFB-8AF2-66B0961FFD2B}"/>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extLst/>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F30-4A5A-8DA8-336FAC6389FA}"/>
              </c:ext>
            </c:extLst>
          </c:dPt>
          <c:dPt>
            <c:idx val="1"/>
            <c:bubble3D val="0"/>
            <c:spPr>
              <a:solidFill>
                <a:srgbClr val="799098"/>
              </a:solidFill>
              <a:ln w="25400">
                <a:noFill/>
              </a:ln>
              <a:effectLst/>
            </c:spPr>
            <c:extLst>
              <c:ext xmlns:c16="http://schemas.microsoft.com/office/drawing/2014/chart" uri="{C3380CC4-5D6E-409C-BE32-E72D297353CC}">
                <c16:uniqueId val="{00000002-9F30-4A5A-8DA8-336FAC6389FA}"/>
              </c:ext>
            </c:extLst>
          </c:dPt>
          <c:dPt>
            <c:idx val="2"/>
            <c:bubble3D val="0"/>
            <c:spPr>
              <a:solidFill>
                <a:srgbClr val="F9663E"/>
              </a:solidFill>
              <a:ln w="25400">
                <a:noFill/>
              </a:ln>
              <a:effectLst/>
            </c:spPr>
            <c:extLst>
              <c:ext xmlns:c16="http://schemas.microsoft.com/office/drawing/2014/chart" uri="{C3380CC4-5D6E-409C-BE32-E72D297353CC}">
                <c16:uniqueId val="{00000003-9F30-4A5A-8DA8-336FAC6389FA}"/>
              </c:ext>
            </c:extLst>
          </c:dPt>
          <c:dPt>
            <c:idx val="3"/>
            <c:bubble3D val="0"/>
            <c:spPr>
              <a:solidFill>
                <a:srgbClr val="C7FE02"/>
              </a:solidFill>
              <a:ln w="25400">
                <a:noFill/>
              </a:ln>
              <a:effectLst/>
            </c:spPr>
            <c:extLst>
              <c:ext xmlns:c16="http://schemas.microsoft.com/office/drawing/2014/chart" uri="{C3380CC4-5D6E-409C-BE32-E72D297353CC}">
                <c16:uniqueId val="{00000004-9F30-4A5A-8DA8-336FAC6389FA}"/>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F30-4A5A-8DA8-336FAC6389FA}"/>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0"/>
              <c:showCatName val="0"/>
              <c:showSerName val="0"/>
              <c:showPercent val="1"/>
              <c:showBubbleSize val="0"/>
              <c:extLst>
                <c:ext xmlns:c16="http://schemas.microsoft.com/office/drawing/2014/chart" uri="{C3380CC4-5D6E-409C-BE32-E72D297353CC}">
                  <c16:uniqueId val="{00000002-9F30-4A5A-8DA8-336FAC6389F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'Market BB quarts'!$B$34:$B$37</c:f>
              <c:strCache>
                <c:ptCount val="4"/>
                <c:pt idx="0">
                  <c:v>Totalplay</c:v>
                </c:pt>
                <c:pt idx="1">
                  <c:v>MEGA (Cable)</c:v>
                </c:pt>
                <c:pt idx="2">
                  <c:v>TV (Retail)</c:v>
                </c:pt>
                <c:pt idx="3">
                  <c:v>Telmex total BB</c:v>
                </c:pt>
              </c:strCache>
            </c:strRef>
          </c:cat>
          <c:val>
            <c:numRef>
              <c:f>'Market BB quarts'!$L$34:$L$37</c:f>
              <c:numCache>
                <c:formatCode>#,##0</c:formatCode>
                <c:ptCount val="4"/>
                <c:pt idx="0">
                  <c:v>3976</c:v>
                </c:pt>
                <c:pt idx="1">
                  <c:v>3912.4749999999999</c:v>
                </c:pt>
                <c:pt idx="2">
                  <c:v>5809.59</c:v>
                </c:pt>
                <c:pt idx="3">
                  <c:v>10120</c:v>
                </c:pt>
              </c:numCache>
            </c:numRef>
          </c:val>
          <c:extLst>
            <c:ext xmlns:c16="http://schemas.microsoft.com/office/drawing/2014/chart" uri="{C3380CC4-5D6E-409C-BE32-E72D297353CC}">
              <c16:uniqueId val="{00000000-9F30-4A5A-8DA8-336FAC6389F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quarts'!$H$33:$S$33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quarts'!$H$45:$S$45</c:f>
              <c:numCache>
                <c:formatCode>0.0%</c:formatCode>
                <c:ptCount val="9"/>
                <c:pt idx="0">
                  <c:v>0.7</c:v>
                </c:pt>
                <c:pt idx="1">
                  <c:v>0.70867476423921894</c:v>
                </c:pt>
                <c:pt idx="2">
                  <c:v>0.719142408248576</c:v>
                </c:pt>
                <c:pt idx="3">
                  <c:v>0.72350653519172081</c:v>
                </c:pt>
                <c:pt idx="4">
                  <c:v>0.73575936140202891</c:v>
                </c:pt>
                <c:pt idx="5">
                  <c:v>0.74529190980873783</c:v>
                </c:pt>
                <c:pt idx="6">
                  <c:v>0.74091527790658407</c:v>
                </c:pt>
                <c:pt idx="7">
                  <c:v>0.75331135697301255</c:v>
                </c:pt>
                <c:pt idx="8">
                  <c:v>0.76971489835951246</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quarts'!$H$33:$S$33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quarts'!$H$59:$S$59</c:f>
              <c:numCache>
                <c:formatCode>#,##0</c:formatCode>
                <c:ptCount val="9"/>
                <c:pt idx="0">
                  <c:v>479.32800000000134</c:v>
                </c:pt>
                <c:pt idx="1">
                  <c:v>360.74200000000201</c:v>
                </c:pt>
                <c:pt idx="2">
                  <c:v>420.89099999999598</c:v>
                </c:pt>
                <c:pt idx="3">
                  <c:v>203.90400000000227</c:v>
                </c:pt>
                <c:pt idx="4">
                  <c:v>478.37700000000041</c:v>
                </c:pt>
                <c:pt idx="5">
                  <c:v>380.44999999999709</c:v>
                </c:pt>
                <c:pt idx="6">
                  <c:v>-110.24699999999939</c:v>
                </c:pt>
                <c:pt idx="7">
                  <c:v>476.54300000000148</c:v>
                </c:pt>
                <c:pt idx="8">
                  <c:v>615.19900000000052</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'Market BB quarts'!$B$55</c:f>
              <c:strCache>
                <c:ptCount val="1"/>
                <c:pt idx="0">
                  <c:v>Totalplay</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quarts'!$M$33:$S$33</c:f>
              <c:strCache>
                <c:ptCount val="7"/>
                <c:pt idx="0">
                  <c:v>Q3 22</c:v>
                </c:pt>
                <c:pt idx="1">
                  <c:v>Q4 22</c:v>
                </c:pt>
                <c:pt idx="2">
                  <c:v>Q1 23</c:v>
                </c:pt>
                <c:pt idx="3">
                  <c:v>Q2 23</c:v>
                </c:pt>
                <c:pt idx="4">
                  <c:v>Q3 23</c:v>
                </c:pt>
                <c:pt idx="5">
                  <c:v>Q4 23</c:v>
                </c:pt>
                <c:pt idx="6">
                  <c:v>Q1 24</c:v>
                </c:pt>
              </c:strCache>
            </c:strRef>
          </c:cat>
          <c:val>
            <c:numRef>
              <c:f>'Market BB quarts'!$M$55:$S$55</c:f>
              <c:numCache>
                <c:formatCode>#,##0</c:formatCode>
                <c:ptCount val="7"/>
                <c:pt idx="0">
                  <c:v>223</c:v>
                </c:pt>
                <c:pt idx="1">
                  <c:v>97</c:v>
                </c:pt>
                <c:pt idx="2">
                  <c:v>107.21000000000004</c:v>
                </c:pt>
                <c:pt idx="3">
                  <c:v>115</c:v>
                </c:pt>
                <c:pt idx="4">
                  <c:v>105.78999999999996</c:v>
                </c:pt>
                <c:pt idx="5">
                  <c:v>155</c:v>
                </c:pt>
                <c:pt idx="6">
                  <c:v>128.30000000000018</c:v>
                </c:pt>
              </c:numCache>
            </c:numRef>
          </c:val>
          <c:extLst>
            <c:ext xmlns:c16="http://schemas.microsoft.com/office/drawing/2014/chart" uri="{C3380CC4-5D6E-409C-BE32-E72D297353CC}">
              <c16:uniqueId val="{00000000-4B2E-4F20-BC0B-55C025516806}"/>
            </c:ext>
          </c:extLst>
        </c:ser>
        <c:ser>
          <c:idx val="1"/>
          <c:order val="1"/>
          <c:tx>
            <c:strRef>
              <c:f>'Market BB quarts'!$B$56</c:f>
              <c:strCache>
                <c:ptCount val="1"/>
                <c:pt idx="0">
                  <c:v>MEGA (Cable)</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quarts'!$M$33:$S$33</c:f>
              <c:strCache>
                <c:ptCount val="7"/>
                <c:pt idx="0">
                  <c:v>Q3 22</c:v>
                </c:pt>
                <c:pt idx="1">
                  <c:v>Q4 22</c:v>
                </c:pt>
                <c:pt idx="2">
                  <c:v>Q1 23</c:v>
                </c:pt>
                <c:pt idx="3">
                  <c:v>Q2 23</c:v>
                </c:pt>
                <c:pt idx="4">
                  <c:v>Q3 23</c:v>
                </c:pt>
                <c:pt idx="5">
                  <c:v>Q4 23</c:v>
                </c:pt>
                <c:pt idx="6">
                  <c:v>Q1 24</c:v>
                </c:pt>
              </c:strCache>
            </c:strRef>
          </c:cat>
          <c:val>
            <c:numRef>
              <c:f>'Market BB quarts'!$M$56:$S$56</c:f>
              <c:numCache>
                <c:formatCode>#,##0</c:formatCode>
                <c:ptCount val="7"/>
                <c:pt idx="0">
                  <c:v>100.65700000000015</c:v>
                </c:pt>
                <c:pt idx="1">
                  <c:v>124.72799999999961</c:v>
                </c:pt>
                <c:pt idx="2">
                  <c:v>147.30500000000029</c:v>
                </c:pt>
                <c:pt idx="3">
                  <c:v>163.3119999999999</c:v>
                </c:pt>
                <c:pt idx="4">
                  <c:v>117.12700000000041</c:v>
                </c:pt>
                <c:pt idx="5">
                  <c:v>155.94799999999941</c:v>
                </c:pt>
                <c:pt idx="6">
                  <c:v>151.32999999999993</c:v>
                </c:pt>
              </c:numCache>
            </c:numRef>
          </c:val>
          <c:extLst>
            <c:ext xmlns:c16="http://schemas.microsoft.com/office/drawing/2014/chart" uri="{C3380CC4-5D6E-409C-BE32-E72D297353CC}">
              <c16:uniqueId val="{00000001-4B2E-4F20-BC0B-55C025516806}"/>
            </c:ext>
          </c:extLst>
        </c:ser>
        <c:ser>
          <c:idx val="2"/>
          <c:order val="2"/>
          <c:tx>
            <c:strRef>
              <c:f>'Market BB quarts'!$B$57</c:f>
              <c:strCache>
                <c:ptCount val="1"/>
                <c:pt idx="0">
                  <c:v>TV (Retail)</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quarts'!$M$33:$S$33</c:f>
              <c:strCache>
                <c:ptCount val="7"/>
                <c:pt idx="0">
                  <c:v>Q3 22</c:v>
                </c:pt>
                <c:pt idx="1">
                  <c:v>Q4 22</c:v>
                </c:pt>
                <c:pt idx="2">
                  <c:v>Q1 23</c:v>
                </c:pt>
                <c:pt idx="3">
                  <c:v>Q2 23</c:v>
                </c:pt>
                <c:pt idx="4">
                  <c:v>Q3 23</c:v>
                </c:pt>
                <c:pt idx="5">
                  <c:v>Q4 23</c:v>
                </c:pt>
                <c:pt idx="6">
                  <c:v>Q1 24</c:v>
                </c:pt>
              </c:strCache>
            </c:strRef>
          </c:cat>
          <c:val>
            <c:numRef>
              <c:f>'Market BB quarts'!$M$57:$S$57</c:f>
              <c:numCache>
                <c:formatCode>#,##0</c:formatCode>
                <c:ptCount val="7"/>
                <c:pt idx="0">
                  <c:v>96.233999999999469</c:v>
                </c:pt>
                <c:pt idx="1">
                  <c:v>78.176000000000386</c:v>
                </c:pt>
                <c:pt idx="2">
                  <c:v>84.86200000000008</c:v>
                </c:pt>
                <c:pt idx="3">
                  <c:v>-37.86200000000008</c:v>
                </c:pt>
                <c:pt idx="4">
                  <c:v>-353.16399999999976</c:v>
                </c:pt>
                <c:pt idx="5">
                  <c:v>0.59499999999934516</c:v>
                </c:pt>
                <c:pt idx="6">
                  <c:v>10.569000000000415</c:v>
                </c:pt>
              </c:numCache>
            </c:numRef>
          </c:val>
          <c:extLst>
            <c:ext xmlns:c16="http://schemas.microsoft.com/office/drawing/2014/chart" uri="{C3380CC4-5D6E-409C-BE32-E72D297353CC}">
              <c16:uniqueId val="{00000002-4B2E-4F20-BC0B-55C025516806}"/>
            </c:ext>
          </c:extLst>
        </c:ser>
        <c:ser>
          <c:idx val="3"/>
          <c:order val="3"/>
          <c:tx>
            <c:strRef>
              <c:f>'Market BB quarts'!$B$58</c:f>
              <c:strCache>
                <c:ptCount val="1"/>
                <c:pt idx="0">
                  <c:v>Telmex</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quarts'!$M$33:$S$33</c:f>
              <c:strCache>
                <c:ptCount val="7"/>
                <c:pt idx="0">
                  <c:v>Q3 22</c:v>
                </c:pt>
                <c:pt idx="1">
                  <c:v>Q4 22</c:v>
                </c:pt>
                <c:pt idx="2">
                  <c:v>Q1 23</c:v>
                </c:pt>
                <c:pt idx="3">
                  <c:v>Q2 23</c:v>
                </c:pt>
                <c:pt idx="4">
                  <c:v>Q3 23</c:v>
                </c:pt>
                <c:pt idx="5">
                  <c:v>Q4 23</c:v>
                </c:pt>
                <c:pt idx="6">
                  <c:v>Q1 24</c:v>
                </c:pt>
              </c:strCache>
            </c:strRef>
          </c:cat>
          <c:val>
            <c:numRef>
              <c:f>'Market BB quarts'!$M$58:$S$58</c:f>
              <c:numCache>
                <c:formatCode>#,##0</c:formatCode>
                <c:ptCount val="7"/>
                <c:pt idx="0">
                  <c:v>1</c:v>
                </c:pt>
                <c:pt idx="1">
                  <c:v>-96</c:v>
                </c:pt>
                <c:pt idx="2">
                  <c:v>139</c:v>
                </c:pt>
                <c:pt idx="3">
                  <c:v>140</c:v>
                </c:pt>
                <c:pt idx="4">
                  <c:v>20</c:v>
                </c:pt>
                <c:pt idx="5">
                  <c:v>165</c:v>
                </c:pt>
                <c:pt idx="6">
                  <c:v>325</c:v>
                </c:pt>
              </c:numCache>
            </c:numRef>
          </c:val>
          <c:extLst>
            <c:ext xmlns:c16="http://schemas.microsoft.com/office/drawing/2014/chart" uri="{C3380CC4-5D6E-409C-BE32-E72D297353CC}">
              <c16:uniqueId val="{00000003-4B2E-4F20-BC0B-55C025516806}"/>
            </c:ext>
          </c:extLst>
        </c:ser>
        <c:dLbls>
          <c:showLegendKey val="0"/>
          <c:showVal val="0"/>
          <c:showCatName val="0"/>
          <c:showSerName val="0"/>
          <c:showPercent val="0"/>
          <c:showBubbleSize val="0"/>
        </c:dLbls>
        <c:gapWidth val="30"/>
        <c:overlap val="-27"/>
        <c:axId val="1240560944"/>
        <c:axId val="1240562864"/>
      </c:barChart>
      <c:catAx>
        <c:axId val="1240560944"/>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40562864"/>
        <c:crosses val="autoZero"/>
        <c:auto val="1"/>
        <c:lblAlgn val="ctr"/>
        <c:lblOffset val="100"/>
        <c:noMultiLvlLbl val="0"/>
      </c:catAx>
      <c:valAx>
        <c:axId val="1240562864"/>
        <c:scaling>
          <c:orientation val="minMax"/>
        </c:scaling>
        <c:delete val="1"/>
        <c:axPos val="l"/>
        <c:numFmt formatCode="#,##0" sourceLinked="1"/>
        <c:majorTickMark val="out"/>
        <c:minorTickMark val="none"/>
        <c:tickLblPos val="nextTo"/>
        <c:crossAx val="12405609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 BB quarts'!$B$48</c:f>
              <c:strCache>
                <c:ptCount val="1"/>
                <c:pt idx="0">
                  <c:v>Totalplay</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quarts'!$G$33:$S$33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quarts'!$G$48:$S$48</c:f>
              <c:numCache>
                <c:formatCode>0.0%</c:formatCode>
                <c:ptCount val="9"/>
                <c:pt idx="0">
                  <c:v>0.15909743835645695</c:v>
                </c:pt>
                <c:pt idx="1">
                  <c:v>0.16693211644186878</c:v>
                </c:pt>
                <c:pt idx="2">
                  <c:v>0.17323353365549243</c:v>
                </c:pt>
                <c:pt idx="3">
                  <c:v>0.17575684678470521</c:v>
                </c:pt>
                <c:pt idx="4">
                  <c:v>0.17668504978304247</c:v>
                </c:pt>
                <c:pt idx="5">
                  <c:v>0.17857346824344164</c:v>
                </c:pt>
                <c:pt idx="6">
                  <c:v>0.18355441372148634</c:v>
                </c:pt>
                <c:pt idx="7">
                  <c:v>0.18618525655093351</c:v>
                </c:pt>
                <c:pt idx="8">
                  <c:v>0.18670874782208638</c:v>
                </c:pt>
              </c:numCache>
            </c:numRef>
          </c:val>
          <c:smooth val="0"/>
          <c:extLst>
            <c:ext xmlns:c16="http://schemas.microsoft.com/office/drawing/2014/chart" uri="{C3380CC4-5D6E-409C-BE32-E72D297353CC}">
              <c16:uniqueId val="{00000000-0B52-44FD-927F-AEC4424F78FC}"/>
            </c:ext>
          </c:extLst>
        </c:ser>
        <c:ser>
          <c:idx val="1"/>
          <c:order val="1"/>
          <c:tx>
            <c:strRef>
              <c:f>'Market BB quarts'!$B$49</c:f>
              <c:strCache>
                <c:ptCount val="1"/>
                <c:pt idx="0">
                  <c:v>MEGA (Cable)</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quarts'!$G$33:$S$33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quarts'!$G$49:$S$49</c:f>
              <c:numCache>
                <c:formatCode>0.0%</c:formatCode>
                <c:ptCount val="9"/>
                <c:pt idx="0">
                  <c:v>0.1659736279369986</c:v>
                </c:pt>
                <c:pt idx="1">
                  <c:v>0.1642650232082245</c:v>
                </c:pt>
                <c:pt idx="2">
                  <c:v>0.16556538161132023</c:v>
                </c:pt>
                <c:pt idx="3">
                  <c:v>0.16928706378877101</c:v>
                </c:pt>
                <c:pt idx="4">
                  <c:v>0.17194832664205231</c:v>
                </c:pt>
                <c:pt idx="5">
                  <c:v>0.17581740695788389</c:v>
                </c:pt>
                <c:pt idx="6">
                  <c:v>0.18123632471982548</c:v>
                </c:pt>
                <c:pt idx="7">
                  <c:v>0.18394713756823042</c:v>
                </c:pt>
                <c:pt idx="8">
                  <c:v>0.18539924123342447</c:v>
                </c:pt>
              </c:numCache>
            </c:numRef>
          </c:val>
          <c:smooth val="0"/>
          <c:extLst>
            <c:ext xmlns:c16="http://schemas.microsoft.com/office/drawing/2014/chart" uri="{C3380CC4-5D6E-409C-BE32-E72D297353CC}">
              <c16:uniqueId val="{00000001-0B52-44FD-927F-AEC4424F78FC}"/>
            </c:ext>
          </c:extLst>
        </c:ser>
        <c:ser>
          <c:idx val="2"/>
          <c:order val="2"/>
          <c:tx>
            <c:strRef>
              <c:f>'Market BB quarts'!$B$50</c:f>
              <c:strCache>
                <c:ptCount val="1"/>
                <c:pt idx="0">
                  <c:v>TV (Retail)</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quarts'!$G$33:$S$33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quarts'!$G$50:$S$50</c:f>
              <c:numCache>
                <c:formatCode>0.0%</c:formatCode>
                <c:ptCount val="9"/>
                <c:pt idx="0">
                  <c:v>0.24435976773649745</c:v>
                </c:pt>
                <c:pt idx="1">
                  <c:v>0.24391528027150819</c:v>
                </c:pt>
                <c:pt idx="2">
                  <c:v>0.24365009780124194</c:v>
                </c:pt>
                <c:pt idx="3">
                  <c:v>0.24481586851947768</c:v>
                </c:pt>
                <c:pt idx="4">
                  <c:v>0.24352169998624065</c:v>
                </c:pt>
                <c:pt idx="5">
                  <c:v>0.23836355259631503</c:v>
                </c:pt>
                <c:pt idx="6">
                  <c:v>0.22538751258363954</c:v>
                </c:pt>
                <c:pt idx="7">
                  <c:v>0.22122622568356851</c:v>
                </c:pt>
                <c:pt idx="8">
                  <c:v>0.2164501999795915</c:v>
                </c:pt>
              </c:numCache>
            </c:numRef>
          </c:val>
          <c:smooth val="0"/>
          <c:extLst>
            <c:ext xmlns:c16="http://schemas.microsoft.com/office/drawing/2014/chart" uri="{C3380CC4-5D6E-409C-BE32-E72D297353CC}">
              <c16:uniqueId val="{00000002-0B52-44FD-927F-AEC4424F78FC}"/>
            </c:ext>
          </c:extLst>
        </c:ser>
        <c:ser>
          <c:idx val="3"/>
          <c:order val="3"/>
          <c:tx>
            <c:strRef>
              <c:f>'Market BB quarts'!$B$51</c:f>
              <c:strCache>
                <c:ptCount val="1"/>
                <c:pt idx="0">
                  <c:v>Telmex copper/VDSL/FTTH</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quarts'!$G$33:$S$33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quarts'!$G$51:$S$51</c:f>
              <c:numCache>
                <c:formatCode>0.0%</c:formatCode>
                <c:ptCount val="9"/>
                <c:pt idx="0">
                  <c:v>0.43056916597004696</c:v>
                </c:pt>
                <c:pt idx="1">
                  <c:v>0.42488758007839844</c:v>
                </c:pt>
                <c:pt idx="2">
                  <c:v>0.41755098693194542</c:v>
                </c:pt>
                <c:pt idx="3">
                  <c:v>0.41014022090704605</c:v>
                </c:pt>
                <c:pt idx="4">
                  <c:v>0.40784492358866453</c:v>
                </c:pt>
                <c:pt idx="5">
                  <c:v>0.40724557220235952</c:v>
                </c:pt>
                <c:pt idx="6">
                  <c:v>0.40982174897504869</c:v>
                </c:pt>
                <c:pt idx="7">
                  <c:v>0.40864138019726753</c:v>
                </c:pt>
                <c:pt idx="8">
                  <c:v>0.41144181096489763</c:v>
                </c:pt>
              </c:numCache>
            </c:numRef>
          </c:val>
          <c:smooth val="0"/>
          <c:extLst>
            <c:ext xmlns:c16="http://schemas.microsoft.com/office/drawing/2014/chart" uri="{C3380CC4-5D6E-409C-BE32-E72D297353CC}">
              <c16:uniqueId val="{00000003-0B52-44FD-927F-AEC4424F78FC}"/>
            </c:ext>
          </c:extLst>
        </c:ser>
        <c:dLbls>
          <c:showLegendKey val="0"/>
          <c:showVal val="0"/>
          <c:showCatName val="0"/>
          <c:showSerName val="0"/>
          <c:showPercent val="0"/>
          <c:showBubbleSize val="0"/>
        </c:dLbls>
        <c:smooth val="0"/>
        <c:axId val="1240507664"/>
        <c:axId val="1240508624"/>
      </c:lineChart>
      <c:catAx>
        <c:axId val="124050766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40508624"/>
        <c:crosses val="autoZero"/>
        <c:auto val="1"/>
        <c:lblAlgn val="ctr"/>
        <c:lblOffset val="100"/>
        <c:noMultiLvlLbl val="0"/>
      </c:catAx>
      <c:valAx>
        <c:axId val="1240508624"/>
        <c:scaling>
          <c:orientation val="minMax"/>
        </c:scaling>
        <c:delete val="1"/>
        <c:axPos val="l"/>
        <c:numFmt formatCode="0.0%" sourceLinked="1"/>
        <c:majorTickMark val="out"/>
        <c:minorTickMark val="none"/>
        <c:tickLblPos val="nextTo"/>
        <c:crossAx val="12405076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Master!$L$3:$AD$3</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Master!$L$19:$AD$19</c:f>
              <c:numCache>
                <c:formatCode>_-* #,##0_-;\-* #,##0_-;_-* "-"??_-;_-@_-</c:formatCode>
                <c:ptCount val="19"/>
                <c:pt idx="0">
                  <c:v>1057</c:v>
                </c:pt>
                <c:pt idx="1">
                  <c:v>1250</c:v>
                </c:pt>
                <c:pt idx="2">
                  <c:v>1558.6596881959911</c:v>
                </c:pt>
                <c:pt idx="3">
                  <c:v>1851.2081983720318</c:v>
                </c:pt>
                <c:pt idx="4">
                  <c:v>1877.4840745931269</c:v>
                </c:pt>
                <c:pt idx="5">
                  <c:v>2364.6981962095792</c:v>
                </c:pt>
                <c:pt idx="6">
                  <c:v>3181.64957479646</c:v>
                </c:pt>
                <c:pt idx="7">
                  <c:v>4070.5279947361491</c:v>
                </c:pt>
                <c:pt idx="8">
                  <c:v>4661.4850579178892</c:v>
                </c:pt>
                <c:pt idx="9">
                  <c:v>4991.6720000000005</c:v>
                </c:pt>
                <c:pt idx="10">
                  <c:v>6184.5499999999993</c:v>
                </c:pt>
                <c:pt idx="11">
                  <c:v>7143.1377199999997</c:v>
                </c:pt>
                <c:pt idx="12">
                  <c:v>8279.8086283226457</c:v>
                </c:pt>
                <c:pt idx="13">
                  <c:v>8293.0353476439795</c:v>
                </c:pt>
                <c:pt idx="14">
                  <c:v>8588.6902043931095</c:v>
                </c:pt>
                <c:pt idx="15">
                  <c:v>8776.8049745311455</c:v>
                </c:pt>
                <c:pt idx="16">
                  <c:v>8895.8140103336191</c:v>
                </c:pt>
                <c:pt idx="17">
                  <c:v>9070.6402938320389</c:v>
                </c:pt>
                <c:pt idx="18">
                  <c:v>9291.2463722086432</c:v>
                </c:pt>
              </c:numCache>
            </c:numRef>
          </c:val>
          <c:extLst>
            <c:ext xmlns:c16="http://schemas.microsoft.com/office/drawing/2014/chart" uri="{C3380CC4-5D6E-409C-BE32-E72D297353CC}">
              <c16:uniqueId val="{00000000-0C0B-449C-A48F-19022DB9AD07}"/>
            </c:ext>
          </c:extLst>
        </c:ser>
        <c:dLbls>
          <c:showLegendKey val="0"/>
          <c:showVal val="0"/>
          <c:showCatName val="0"/>
          <c:showSerName val="0"/>
          <c:showPercent val="0"/>
          <c:showBubbleSize val="0"/>
        </c:dLbls>
        <c:gapWidth val="219"/>
        <c:overlap val="-27"/>
        <c:axId val="742234847"/>
        <c:axId val="308524431"/>
      </c:barChart>
      <c:catAx>
        <c:axId val="74223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24431"/>
        <c:crosses val="autoZero"/>
        <c:auto val="1"/>
        <c:lblAlgn val="ctr"/>
        <c:lblOffset val="100"/>
        <c:noMultiLvlLbl val="0"/>
      </c:catAx>
      <c:valAx>
        <c:axId val="30852443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234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'Market BB quarts'!$B$67</c:f>
              <c:strCache>
                <c:ptCount val="1"/>
                <c:pt idx="0">
                  <c:v>MegaCable ARPU</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quarts'!$K$67:$S$67</c:f>
              <c:numCache>
                <c:formatCode>0</c:formatCode>
                <c:ptCount val="9"/>
                <c:pt idx="0">
                  <c:v>422.4</c:v>
                </c:pt>
                <c:pt idx="1">
                  <c:v>427.3</c:v>
                </c:pt>
                <c:pt idx="2">
                  <c:v>415.4</c:v>
                </c:pt>
                <c:pt idx="3">
                  <c:v>419.5</c:v>
                </c:pt>
                <c:pt idx="4">
                  <c:v>420.4</c:v>
                </c:pt>
                <c:pt idx="5">
                  <c:v>420.8</c:v>
                </c:pt>
                <c:pt idx="6">
                  <c:v>418.7</c:v>
                </c:pt>
                <c:pt idx="7">
                  <c:v>426.3</c:v>
                </c:pt>
                <c:pt idx="8">
                  <c:v>421.7</c:v>
                </c:pt>
              </c:numCache>
            </c:numRef>
          </c:val>
          <c:extLst>
            <c:ext xmlns:c16="http://schemas.microsoft.com/office/drawing/2014/chart" uri="{C3380CC4-5D6E-409C-BE32-E72D297353CC}">
              <c16:uniqueId val="{00000000-C048-4945-9A25-E003034BC101}"/>
            </c:ext>
          </c:extLst>
        </c:ser>
        <c:ser>
          <c:idx val="1"/>
          <c:order val="1"/>
          <c:tx>
            <c:strRef>
              <c:f>'Market BB quarts'!$B$68</c:f>
              <c:strCache>
                <c:ptCount val="1"/>
                <c:pt idx="0">
                  <c:v>TotalPlay ARPU (rep)</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quarts'!$K$68:$S$68</c:f>
              <c:numCache>
                <c:formatCode>General</c:formatCode>
                <c:ptCount val="9"/>
                <c:pt idx="0">
                  <c:v>614</c:v>
                </c:pt>
                <c:pt idx="1">
                  <c:v>617</c:v>
                </c:pt>
                <c:pt idx="2">
                  <c:v>617</c:v>
                </c:pt>
                <c:pt idx="3">
                  <c:v>617</c:v>
                </c:pt>
                <c:pt idx="4">
                  <c:v>617</c:v>
                </c:pt>
                <c:pt idx="5">
                  <c:v>615</c:v>
                </c:pt>
                <c:pt idx="6">
                  <c:v>630</c:v>
                </c:pt>
                <c:pt idx="7">
                  <c:v>616</c:v>
                </c:pt>
                <c:pt idx="8">
                  <c:v>617</c:v>
                </c:pt>
              </c:numCache>
            </c:numRef>
          </c:val>
          <c:extLst>
            <c:ext xmlns:c16="http://schemas.microsoft.com/office/drawing/2014/chart" uri="{C3380CC4-5D6E-409C-BE32-E72D297353CC}">
              <c16:uniqueId val="{00000001-C048-4945-9A25-E003034BC101}"/>
            </c:ext>
          </c:extLst>
        </c:ser>
        <c:ser>
          <c:idx val="2"/>
          <c:order val="2"/>
          <c:tx>
            <c:strRef>
              <c:f>'Market BB quarts'!$B$69</c:f>
              <c:strCache>
                <c:ptCount val="1"/>
                <c:pt idx="0">
                  <c:v>Televisa Revs/Av Subs*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quarts'!$K$33:$S$33</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quarts'!$K$69:$S$69</c:f>
              <c:numCache>
                <c:formatCode>0</c:formatCode>
                <c:ptCount val="9"/>
                <c:pt idx="0">
                  <c:v>613.96367689658177</c:v>
                </c:pt>
                <c:pt idx="1">
                  <c:v>611.23370262856326</c:v>
                </c:pt>
                <c:pt idx="2">
                  <c:v>604.7332810289497</c:v>
                </c:pt>
                <c:pt idx="3">
                  <c:v>600.25983589444502</c:v>
                </c:pt>
                <c:pt idx="4">
                  <c:v>596.53180284960661</c:v>
                </c:pt>
                <c:pt idx="5">
                  <c:v>602.78839088537995</c:v>
                </c:pt>
                <c:pt idx="6">
                  <c:v>609</c:v>
                </c:pt>
                <c:pt idx="7">
                  <c:v>619.22969995028404</c:v>
                </c:pt>
                <c:pt idx="8">
                  <c:v>602.44441521382305</c:v>
                </c:pt>
              </c:numCache>
            </c:numRef>
          </c:val>
          <c:extLst>
            <c:ext xmlns:c16="http://schemas.microsoft.com/office/drawing/2014/chart" uri="{C3380CC4-5D6E-409C-BE32-E72D297353CC}">
              <c16:uniqueId val="{00000002-C048-4945-9A25-E003034BC101}"/>
            </c:ext>
          </c:extLst>
        </c:ser>
        <c:dLbls>
          <c:showLegendKey val="0"/>
          <c:showVal val="0"/>
          <c:showCatName val="0"/>
          <c:showSerName val="0"/>
          <c:showPercent val="0"/>
          <c:showBubbleSize val="0"/>
        </c:dLbls>
        <c:gapWidth val="30"/>
        <c:overlap val="-27"/>
        <c:axId val="1240681904"/>
        <c:axId val="1240687184"/>
      </c:barChart>
      <c:catAx>
        <c:axId val="124068190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40687184"/>
        <c:crosses val="autoZero"/>
        <c:auto val="1"/>
        <c:lblAlgn val="ctr"/>
        <c:lblOffset val="100"/>
        <c:noMultiLvlLbl val="0"/>
      </c:catAx>
      <c:valAx>
        <c:axId val="1240687184"/>
        <c:scaling>
          <c:orientation val="minMax"/>
        </c:scaling>
        <c:delete val="1"/>
        <c:axPos val="l"/>
        <c:numFmt formatCode="0" sourceLinked="1"/>
        <c:majorTickMark val="out"/>
        <c:minorTickMark val="none"/>
        <c:tickLblPos val="nextTo"/>
        <c:crossAx val="12406819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val>
            <c:numRef>
              <c:f>'Market BB quarts'!$G$59:$O$59</c:f>
              <c:numCache>
                <c:formatCode>#,##0</c:formatCode>
                <c:ptCount val="5"/>
                <c:pt idx="0">
                  <c:v>479.32800000000134</c:v>
                </c:pt>
                <c:pt idx="1">
                  <c:v>360.74200000000201</c:v>
                </c:pt>
                <c:pt idx="2">
                  <c:v>420.89099999999598</c:v>
                </c:pt>
                <c:pt idx="3">
                  <c:v>203.90400000000227</c:v>
                </c:pt>
                <c:pt idx="4">
                  <c:v>478.37700000000041</c:v>
                </c:pt>
              </c:numCache>
            </c:numRef>
          </c:val>
          <c:extLst>
            <c:ext xmlns:c16="http://schemas.microsoft.com/office/drawing/2014/chart" uri="{C3380CC4-5D6E-409C-BE32-E72D297353CC}">
              <c16:uniqueId val="{00000000-AAF4-4ABA-98A1-F60D27B8D319}"/>
            </c:ext>
          </c:extLst>
        </c:ser>
        <c:dLbls>
          <c:showLegendKey val="0"/>
          <c:showVal val="0"/>
          <c:showCatName val="0"/>
          <c:showSerName val="0"/>
          <c:showPercent val="0"/>
          <c:showBubbleSize val="0"/>
        </c:dLbls>
        <c:gapWidth val="219"/>
        <c:overlap val="-27"/>
        <c:axId val="1014584879"/>
        <c:axId val="1014597359"/>
      </c:barChart>
      <c:catAx>
        <c:axId val="101458487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597359"/>
        <c:crosses val="autoZero"/>
        <c:auto val="1"/>
        <c:lblAlgn val="ctr"/>
        <c:lblOffset val="100"/>
        <c:noMultiLvlLbl val="0"/>
      </c:catAx>
      <c:valAx>
        <c:axId val="10145973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584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'Market BB quarts'!$B$55</c:f>
              <c:strCache>
                <c:ptCount val="1"/>
                <c:pt idx="0">
                  <c:v>Totalplay</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quarts'!$K$33:$P$33</c:f>
              <c:strCache>
                <c:ptCount val="6"/>
                <c:pt idx="0">
                  <c:v>Q1 22</c:v>
                </c:pt>
                <c:pt idx="1">
                  <c:v>Q2 22</c:v>
                </c:pt>
                <c:pt idx="2">
                  <c:v>Q3 22</c:v>
                </c:pt>
                <c:pt idx="3">
                  <c:v>Q4 22</c:v>
                </c:pt>
                <c:pt idx="4">
                  <c:v>Q1 23</c:v>
                </c:pt>
                <c:pt idx="5">
                  <c:v>Q2 23</c:v>
                </c:pt>
              </c:strCache>
            </c:strRef>
          </c:cat>
          <c:val>
            <c:numRef>
              <c:f>'Market BB quarts'!$K$55:$P$55</c:f>
              <c:numCache>
                <c:formatCode>#,##0</c:formatCode>
                <c:ptCount val="6"/>
                <c:pt idx="0">
                  <c:v>274</c:v>
                </c:pt>
                <c:pt idx="1">
                  <c:v>244</c:v>
                </c:pt>
                <c:pt idx="2">
                  <c:v>223</c:v>
                </c:pt>
                <c:pt idx="3">
                  <c:v>97</c:v>
                </c:pt>
                <c:pt idx="4">
                  <c:v>107.21000000000004</c:v>
                </c:pt>
                <c:pt idx="5">
                  <c:v>115</c:v>
                </c:pt>
              </c:numCache>
            </c:numRef>
          </c:val>
          <c:extLst>
            <c:ext xmlns:c16="http://schemas.microsoft.com/office/drawing/2014/chart" uri="{C3380CC4-5D6E-409C-BE32-E72D297353CC}">
              <c16:uniqueId val="{00000000-895E-43B6-8F6D-4B4444231EFD}"/>
            </c:ext>
          </c:extLst>
        </c:ser>
        <c:ser>
          <c:idx val="1"/>
          <c:order val="1"/>
          <c:tx>
            <c:strRef>
              <c:f>'Market BB quarts'!$B$56</c:f>
              <c:strCache>
                <c:ptCount val="1"/>
                <c:pt idx="0">
                  <c:v>MEGA (Cable)</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quarts'!$K$33:$P$33</c:f>
              <c:strCache>
                <c:ptCount val="6"/>
                <c:pt idx="0">
                  <c:v>Q1 22</c:v>
                </c:pt>
                <c:pt idx="1">
                  <c:v>Q2 22</c:v>
                </c:pt>
                <c:pt idx="2">
                  <c:v>Q3 22</c:v>
                </c:pt>
                <c:pt idx="3">
                  <c:v>Q4 22</c:v>
                </c:pt>
                <c:pt idx="4">
                  <c:v>Q1 23</c:v>
                </c:pt>
                <c:pt idx="5">
                  <c:v>Q2 23</c:v>
                </c:pt>
              </c:strCache>
            </c:strRef>
          </c:cat>
          <c:val>
            <c:numRef>
              <c:f>'Market BB quarts'!$K$56:$P$56</c:f>
              <c:numCache>
                <c:formatCode>#,##0</c:formatCode>
                <c:ptCount val="6"/>
                <c:pt idx="0">
                  <c:v>59.403999999999996</c:v>
                </c:pt>
                <c:pt idx="1">
                  <c:v>19.177999999999884</c:v>
                </c:pt>
                <c:pt idx="2">
                  <c:v>100.65700000000015</c:v>
                </c:pt>
                <c:pt idx="3">
                  <c:v>124.72799999999961</c:v>
                </c:pt>
                <c:pt idx="4">
                  <c:v>147.30500000000029</c:v>
                </c:pt>
                <c:pt idx="5">
                  <c:v>163.3119999999999</c:v>
                </c:pt>
              </c:numCache>
            </c:numRef>
          </c:val>
          <c:extLst>
            <c:ext xmlns:c16="http://schemas.microsoft.com/office/drawing/2014/chart" uri="{C3380CC4-5D6E-409C-BE32-E72D297353CC}">
              <c16:uniqueId val="{00000001-895E-43B6-8F6D-4B4444231EFD}"/>
            </c:ext>
          </c:extLst>
        </c:ser>
        <c:ser>
          <c:idx val="2"/>
          <c:order val="2"/>
          <c:tx>
            <c:strRef>
              <c:f>'Market BB quarts'!$B$57</c:f>
              <c:strCache>
                <c:ptCount val="1"/>
                <c:pt idx="0">
                  <c:v>TV (Retail)</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quarts'!$K$33:$P$33</c:f>
              <c:strCache>
                <c:ptCount val="6"/>
                <c:pt idx="0">
                  <c:v>Q1 22</c:v>
                </c:pt>
                <c:pt idx="1">
                  <c:v>Q2 22</c:v>
                </c:pt>
                <c:pt idx="2">
                  <c:v>Q3 22</c:v>
                </c:pt>
                <c:pt idx="3">
                  <c:v>Q4 22</c:v>
                </c:pt>
                <c:pt idx="4">
                  <c:v>Q1 23</c:v>
                </c:pt>
                <c:pt idx="5">
                  <c:v>Q2 23</c:v>
                </c:pt>
              </c:strCache>
            </c:strRef>
          </c:cat>
          <c:val>
            <c:numRef>
              <c:f>'Market BB quarts'!$K$57:$P$57</c:f>
              <c:numCache>
                <c:formatCode>#,##0</c:formatCode>
                <c:ptCount val="6"/>
                <c:pt idx="0">
                  <c:v>82.923999999999978</c:v>
                </c:pt>
                <c:pt idx="1">
                  <c:v>77.564000000000306</c:v>
                </c:pt>
                <c:pt idx="2">
                  <c:v>96.233999999999469</c:v>
                </c:pt>
                <c:pt idx="3">
                  <c:v>78.176000000000386</c:v>
                </c:pt>
                <c:pt idx="4">
                  <c:v>84.86200000000008</c:v>
                </c:pt>
                <c:pt idx="5">
                  <c:v>-37.86200000000008</c:v>
                </c:pt>
              </c:numCache>
            </c:numRef>
          </c:val>
          <c:extLst>
            <c:ext xmlns:c16="http://schemas.microsoft.com/office/drawing/2014/chart" uri="{C3380CC4-5D6E-409C-BE32-E72D297353CC}">
              <c16:uniqueId val="{00000002-895E-43B6-8F6D-4B4444231EFD}"/>
            </c:ext>
          </c:extLst>
        </c:ser>
        <c:ser>
          <c:idx val="3"/>
          <c:order val="3"/>
          <c:tx>
            <c:strRef>
              <c:f>'Market BB quarts'!$B$58</c:f>
              <c:strCache>
                <c:ptCount val="1"/>
                <c:pt idx="0">
                  <c:v>Telmex</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quarts'!$K$33:$P$33</c:f>
              <c:strCache>
                <c:ptCount val="6"/>
                <c:pt idx="0">
                  <c:v>Q1 22</c:v>
                </c:pt>
                <c:pt idx="1">
                  <c:v>Q2 22</c:v>
                </c:pt>
                <c:pt idx="2">
                  <c:v>Q3 22</c:v>
                </c:pt>
                <c:pt idx="3">
                  <c:v>Q4 22</c:v>
                </c:pt>
                <c:pt idx="4">
                  <c:v>Q1 23</c:v>
                </c:pt>
                <c:pt idx="5">
                  <c:v>Q2 23</c:v>
                </c:pt>
              </c:strCache>
            </c:strRef>
          </c:cat>
          <c:val>
            <c:numRef>
              <c:f>'Market BB quarts'!$K$58:$P$58</c:f>
              <c:numCache>
                <c:formatCode>#,##0</c:formatCode>
                <c:ptCount val="6"/>
                <c:pt idx="0">
                  <c:v>63</c:v>
                </c:pt>
                <c:pt idx="1">
                  <c:v>20</c:v>
                </c:pt>
                <c:pt idx="2">
                  <c:v>1</c:v>
                </c:pt>
                <c:pt idx="3">
                  <c:v>-96</c:v>
                </c:pt>
                <c:pt idx="4">
                  <c:v>139</c:v>
                </c:pt>
                <c:pt idx="5">
                  <c:v>140</c:v>
                </c:pt>
              </c:numCache>
            </c:numRef>
          </c:val>
          <c:extLst>
            <c:ext xmlns:c16="http://schemas.microsoft.com/office/drawing/2014/chart" uri="{C3380CC4-5D6E-409C-BE32-E72D297353CC}">
              <c16:uniqueId val="{00000003-895E-43B6-8F6D-4B4444231EFD}"/>
            </c:ext>
          </c:extLst>
        </c:ser>
        <c:dLbls>
          <c:showLegendKey val="0"/>
          <c:showVal val="0"/>
          <c:showCatName val="0"/>
          <c:showSerName val="0"/>
          <c:showPercent val="0"/>
          <c:showBubbleSize val="0"/>
        </c:dLbls>
        <c:gapWidth val="30"/>
        <c:overlap val="-27"/>
        <c:axId val="1015532079"/>
        <c:axId val="1015532559"/>
      </c:barChart>
      <c:catAx>
        <c:axId val="1015532079"/>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15532559"/>
        <c:crosses val="autoZero"/>
        <c:auto val="1"/>
        <c:lblAlgn val="ctr"/>
        <c:lblOffset val="100"/>
        <c:noMultiLvlLbl val="0"/>
      </c:catAx>
      <c:valAx>
        <c:axId val="1015532559"/>
        <c:scaling>
          <c:orientation val="minMax"/>
        </c:scaling>
        <c:delete val="1"/>
        <c:axPos val="l"/>
        <c:numFmt formatCode="#,##0" sourceLinked="1"/>
        <c:majorTickMark val="out"/>
        <c:minorTickMark val="none"/>
        <c:tickLblPos val="nextTo"/>
        <c:crossAx val="101553207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'Market BB quarts'!$F$147:$F$151</c:f>
            </c:numRef>
          </c:val>
          <c:extLst>
            <c:ext xmlns:c15="http://schemas.microsoft.com/office/drawing/2012/chart" uri="{02D57815-91ED-43cb-92C2-25804820EDAC}">
              <c15:filteredCategoryTitle>
                <c15:cat>
                  <c:multiLvlStrRef>
                    <c:extLst>
                      <c:ext uri="{02D57815-91ED-43cb-92C2-25804820EDAC}">
                        <c15:formulaRef>
                          <c15:sqref>'Market BB quarts'!$E$147:$E$151</c15:sqref>
                        </c15:formulaRef>
                      </c:ext>
                    </c:extLst>
                  </c:multiLvlStrRef>
                </c15:cat>
              </c15:filteredCategoryTitle>
            </c:ext>
            <c:ext xmlns:c16="http://schemas.microsoft.com/office/drawing/2014/chart" uri="{C3380CC4-5D6E-409C-BE32-E72D297353CC}">
              <c16:uniqueId val="{00000000-AE06-4F69-AE21-E15A35DFDC76}"/>
            </c:ext>
          </c:extLst>
        </c:ser>
        <c:dLbls>
          <c:showLegendKey val="0"/>
          <c:showVal val="0"/>
          <c:showCatName val="0"/>
          <c:showSerName val="0"/>
          <c:showPercent val="0"/>
          <c:showBubbleSize val="0"/>
        </c:dLbls>
        <c:gapWidth val="30"/>
        <c:overlap val="-27"/>
        <c:axId val="1015495599"/>
        <c:axId val="1015503759"/>
      </c:barChart>
      <c:catAx>
        <c:axId val="1015495599"/>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15503759"/>
        <c:crosses val="autoZero"/>
        <c:auto val="1"/>
        <c:lblAlgn val="ctr"/>
        <c:lblOffset val="100"/>
        <c:noMultiLvlLbl val="0"/>
      </c:catAx>
      <c:valAx>
        <c:axId val="1015503759"/>
        <c:scaling>
          <c:orientation val="minMax"/>
        </c:scaling>
        <c:delete val="1"/>
        <c:axPos val="l"/>
        <c:numFmt formatCode="0%" sourceLinked="1"/>
        <c:majorTickMark val="out"/>
        <c:minorTickMark val="none"/>
        <c:tickLblPos val="nextTo"/>
        <c:crossAx val="101549559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'Market BB quarts'!$B$177</c:f>
              <c:strCache>
                <c:ptCount val="1"/>
                <c:pt idx="0">
                  <c:v>MEGA homes passed</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04040"/>
                    </a:solidFill>
                    <a:latin typeface="Roboto" pitchFamily="2" charset="0"/>
                    <a:ea typeface="Roboto" pitchFamily="2"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quarts'!$K$176:$V$176</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quarts'!$K$177:$V$177</c:f>
              <c:numCache>
                <c:formatCode>#,##0</c:formatCode>
                <c:ptCount val="12"/>
                <c:pt idx="0">
                  <c:v>9007.223</c:v>
                </c:pt>
                <c:pt idx="1">
                  <c:v>9097</c:v>
                </c:pt>
                <c:pt idx="2">
                  <c:v>9292.1260000000002</c:v>
                </c:pt>
                <c:pt idx="3">
                  <c:v>9568.6</c:v>
                </c:pt>
                <c:pt idx="4">
                  <c:v>9686.3050000000003</c:v>
                </c:pt>
                <c:pt idx="5">
                  <c:v>10114.51</c:v>
                </c:pt>
                <c:pt idx="6">
                  <c:v>10566.498</c:v>
                </c:pt>
                <c:pt idx="7">
                  <c:v>11560.218000000001</c:v>
                </c:pt>
                <c:pt idx="8">
                  <c:v>12487.578</c:v>
                </c:pt>
                <c:pt idx="9">
                  <c:v>13450.7</c:v>
                </c:pt>
                <c:pt idx="10">
                  <c:v>14552.598</c:v>
                </c:pt>
                <c:pt idx="11">
                  <c:v>15437.906999999999</c:v>
                </c:pt>
              </c:numCache>
            </c:numRef>
          </c:val>
          <c:extLst>
            <c:ext xmlns:c16="http://schemas.microsoft.com/office/drawing/2014/chart" uri="{C3380CC4-5D6E-409C-BE32-E72D297353CC}">
              <c16:uniqueId val="{00000000-7705-4F33-B2A2-A491159F3B5C}"/>
            </c:ext>
          </c:extLst>
        </c:ser>
        <c:dLbls>
          <c:showLegendKey val="0"/>
          <c:showVal val="1"/>
          <c:showCatName val="0"/>
          <c:showSerName val="0"/>
          <c:showPercent val="0"/>
          <c:showBubbleSize val="0"/>
        </c:dLbls>
        <c:gapWidth val="75"/>
        <c:axId val="436501656"/>
        <c:axId val="436497392"/>
      </c:barChart>
      <c:lineChart>
        <c:grouping val="standard"/>
        <c:varyColors val="0"/>
        <c:ser>
          <c:idx val="1"/>
          <c:order val="1"/>
          <c:tx>
            <c:strRef>
              <c:f>'Market BB quarts'!$B$178</c:f>
              <c:strCache>
                <c:ptCount val="1"/>
                <c:pt idx="0">
                  <c:v>Homes added</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04040"/>
                    </a:solidFill>
                    <a:latin typeface="Roboto" pitchFamily="2" charset="0"/>
                    <a:ea typeface="Roboto" pitchFamily="2"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quarts'!$K$176:$V$176</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quarts'!$K$178:$V$178</c:f>
              <c:numCache>
                <c:formatCode>#,##0</c:formatCode>
                <c:ptCount val="12"/>
                <c:pt idx="0">
                  <c:v>51.765999999999622</c:v>
                </c:pt>
                <c:pt idx="1">
                  <c:v>89.777000000000044</c:v>
                </c:pt>
                <c:pt idx="2">
                  <c:v>195.1260000000002</c:v>
                </c:pt>
                <c:pt idx="3">
                  <c:v>276.47400000000016</c:v>
                </c:pt>
                <c:pt idx="4">
                  <c:v>117.70499999999993</c:v>
                </c:pt>
                <c:pt idx="5">
                  <c:v>428.20499999999993</c:v>
                </c:pt>
                <c:pt idx="6">
                  <c:v>451.98799999999937</c:v>
                </c:pt>
                <c:pt idx="7">
                  <c:v>993.72000000000116</c:v>
                </c:pt>
                <c:pt idx="8">
                  <c:v>927.35999999999876</c:v>
                </c:pt>
                <c:pt idx="9">
                  <c:v>963.12200000000121</c:v>
                </c:pt>
                <c:pt idx="10">
                  <c:v>1101.8979999999992</c:v>
                </c:pt>
                <c:pt idx="11">
                  <c:v>885.30899999999929</c:v>
                </c:pt>
              </c:numCache>
            </c:numRef>
          </c:val>
          <c:smooth val="0"/>
          <c:extLst>
            <c:ext xmlns:c16="http://schemas.microsoft.com/office/drawing/2014/chart" uri="{C3380CC4-5D6E-409C-BE32-E72D297353CC}">
              <c16:uniqueId val="{00000001-7705-4F33-B2A2-A491159F3B5C}"/>
            </c:ext>
          </c:extLst>
        </c:ser>
        <c:dLbls>
          <c:showLegendKey val="0"/>
          <c:showVal val="1"/>
          <c:showCatName val="0"/>
          <c:showSerName val="0"/>
          <c:showPercent val="0"/>
          <c:showBubbleSize val="0"/>
        </c:dLbls>
        <c:marker val="1"/>
        <c:smooth val="0"/>
        <c:axId val="505393440"/>
        <c:axId val="505389176"/>
      </c:lineChart>
      <c:catAx>
        <c:axId val="436501656"/>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Roboto" pitchFamily="2" charset="0"/>
                <a:ea typeface="Roboto" pitchFamily="2" charset="0"/>
                <a:cs typeface="+mn-cs"/>
              </a:defRPr>
            </a:pPr>
            <a:endParaRPr lang="en-US"/>
          </a:p>
        </c:txPr>
        <c:crossAx val="436497392"/>
        <c:crosses val="autoZero"/>
        <c:auto val="1"/>
        <c:lblAlgn val="ctr"/>
        <c:lblOffset val="100"/>
        <c:noMultiLvlLbl val="0"/>
      </c:catAx>
      <c:valAx>
        <c:axId val="436497392"/>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36501656"/>
        <c:crosses val="autoZero"/>
        <c:crossBetween val="between"/>
      </c:valAx>
      <c:valAx>
        <c:axId val="505389176"/>
        <c:scaling>
          <c:orientation val="minMax"/>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05393440"/>
        <c:crosses val="max"/>
        <c:crossBetween val="between"/>
      </c:valAx>
      <c:catAx>
        <c:axId val="505393440"/>
        <c:scaling>
          <c:orientation val="minMax"/>
        </c:scaling>
        <c:delete val="1"/>
        <c:axPos val="b"/>
        <c:numFmt formatCode="General" sourceLinked="1"/>
        <c:majorTickMark val="out"/>
        <c:minorTickMark val="none"/>
        <c:tickLblPos val="nextTo"/>
        <c:crossAx val="505389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Roboto" panose="02000000000000000000" pitchFamily="2" charset="0"/>
              <a:ea typeface="Roboto" panose="02000000000000000000"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quarts'!$B$202</c:f>
              <c:strCache>
                <c:ptCount val="1"/>
                <c:pt idx="0">
                  <c:v>TV</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quarts'!$C$201:$F$201</c:f>
            </c:multiLvlStrRef>
          </c:cat>
          <c:val>
            <c:numRef>
              <c:f>'Market BB quarts'!$C$202:$F$202</c:f>
            </c:numRef>
          </c:val>
          <c:extLst>
            <c:ext xmlns:c16="http://schemas.microsoft.com/office/drawing/2014/chart" uri="{C3380CC4-5D6E-409C-BE32-E72D297353CC}">
              <c16:uniqueId val="{00000000-3847-4986-8373-DD0E19E8F0E7}"/>
            </c:ext>
          </c:extLst>
        </c:ser>
        <c:ser>
          <c:idx val="1"/>
          <c:order val="1"/>
          <c:tx>
            <c:strRef>
              <c:f>'Market BB quarts'!$B$203</c:f>
              <c:strCache>
                <c:ptCount val="1"/>
                <c:pt idx="0">
                  <c:v>Totalplay</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quarts'!$C$201:$F$201</c:f>
            </c:multiLvlStrRef>
          </c:cat>
          <c:val>
            <c:numRef>
              <c:f>'Market BB quarts'!$C$203:$F$203</c:f>
            </c:numRef>
          </c:val>
          <c:extLst>
            <c:ext xmlns:c16="http://schemas.microsoft.com/office/drawing/2014/chart" uri="{C3380CC4-5D6E-409C-BE32-E72D297353CC}">
              <c16:uniqueId val="{00000002-3847-4986-8373-DD0E19E8F0E7}"/>
            </c:ext>
          </c:extLst>
        </c:ser>
        <c:ser>
          <c:idx val="2"/>
          <c:order val="2"/>
          <c:tx>
            <c:strRef>
              <c:f>'Market BB quarts'!$B$204</c:f>
              <c:strCache>
                <c:ptCount val="1"/>
                <c:pt idx="0">
                  <c:v>MEGA</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quarts'!$C$201:$F$201</c:f>
            </c:multiLvlStrRef>
          </c:cat>
          <c:val>
            <c:numRef>
              <c:f>'Market BB quarts'!$C$204:$F$204</c:f>
            </c:numRef>
          </c:val>
          <c:extLst>
            <c:ext xmlns:c16="http://schemas.microsoft.com/office/drawing/2014/chart" uri="{C3380CC4-5D6E-409C-BE32-E72D297353CC}">
              <c16:uniqueId val="{00000004-3847-4986-8373-DD0E19E8F0E7}"/>
            </c:ext>
          </c:extLst>
        </c:ser>
        <c:ser>
          <c:idx val="3"/>
          <c:order val="3"/>
          <c:tx>
            <c:strRef>
              <c:f>'Market BB quarts'!$B$205</c:f>
              <c:strCache>
                <c:ptCount val="1"/>
                <c:pt idx="0">
                  <c:v>Telmex</c:v>
                </c:pt>
              </c:strCache>
            </c:strRef>
          </c:tx>
          <c:spPr>
            <a:solidFill>
              <a:srgbClr val="C7FE0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quarts'!$C$201:$F$201</c:f>
            </c:multiLvlStrRef>
          </c:cat>
          <c:val>
            <c:numRef>
              <c:f>'Market BB quarts'!$C$205:$F$205</c:f>
            </c:numRef>
          </c:val>
          <c:extLst>
            <c:ext xmlns:c16="http://schemas.microsoft.com/office/drawing/2014/chart" uri="{C3380CC4-5D6E-409C-BE32-E72D297353CC}">
              <c16:uniqueId val="{00000006-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'Market BB quarts'!$B$243</c:f>
              <c:strCache>
                <c:ptCount val="1"/>
                <c:pt idx="0">
                  <c:v>MEGA </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quarts'!$K$242:$V$242</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quarts'!$K$243:$V$243</c:f>
              <c:numCache>
                <c:formatCode>0.0%</c:formatCode>
                <c:ptCount val="12"/>
                <c:pt idx="0">
                  <c:v>7.8239680555875157E-2</c:v>
                </c:pt>
                <c:pt idx="1">
                  <c:v>0.11048947206973758</c:v>
                </c:pt>
                <c:pt idx="2">
                  <c:v>9.3123697730669308E-2</c:v>
                </c:pt>
                <c:pt idx="3">
                  <c:v>0.1198066586586366</c:v>
                </c:pt>
                <c:pt idx="4">
                  <c:v>0.10256202180820861</c:v>
                </c:pt>
                <c:pt idx="5">
                  <c:v>0.10181503347735732</c:v>
                </c:pt>
                <c:pt idx="6">
                  <c:v>9.6332974554941719E-2</c:v>
                </c:pt>
                <c:pt idx="7">
                  <c:v>0.10838239269632122</c:v>
                </c:pt>
                <c:pt idx="8">
                  <c:v>8.9869508623792393E-2</c:v>
                </c:pt>
                <c:pt idx="9">
                  <c:v>0.10365045966389808</c:v>
                </c:pt>
                <c:pt idx="10">
                  <c:v>0.11189830314752292</c:v>
                </c:pt>
                <c:pt idx="11">
                  <c:v>9.461512366868674E-2</c:v>
                </c:pt>
              </c:numCache>
            </c:numRef>
          </c:val>
          <c:smooth val="0"/>
          <c:extLst>
            <c:ext xmlns:c16="http://schemas.microsoft.com/office/drawing/2014/chart" uri="{C3380CC4-5D6E-409C-BE32-E72D297353CC}">
              <c16:uniqueId val="{00000000-96AF-4D4E-A9CA-D5AA75EDF64E}"/>
            </c:ext>
          </c:extLst>
        </c:ser>
        <c:ser>
          <c:idx val="1"/>
          <c:order val="1"/>
          <c:tx>
            <c:strRef>
              <c:f>'Market BB quarts'!$B$245</c:f>
              <c:strCache>
                <c:ptCount val="1"/>
                <c:pt idx="0">
                  <c:v>TV (Cable)</c:v>
                </c:pt>
              </c:strCache>
            </c:strRef>
          </c:tx>
          <c:spPr>
            <a:ln w="28575"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quarts'!$K$242:$V$242</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quarts'!$K$245:$V$245</c:f>
              <c:numCache>
                <c:formatCode>0.0%</c:formatCode>
                <c:ptCount val="12"/>
                <c:pt idx="0">
                  <c:v>7.8690402505381174E-2</c:v>
                </c:pt>
                <c:pt idx="1">
                  <c:v>5.9493491794001319E-2</c:v>
                </c:pt>
                <c:pt idx="2">
                  <c:v>5.7740688470270696E-2</c:v>
                </c:pt>
                <c:pt idx="3">
                  <c:v>3.9786228299382387E-2</c:v>
                </c:pt>
                <c:pt idx="4">
                  <c:v>1.0962189012118317E-2</c:v>
                </c:pt>
                <c:pt idx="5">
                  <c:v>-1.9329638779461922E-2</c:v>
                </c:pt>
                <c:pt idx="6">
                  <c:v>2.7132746589760171E-2</c:v>
                </c:pt>
                <c:pt idx="7">
                  <c:v>1.3589564255623632E-2</c:v>
                </c:pt>
                <c:pt idx="8">
                  <c:v>2.695582193231405E-2</c:v>
                </c:pt>
                <c:pt idx="9">
                  <c:v>3.0489191489361911E-2</c:v>
                </c:pt>
                <c:pt idx="10">
                  <c:v>2.6026303049862864E-2</c:v>
                </c:pt>
                <c:pt idx="11">
                  <c:v>2.6662801986633511E-2</c:v>
                </c:pt>
              </c:numCache>
            </c:numRef>
          </c:val>
          <c:smooth val="0"/>
          <c:extLst>
            <c:ext xmlns:c16="http://schemas.microsoft.com/office/drawing/2014/chart" uri="{C3380CC4-5D6E-409C-BE32-E72D297353CC}">
              <c16:uniqueId val="{00000001-96AF-4D4E-A9CA-D5AA75EDF64E}"/>
            </c:ext>
          </c:extLst>
        </c:ser>
        <c:ser>
          <c:idx val="2"/>
          <c:order val="2"/>
          <c:tx>
            <c:strRef>
              <c:f>'Market BB quarts'!$B$244</c:f>
              <c:strCache>
                <c:ptCount val="1"/>
                <c:pt idx="0">
                  <c:v>MEGA - Residential</c:v>
                </c:pt>
              </c:strCache>
            </c:strRef>
          </c:tx>
          <c:spPr>
            <a:ln w="28575" cap="rnd">
              <a:solidFill>
                <a:srgbClr val="263238"/>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quarts'!$K$242:$V$242</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quarts'!$K$244:$V$244</c:f>
              <c:numCache>
                <c:formatCode>0.0%</c:formatCode>
                <c:ptCount val="12"/>
                <c:pt idx="0">
                  <c:v>8.7866567548424257E-2</c:v>
                </c:pt>
                <c:pt idx="1">
                  <c:v>0.12148916291184331</c:v>
                </c:pt>
                <c:pt idx="2">
                  <c:v>9.7987070051890779E-2</c:v>
                </c:pt>
                <c:pt idx="3">
                  <c:v>0.1146576156923993</c:v>
                </c:pt>
                <c:pt idx="4">
                  <c:v>9.3221592856135072E-2</c:v>
                </c:pt>
                <c:pt idx="5">
                  <c:v>9.275740115239417E-2</c:v>
                </c:pt>
                <c:pt idx="6">
                  <c:v>6.4684167318125319E-2</c:v>
                </c:pt>
                <c:pt idx="7">
                  <c:v>5.2376956520599371E-2</c:v>
                </c:pt>
                <c:pt idx="8">
                  <c:v>7.2923940366890427E-2</c:v>
                </c:pt>
                <c:pt idx="9">
                  <c:v>9.4708799224996865E-2</c:v>
                </c:pt>
                <c:pt idx="10">
                  <c:v>0.13977077522163017</c:v>
                </c:pt>
                <c:pt idx="11">
                  <c:v>0.14526916918697741</c:v>
                </c:pt>
              </c:numCache>
            </c:numRef>
          </c:val>
          <c:smooth val="0"/>
          <c:extLst>
            <c:ext xmlns:c16="http://schemas.microsoft.com/office/drawing/2014/chart" uri="{C3380CC4-5D6E-409C-BE32-E72D297353CC}">
              <c16:uniqueId val="{00000000-A3EC-4BD8-A2F4-787A7F557DCB}"/>
            </c:ext>
          </c:extLst>
        </c:ser>
        <c:ser>
          <c:idx val="3"/>
          <c:order val="3"/>
          <c:tx>
            <c:strRef>
              <c:f>'Market BB quarts'!$B$246</c:f>
              <c:strCache>
                <c:ptCount val="1"/>
                <c:pt idx="0">
                  <c:v>TV (Residential Cable)</c:v>
                </c:pt>
              </c:strCache>
            </c:strRef>
          </c:tx>
          <c:spPr>
            <a:ln w="28575" cap="rnd">
              <a:solidFill>
                <a:srgbClr val="799098"/>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quarts'!$K$242:$V$242</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quarts'!$K$246:$V$246</c:f>
              <c:numCache>
                <c:formatCode>0.0%</c:formatCode>
                <c:ptCount val="12"/>
                <c:pt idx="0">
                  <c:v>7.2736218454662938E-2</c:v>
                </c:pt>
                <c:pt idx="1">
                  <c:v>6.4035290918430077E-2</c:v>
                </c:pt>
                <c:pt idx="2">
                  <c:v>5.823571973326569E-2</c:v>
                </c:pt>
                <c:pt idx="3">
                  <c:v>4.8198377875282583E-2</c:v>
                </c:pt>
                <c:pt idx="4">
                  <c:v>3.3940413171020811E-2</c:v>
                </c:pt>
                <c:pt idx="5">
                  <c:v>3.7947125805749327E-2</c:v>
                </c:pt>
                <c:pt idx="6">
                  <c:v>1.9495518802550071E-2</c:v>
                </c:pt>
                <c:pt idx="7">
                  <c:v>9.1783018782449766E-3</c:v>
                </c:pt>
                <c:pt idx="8">
                  <c:v>4.0164131379036405E-2</c:v>
                </c:pt>
                <c:pt idx="9">
                  <c:v>3.0000000000000027E-2</c:v>
                </c:pt>
                <c:pt idx="10">
                  <c:v>3.0000000000000027E-2</c:v>
                </c:pt>
                <c:pt idx="11">
                  <c:v>3.0000000000000027E-2</c:v>
                </c:pt>
              </c:numCache>
            </c:numRef>
          </c:val>
          <c:smooth val="0"/>
          <c:extLst>
            <c:ext xmlns:c16="http://schemas.microsoft.com/office/drawing/2014/chart" uri="{C3380CC4-5D6E-409C-BE32-E72D297353CC}">
              <c16:uniqueId val="{00000001-A3EC-4BD8-A2F4-787A7F557DCB}"/>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quarts'!$B$289</c:f>
              <c:strCache>
                <c:ptCount val="1"/>
                <c:pt idx="0">
                  <c:v>MEGA </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quarts'!$C$288:$H$288</c:f>
            </c:multiLvlStrRef>
          </c:cat>
          <c:val>
            <c:numRef>
              <c:f>'Market BB quarts'!$C$289:$H$289</c:f>
            </c:numRef>
          </c:val>
          <c:extLst>
            <c:ext xmlns:c16="http://schemas.microsoft.com/office/drawing/2014/chart" uri="{C3380CC4-5D6E-409C-BE32-E72D297353CC}">
              <c16:uniqueId val="{00000000-3847-4986-8373-DD0E19E8F0E7}"/>
            </c:ext>
          </c:extLst>
        </c:ser>
        <c:ser>
          <c:idx val="1"/>
          <c:order val="1"/>
          <c:tx>
            <c:strRef>
              <c:f>'Market BB quarts'!$B$291</c:f>
              <c:strCache>
                <c:ptCount val="1"/>
                <c:pt idx="0">
                  <c:v>TV (Cable)</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quarts'!$C$288:$H$288</c:f>
            </c:multiLvlStrRef>
          </c:cat>
          <c:val>
            <c:numRef>
              <c:f>'Market BB quarts'!$C$291:$H$291</c:f>
            </c:numRef>
          </c:val>
          <c:extLst>
            <c:ext xmlns:c16="http://schemas.microsoft.com/office/drawing/2014/chart" uri="{C3380CC4-5D6E-409C-BE32-E72D297353CC}">
              <c16:uniqueId val="{00000002-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3"/>
          <c:order val="0"/>
          <c:tx>
            <c:strRef>
              <c:f>'Market BB quarts'!$B$272</c:f>
              <c:strCache>
                <c:ptCount val="1"/>
                <c:pt idx="0">
                  <c:v>MEGA (Cable)</c:v>
                </c:pt>
              </c:strCache>
            </c:strRef>
          </c:tx>
          <c:spPr>
            <a:ln w="28575" cap="rnd">
              <a:solidFill>
                <a:srgbClr val="263238"/>
              </a:solidFill>
              <a:prstDash val="solid"/>
              <a:round/>
            </a:ln>
            <a:effectLst/>
          </c:spPr>
          <c:marker>
            <c:symbol val="none"/>
          </c:marker>
          <c:cat>
            <c:strRef>
              <c:f>'Market BB quarts'!$C$270:$V$270</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quarts'!$C$272:$V$272</c:f>
              <c:numCache>
                <c:formatCode>0.0%</c:formatCode>
                <c:ptCount val="12"/>
                <c:pt idx="0">
                  <c:v>9.5395834234278887E-2</c:v>
                </c:pt>
                <c:pt idx="1">
                  <c:v>0.11859159936920571</c:v>
                </c:pt>
                <c:pt idx="2">
                  <c:v>8.7841113152216099E-2</c:v>
                </c:pt>
                <c:pt idx="3">
                  <c:v>0.13363084598915265</c:v>
                </c:pt>
                <c:pt idx="4">
                  <c:v>7.8632397287918154E-2</c:v>
                </c:pt>
                <c:pt idx="5">
                  <c:v>8.0107822410147911E-2</c:v>
                </c:pt>
                <c:pt idx="6">
                  <c:v>4.6471352287487333E-2</c:v>
                </c:pt>
                <c:pt idx="7">
                  <c:v>2.9770583408494922E-3</c:v>
                </c:pt>
                <c:pt idx="8">
                  <c:v>8.0529148597552336E-3</c:v>
                </c:pt>
                <c:pt idx="9">
                  <c:v>9.2038549644968271E-3</c:v>
                </c:pt>
                <c:pt idx="10">
                  <c:v>5.3525631668893014E-2</c:v>
                </c:pt>
                <c:pt idx="11">
                  <c:v>0.11403042596348878</c:v>
                </c:pt>
              </c:numCache>
            </c:numRef>
          </c:val>
          <c:smooth val="0"/>
          <c:extLst>
            <c:ext xmlns:c16="http://schemas.microsoft.com/office/drawing/2014/chart" uri="{C3380CC4-5D6E-409C-BE32-E72D297353CC}">
              <c16:uniqueId val="{00000000-86CB-414B-ABEA-2A92DFA0C11A}"/>
            </c:ext>
          </c:extLst>
        </c:ser>
        <c:ser>
          <c:idx val="1"/>
          <c:order val="1"/>
          <c:tx>
            <c:strRef>
              <c:f>'Market BB quarts'!$B$273</c:f>
              <c:strCache>
                <c:ptCount val="1"/>
                <c:pt idx="0">
                  <c:v>TV (Cable)</c:v>
                </c:pt>
              </c:strCache>
            </c:strRef>
          </c:tx>
          <c:spPr>
            <a:ln w="28575" cap="rnd">
              <a:solidFill>
                <a:srgbClr val="799098"/>
              </a:solidFill>
              <a:prstDash val="solid"/>
              <a:round/>
            </a:ln>
            <a:effectLst/>
          </c:spPr>
          <c:marker>
            <c:symbol val="none"/>
          </c:marker>
          <c:cat>
            <c:strRef>
              <c:f>'Market BB quarts'!$C$270:$V$270</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quarts'!$C$273:$V$273</c:f>
              <c:numCache>
                <c:formatCode>0.0%</c:formatCode>
                <c:ptCount val="12"/>
                <c:pt idx="0">
                  <c:v>7.6676391332427762E-2</c:v>
                </c:pt>
                <c:pt idx="1">
                  <c:v>7.8084398153119405E-2</c:v>
                </c:pt>
                <c:pt idx="2">
                  <c:v>5.5830049825922101E-2</c:v>
                </c:pt>
                <c:pt idx="3">
                  <c:v>8.2949866795834382E-2</c:v>
                </c:pt>
                <c:pt idx="4">
                  <c:v>2.9930087287469487E-2</c:v>
                </c:pt>
                <c:pt idx="5">
                  <c:v>-1.3605306667197947E-2</c:v>
                </c:pt>
                <c:pt idx="6">
                  <c:v>-3.0032579721591568E-2</c:v>
                </c:pt>
                <c:pt idx="7">
                  <c:v>-5.7121025755712096E-2</c:v>
                </c:pt>
                <c:pt idx="8">
                  <c:v>-4.478541160404137E-3</c:v>
                </c:pt>
                <c:pt idx="9">
                  <c:v>-3.0655519205137538E-2</c:v>
                </c:pt>
                <c:pt idx="10">
                  <c:v>7.6540998290042239E-3</c:v>
                </c:pt>
                <c:pt idx="11">
                  <c:v>-2.3277098116339934E-2</c:v>
                </c:pt>
              </c:numCache>
            </c:numRef>
          </c:val>
          <c:smooth val="0"/>
          <c:extLst>
            <c:ext xmlns:c16="http://schemas.microsoft.com/office/drawing/2014/chart" uri="{C3380CC4-5D6E-409C-BE32-E72D297353CC}">
              <c16:uniqueId val="{00000001-96AF-4D4E-A9CA-D5AA75EDF64E}"/>
            </c:ext>
          </c:extLst>
        </c:ser>
        <c:ser>
          <c:idx val="2"/>
          <c:order val="2"/>
          <c:tx>
            <c:strRef>
              <c:f>'Market BB quarts'!$B$275</c:f>
              <c:strCache>
                <c:ptCount val="1"/>
                <c:pt idx="0">
                  <c:v>Inflation</c:v>
                </c:pt>
              </c:strCache>
            </c:strRef>
          </c:tx>
          <c:spPr>
            <a:ln w="38100" cap="rnd">
              <a:solidFill>
                <a:srgbClr val="F9663E"/>
              </a:solidFill>
              <a:round/>
            </a:ln>
            <a:effectLst/>
          </c:spPr>
          <c:marker>
            <c:symbol val="none"/>
          </c:marker>
          <c:cat>
            <c:strRef>
              <c:f>'Market BB quarts'!$C$270:$V$270</c:f>
              <c:strCache>
                <c:ptCount val="12"/>
                <c:pt idx="0">
                  <c:v>Q1 21</c:v>
                </c:pt>
                <c:pt idx="1">
                  <c:v>Q2 21</c:v>
                </c:pt>
                <c:pt idx="2">
                  <c:v>Q3 21</c:v>
                </c:pt>
                <c:pt idx="3">
                  <c:v>Q4 21</c:v>
                </c:pt>
                <c:pt idx="4">
                  <c:v>Q1 22</c:v>
                </c:pt>
                <c:pt idx="5">
                  <c:v>Q2 22</c:v>
                </c:pt>
                <c:pt idx="6">
                  <c:v>Q3 22</c:v>
                </c:pt>
                <c:pt idx="7">
                  <c:v>Q4 22</c:v>
                </c:pt>
                <c:pt idx="8">
                  <c:v>Q1 23</c:v>
                </c:pt>
                <c:pt idx="9">
                  <c:v>Q2 23</c:v>
                </c:pt>
                <c:pt idx="10">
                  <c:v>Q3 23</c:v>
                </c:pt>
                <c:pt idx="11">
                  <c:v>Q4 23</c:v>
                </c:pt>
              </c:strCache>
            </c:strRef>
          </c:cat>
          <c:val>
            <c:numRef>
              <c:f>'Market BB quarts'!$C$275:$V$275</c:f>
              <c:numCache>
                <c:formatCode>0.0%</c:formatCode>
                <c:ptCount val="12"/>
                <c:pt idx="0">
                  <c:v>3.9870000000000003E-2</c:v>
                </c:pt>
                <c:pt idx="1">
                  <c:v>5.9526666666666658E-2</c:v>
                </c:pt>
                <c:pt idx="2">
                  <c:v>5.7993333333333334E-2</c:v>
                </c:pt>
                <c:pt idx="3">
                  <c:v>6.989999999999999E-2</c:v>
                </c:pt>
                <c:pt idx="4">
                  <c:v>7.2680000000000008E-2</c:v>
                </c:pt>
                <c:pt idx="5">
                  <c:v>7.7740000000000004E-2</c:v>
                </c:pt>
                <c:pt idx="6">
                  <c:v>8.5153333333333331E-2</c:v>
                </c:pt>
                <c:pt idx="7">
                  <c:v>8.0070000000000002E-2</c:v>
                </c:pt>
                <c:pt idx="8">
                  <c:v>7.4593333333333331E-2</c:v>
                </c:pt>
                <c:pt idx="9">
                  <c:v>5.7146666666666672E-2</c:v>
                </c:pt>
              </c:numCache>
            </c:numRef>
          </c:val>
          <c:smooth val="0"/>
          <c:extLst>
            <c:ext xmlns:c16="http://schemas.microsoft.com/office/drawing/2014/chart" uri="{C3380CC4-5D6E-409C-BE32-E72D297353CC}">
              <c16:uniqueId val="{00000002-96AF-4D4E-A9CA-D5AA75EDF64E}"/>
            </c:ext>
          </c:extLst>
        </c:ser>
        <c:dLbls>
          <c:showLegendKey val="0"/>
          <c:showVal val="0"/>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'Market BB quarts'!$B$317</c:f>
              <c:strCache>
                <c:ptCount val="1"/>
                <c:pt idx="0">
                  <c:v>MEGA </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quarts'!$C$316:$J$316</c:f>
            </c:multiLvlStrRef>
          </c:cat>
          <c:val>
            <c:numRef>
              <c:f>'Market BB quarts'!$C$317:$J$317</c:f>
            </c:numRef>
          </c:val>
          <c:smooth val="0"/>
          <c:extLst>
            <c:ext xmlns:c16="http://schemas.microsoft.com/office/drawing/2014/chart" uri="{C3380CC4-5D6E-409C-BE32-E72D297353CC}">
              <c16:uniqueId val="{00000000-96AF-4D4E-A9CA-D5AA75EDF64E}"/>
            </c:ext>
          </c:extLst>
        </c:ser>
        <c:ser>
          <c:idx val="1"/>
          <c:order val="1"/>
          <c:tx>
            <c:strRef>
              <c:f>'Market BB quarts'!$B$318</c:f>
              <c:strCache>
                <c:ptCount val="1"/>
                <c:pt idx="0">
                  <c:v>TV (cable)</c:v>
                </c:pt>
              </c:strCache>
            </c:strRef>
          </c:tx>
          <c:spPr>
            <a:ln w="28575"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quarts'!$C$316:$J$316</c:f>
            </c:multiLvlStrRef>
          </c:cat>
          <c:val>
            <c:numRef>
              <c:f>'Market BB quarts'!$C$318:$J$318</c:f>
            </c:numRef>
          </c:val>
          <c:smooth val="0"/>
          <c:extLst>
            <c:ext xmlns:c16="http://schemas.microsoft.com/office/drawing/2014/chart" uri="{C3380CC4-5D6E-409C-BE32-E72D297353CC}">
              <c16:uniqueId val="{00000001-96AF-4D4E-A9CA-D5AA75EDF64E}"/>
            </c:ext>
          </c:extLst>
        </c:ser>
        <c:ser>
          <c:idx val="2"/>
          <c:order val="2"/>
          <c:tx>
            <c:strRef>
              <c:f>'Market BB quarts'!$B$319</c:f>
              <c:strCache>
                <c:ptCount val="1"/>
                <c:pt idx="0">
                  <c:v>Totalplay</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quarts'!$C$316:$J$316</c:f>
            </c:multiLvlStrRef>
          </c:cat>
          <c:val>
            <c:numRef>
              <c:f>'Market BB quarts'!$C$319:$J$319</c:f>
            </c:numRef>
          </c:val>
          <c:smooth val="0"/>
          <c:extLst>
            <c:ext xmlns:c16="http://schemas.microsoft.com/office/drawing/2014/chart" uri="{C3380CC4-5D6E-409C-BE32-E72D297353CC}">
              <c16:uniqueId val="{00000000-683D-4877-A805-40FF0C019859}"/>
            </c:ext>
          </c:extLst>
        </c:ser>
        <c:dLbls>
          <c:showLegendKey val="0"/>
          <c:showVal val="1"/>
          <c:showCatName val="0"/>
          <c:showSerName val="0"/>
          <c:showPercent val="0"/>
          <c:showBubbleSize val="0"/>
        </c:dLbls>
        <c:marker val="1"/>
        <c:smooth val="0"/>
        <c:axId val="1495160607"/>
        <c:axId val="1495161855"/>
      </c:line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Core revenue</c:v>
          </c:tx>
          <c:spPr>
            <a:ln w="25400" cap="rnd">
              <a:solidFill>
                <a:srgbClr val="333399"/>
              </a:solidFill>
              <a:prstDash val="solid"/>
              <a:round/>
            </a:ln>
            <a:effectLst/>
          </c:spPr>
          <c:marker>
            <c:symbol val="none"/>
          </c:marker>
          <c:cat>
            <c:multiLvlStrRef>
              <c:f>Quarts!$CJ$4:$CR$4</c:f>
            </c:multiLvlStrRef>
          </c:cat>
          <c:val>
            <c:numRef>
              <c:f>Quarts!$CJ$103:$CR$103</c:f>
            </c:numRef>
          </c:val>
          <c:smooth val="0"/>
          <c:extLst>
            <c:ext xmlns:c16="http://schemas.microsoft.com/office/drawing/2014/chart" uri="{C3380CC4-5D6E-409C-BE32-E72D297353CC}">
              <c16:uniqueId val="{00000000-BF99-47C3-B8BC-579B6860EFEF}"/>
            </c:ext>
          </c:extLst>
        </c:ser>
        <c:ser>
          <c:idx val="1"/>
          <c:order val="1"/>
          <c:tx>
            <c:v>Core EBITDA</c:v>
          </c:tx>
          <c:spPr>
            <a:ln w="25400" cap="rnd">
              <a:solidFill>
                <a:srgbClr val="99CCFF"/>
              </a:solidFill>
              <a:prstDash val="solid"/>
              <a:round/>
            </a:ln>
            <a:effectLst/>
          </c:spPr>
          <c:marker>
            <c:symbol val="none"/>
          </c:marker>
          <c:cat>
            <c:multiLvlStrRef>
              <c:f>Quarts!$CJ$4:$CR$4</c:f>
            </c:multiLvlStrRef>
          </c:cat>
          <c:val>
            <c:numRef>
              <c:f>Quarts!$CJ$101:$CR$101</c:f>
            </c:numRef>
          </c:val>
          <c:smooth val="0"/>
          <c:extLst>
            <c:ext xmlns:c16="http://schemas.microsoft.com/office/drawing/2014/chart" uri="{C3380CC4-5D6E-409C-BE32-E72D297353CC}">
              <c16:uniqueId val="{00000001-BF99-47C3-B8BC-579B6860EFEF}"/>
            </c:ext>
          </c:extLst>
        </c:ser>
        <c:dLbls>
          <c:showLegendKey val="0"/>
          <c:showVal val="0"/>
          <c:showCatName val="0"/>
          <c:showSerName val="0"/>
          <c:showPercent val="0"/>
          <c:showBubbleSize val="0"/>
        </c:dLbls>
        <c:marker val="1"/>
        <c:smooth val="0"/>
        <c:axId val="899544752"/>
        <c:axId val="982325200"/>
      </c:lineChart>
      <c:catAx>
        <c:axId val="89954475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82325200"/>
        <c:crosses val="autoZero"/>
        <c:auto val="1"/>
        <c:lblAlgn val="ctr"/>
        <c:lblOffset val="100"/>
        <c:noMultiLvlLbl val="0"/>
      </c:catAx>
      <c:valAx>
        <c:axId val="982325200"/>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995447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quarts'!$B$325</c:f>
              <c:strCache>
                <c:ptCount val="1"/>
                <c:pt idx="0">
                  <c:v>MEGA </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quarts'!$C$324:$G$324</c:f>
            </c:multiLvlStrRef>
          </c:cat>
          <c:val>
            <c:numRef>
              <c:f>'Market BB quarts'!$C$325:$G$325</c:f>
            </c:numRef>
          </c:val>
          <c:extLst>
            <c:ext xmlns:c16="http://schemas.microsoft.com/office/drawing/2014/chart" uri="{C3380CC4-5D6E-409C-BE32-E72D297353CC}">
              <c16:uniqueId val="{00000000-3847-4986-8373-DD0E19E8F0E7}"/>
            </c:ext>
          </c:extLst>
        </c:ser>
        <c:ser>
          <c:idx val="1"/>
          <c:order val="1"/>
          <c:tx>
            <c:strRef>
              <c:f>'Market BB quarts'!$B$326</c:f>
              <c:strCache>
                <c:ptCount val="1"/>
                <c:pt idx="0">
                  <c:v>TV (cable)</c:v>
                </c:pt>
              </c:strCache>
            </c:strRef>
          </c:tx>
          <c:spPr>
            <a:solidFill>
              <a:srgbClr val="799098"/>
            </a:solidFill>
            <a:ln>
              <a:noFill/>
            </a:ln>
            <a:effectLst/>
          </c:spPr>
          <c:invertIfNegative val="0"/>
          <c:dLbls>
            <c:dLbl>
              <c:idx val="3"/>
              <c:layout>
                <c:manualLayout>
                  <c:x val="1.49859438926260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5E-4980-88A8-AB677F2822D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quarts'!$C$324:$G$324</c:f>
            </c:multiLvlStrRef>
          </c:cat>
          <c:val>
            <c:numRef>
              <c:f>'Market BB quarts'!$C$326:$G$326</c:f>
            </c:numRef>
          </c:val>
          <c:extLst>
            <c:ext xmlns:c16="http://schemas.microsoft.com/office/drawing/2014/chart" uri="{C3380CC4-5D6E-409C-BE32-E72D297353CC}">
              <c16:uniqueId val="{00000002-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0"/>
          <c:tx>
            <c:strRef>
              <c:f>'Market BB quarts'!$B$290</c:f>
              <c:strCache>
                <c:ptCount val="1"/>
                <c:pt idx="0">
                  <c:v>MEGA (Cable)</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quarts'!$C$288:$H$288</c:f>
            </c:multiLvlStrRef>
          </c:cat>
          <c:val>
            <c:numRef>
              <c:f>'Market BB quarts'!$C$290:$H$290</c:f>
            </c:numRef>
          </c:val>
          <c:extLst>
            <c:ext xmlns:c16="http://schemas.microsoft.com/office/drawing/2014/chart" uri="{C3380CC4-5D6E-409C-BE32-E72D297353CC}">
              <c16:uniqueId val="{00000002-3847-4986-8373-DD0E19E8F0E7}"/>
            </c:ext>
          </c:extLst>
        </c:ser>
        <c:ser>
          <c:idx val="2"/>
          <c:order val="1"/>
          <c:tx>
            <c:strRef>
              <c:f>'Market BB quarts'!$B$291</c:f>
              <c:strCache>
                <c:ptCount val="1"/>
                <c:pt idx="0">
                  <c:v>TV (Cable)</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'Market BB quarts'!$C$288:$H$288</c:f>
            </c:multiLvlStrRef>
          </c:cat>
          <c:val>
            <c:numRef>
              <c:f>'Market BB quarts'!$C$291:$H$291</c:f>
            </c:numRef>
          </c:val>
          <c:extLst>
            <c:ext xmlns:c16="http://schemas.microsoft.com/office/drawing/2014/chart" uri="{C3380CC4-5D6E-409C-BE32-E72D297353CC}">
              <c16:uniqueId val="{00000004-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891086218967533E-2"/>
          <c:y val="5.0065637233065396E-2"/>
          <c:w val="0.94336634193189284"/>
          <c:h val="0.73903438903616303"/>
        </c:manualLayout>
      </c:layout>
      <c:lineChart>
        <c:grouping val="standard"/>
        <c:varyColors val="0"/>
        <c:ser>
          <c:idx val="1"/>
          <c:order val="0"/>
          <c:tx>
            <c:strRef>
              <c:f>'Market BB quarts'!$B$11</c:f>
              <c:strCache>
                <c:ptCount val="1"/>
                <c:pt idx="0">
                  <c:v>MEGA (Cable)</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quarts'!$Z$2:$AF$2</c:f>
              <c:strCache>
                <c:ptCount val="7"/>
                <c:pt idx="0">
                  <c:v>Q1 22</c:v>
                </c:pt>
                <c:pt idx="1">
                  <c:v>Q2 22</c:v>
                </c:pt>
                <c:pt idx="2">
                  <c:v>Q3 22</c:v>
                </c:pt>
                <c:pt idx="3">
                  <c:v>Q4 22</c:v>
                </c:pt>
                <c:pt idx="4">
                  <c:v>Q1 23</c:v>
                </c:pt>
                <c:pt idx="5">
                  <c:v>Q2 23</c:v>
                </c:pt>
                <c:pt idx="6">
                  <c:v>Q3 23</c:v>
                </c:pt>
              </c:strCache>
            </c:strRef>
          </c:cat>
          <c:val>
            <c:numRef>
              <c:f>'Market BB quarts'!$Z$11:$AF$11</c:f>
              <c:numCache>
                <c:formatCode>0%</c:formatCode>
                <c:ptCount val="7"/>
                <c:pt idx="0">
                  <c:v>7.8632397287918154E-2</c:v>
                </c:pt>
                <c:pt idx="1">
                  <c:v>8.0107822410147911E-2</c:v>
                </c:pt>
                <c:pt idx="2">
                  <c:v>4.6471352287487333E-2</c:v>
                </c:pt>
                <c:pt idx="3">
                  <c:v>2.9770583408494922E-3</c:v>
                </c:pt>
                <c:pt idx="4">
                  <c:v>8.0529148597552336E-3</c:v>
                </c:pt>
                <c:pt idx="5">
                  <c:v>9.2038549644968271E-3</c:v>
                </c:pt>
                <c:pt idx="6">
                  <c:v>5.3525631668893014E-2</c:v>
                </c:pt>
              </c:numCache>
            </c:numRef>
          </c:val>
          <c:smooth val="0"/>
          <c:extLst>
            <c:ext xmlns:c16="http://schemas.microsoft.com/office/drawing/2014/chart" uri="{C3380CC4-5D6E-409C-BE32-E72D297353CC}">
              <c16:uniqueId val="{00000001-96AF-4D4E-A9CA-D5AA75EDF64E}"/>
            </c:ext>
          </c:extLst>
        </c:ser>
        <c:ser>
          <c:idx val="2"/>
          <c:order val="1"/>
          <c:tx>
            <c:v>Izzy (TV retail cable)</c:v>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quarts'!$Z$2:$AF$2</c:f>
              <c:strCache>
                <c:ptCount val="7"/>
                <c:pt idx="0">
                  <c:v>Q1 22</c:v>
                </c:pt>
                <c:pt idx="1">
                  <c:v>Q2 22</c:v>
                </c:pt>
                <c:pt idx="2">
                  <c:v>Q3 22</c:v>
                </c:pt>
                <c:pt idx="3">
                  <c:v>Q4 22</c:v>
                </c:pt>
                <c:pt idx="4">
                  <c:v>Q1 23</c:v>
                </c:pt>
                <c:pt idx="5">
                  <c:v>Q2 23</c:v>
                </c:pt>
                <c:pt idx="6">
                  <c:v>Q3 23</c:v>
                </c:pt>
              </c:strCache>
            </c:strRef>
          </c:cat>
          <c:val>
            <c:numRef>
              <c:f>'Market BB quarts'!$Z$12:$AF$12</c:f>
              <c:numCache>
                <c:formatCode>0%</c:formatCode>
                <c:ptCount val="7"/>
                <c:pt idx="0">
                  <c:v>4.2716930626812477E-2</c:v>
                </c:pt>
                <c:pt idx="1">
                  <c:v>4.9765363128491558E-2</c:v>
                </c:pt>
                <c:pt idx="2">
                  <c:v>2.9893083133318843E-3</c:v>
                </c:pt>
                <c:pt idx="3">
                  <c:v>1.0338210107096124E-2</c:v>
                </c:pt>
                <c:pt idx="4">
                  <c:v>1.4375869076906689E-2</c:v>
                </c:pt>
                <c:pt idx="5">
                  <c:v>-1.4411307661195916E-2</c:v>
                </c:pt>
                <c:pt idx="6">
                  <c:v>-7.3030652424565412E-2</c:v>
                </c:pt>
              </c:numCache>
            </c:numRef>
          </c:val>
          <c:smooth val="0"/>
          <c:extLst>
            <c:ext xmlns:c16="http://schemas.microsoft.com/office/drawing/2014/chart" uri="{C3380CC4-5D6E-409C-BE32-E72D297353CC}">
              <c16:uniqueId val="{00000002-96AF-4D4E-A9CA-D5AA75EDF64E}"/>
            </c:ext>
          </c:extLst>
        </c:ser>
        <c:ser>
          <c:idx val="3"/>
          <c:order val="2"/>
          <c:tx>
            <c:v>Total Televisa cable</c:v>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quarts'!$Z$2:$AF$2</c:f>
              <c:strCache>
                <c:ptCount val="7"/>
                <c:pt idx="0">
                  <c:v>Q1 22</c:v>
                </c:pt>
                <c:pt idx="1">
                  <c:v>Q2 22</c:v>
                </c:pt>
                <c:pt idx="2">
                  <c:v>Q3 22</c:v>
                </c:pt>
                <c:pt idx="3">
                  <c:v>Q4 22</c:v>
                </c:pt>
                <c:pt idx="4">
                  <c:v>Q1 23</c:v>
                </c:pt>
                <c:pt idx="5">
                  <c:v>Q2 23</c:v>
                </c:pt>
                <c:pt idx="6">
                  <c:v>Q3 23</c:v>
                </c:pt>
              </c:strCache>
            </c:strRef>
          </c:cat>
          <c:val>
            <c:numRef>
              <c:f>'Market BB quarts'!#REF!</c:f>
              <c:numCache>
                <c:formatCode>0%</c:formatCode>
                <c:ptCount val="7"/>
                <c:pt idx="1">
                  <c:v>-1.3605306667197947E-2</c:v>
                </c:pt>
                <c:pt idx="2">
                  <c:v>-3.0032579721591568E-2</c:v>
                </c:pt>
                <c:pt idx="3">
                  <c:v>-5.7121025755712096E-2</c:v>
                </c:pt>
                <c:pt idx="4">
                  <c:v>-4.478541160404137E-3</c:v>
                </c:pt>
                <c:pt idx="5">
                  <c:v>-2.2294923058281957E-2</c:v>
                </c:pt>
                <c:pt idx="6">
                  <c:v>-0.12042993241592692</c:v>
                </c:pt>
              </c:numCache>
            </c:numRef>
          </c:val>
          <c:smooth val="0"/>
          <c:extLst>
            <c:ext xmlns:c16="http://schemas.microsoft.com/office/drawing/2014/chart" uri="{C3380CC4-5D6E-409C-BE32-E72D297353CC}">
              <c16:uniqueId val="{00000003-96AF-4D4E-A9CA-D5AA75EDF64E}"/>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out"/>
        <c:minorTickMark val="none"/>
        <c:tickLblPos val="nextTo"/>
        <c:crossAx val="149516060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showDLblsOverMax val="0"/>
    <c:extLst/>
  </c:chart>
  <c:spPr>
    <a:no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'Market BB quarts'!$B$22</c:f>
              <c:strCache>
                <c:ptCount val="1"/>
                <c:pt idx="0">
                  <c:v>Totalplay</c:v>
                </c:pt>
              </c:strCache>
            </c:strRef>
          </c:tx>
          <c:spPr>
            <a:solidFill>
              <a:srgbClr val="263238"/>
            </a:solidFill>
            <a:ln w="25400">
              <a:noFill/>
              <a:prstDash val="solid"/>
            </a:ln>
            <a:effectLst/>
            <a:extLst>
              <a:ext uri="{91240B29-F687-4F45-9708-019B960494DF}">
                <a14:hiddenLine xmlns:a14="http://schemas.microsoft.com/office/drawing/2010/main" w="25400">
                  <a:solidFill>
                    <a:srgbClr val="263238"/>
                  </a:solidFill>
                  <a:prstDash val="solid"/>
                </a14:hiddenLine>
              </a:ext>
            </a:extLst>
          </c:spPr>
          <c:invertIfNegative val="0"/>
          <c:cat>
            <c:strRef>
              <c:f>'Market BB quarts'!$C$2:$Q$2</c:f>
              <c:strCache>
                <c:ptCount val="7"/>
                <c:pt idx="0">
                  <c:v>Q1 22</c:v>
                </c:pt>
                <c:pt idx="1">
                  <c:v>Q2 22</c:v>
                </c:pt>
                <c:pt idx="2">
                  <c:v>Q3 22</c:v>
                </c:pt>
                <c:pt idx="3">
                  <c:v>Q4 22</c:v>
                </c:pt>
                <c:pt idx="4">
                  <c:v>Q1 23</c:v>
                </c:pt>
                <c:pt idx="5">
                  <c:v>Q2 23</c:v>
                </c:pt>
                <c:pt idx="6">
                  <c:v>Q3 23</c:v>
                </c:pt>
              </c:strCache>
            </c:strRef>
          </c:cat>
          <c:val>
            <c:numRef>
              <c:f>'Market BB quarts'!$C$22:$Q$22</c:f>
              <c:numCache>
                <c:formatCode>#,##0</c:formatCode>
                <c:ptCount val="7"/>
                <c:pt idx="0">
                  <c:v>15500</c:v>
                </c:pt>
                <c:pt idx="1">
                  <c:v>16600</c:v>
                </c:pt>
                <c:pt idx="2">
                  <c:v>17100</c:v>
                </c:pt>
                <c:pt idx="3">
                  <c:v>17300</c:v>
                </c:pt>
                <c:pt idx="4">
                  <c:v>17500</c:v>
                </c:pt>
                <c:pt idx="5">
                  <c:v>17500</c:v>
                </c:pt>
                <c:pt idx="6">
                  <c:v>17500</c:v>
                </c:pt>
              </c:numCache>
            </c:numRef>
          </c:val>
          <c:extLst>
            <c:ext xmlns:c16="http://schemas.microsoft.com/office/drawing/2014/chart" uri="{C3380CC4-5D6E-409C-BE32-E72D297353CC}">
              <c16:uniqueId val="{00000000-0306-4CC0-91C2-1B0DB078D93D}"/>
            </c:ext>
          </c:extLst>
        </c:ser>
        <c:ser>
          <c:idx val="1"/>
          <c:order val="1"/>
          <c:tx>
            <c:strRef>
              <c:f>'Market BB quarts'!$B$23</c:f>
              <c:strCache>
                <c:ptCount val="1"/>
                <c:pt idx="0">
                  <c:v>MEGA (Cable)</c:v>
                </c:pt>
              </c:strCache>
            </c:strRef>
          </c:tx>
          <c:spPr>
            <a:solidFill>
              <a:srgbClr val="F9663E"/>
            </a:solidFill>
            <a:ln w="25400">
              <a:noFill/>
              <a:prstDash val="solid"/>
            </a:ln>
            <a:effectLst/>
            <a:extLst>
              <a:ext uri="{91240B29-F687-4F45-9708-019B960494DF}">
                <a14:hiddenLine xmlns:a14="http://schemas.microsoft.com/office/drawing/2010/main" w="25400">
                  <a:solidFill>
                    <a:srgbClr val="F9663E"/>
                  </a:solidFill>
                  <a:prstDash val="solid"/>
                </a14:hiddenLine>
              </a:ext>
            </a:extLst>
          </c:spPr>
          <c:invertIfNegative val="0"/>
          <c:cat>
            <c:strRef>
              <c:f>'Market BB quarts'!$C$2:$Q$2</c:f>
              <c:strCache>
                <c:ptCount val="7"/>
                <c:pt idx="0">
                  <c:v>Q1 22</c:v>
                </c:pt>
                <c:pt idx="1">
                  <c:v>Q2 22</c:v>
                </c:pt>
                <c:pt idx="2">
                  <c:v>Q3 22</c:v>
                </c:pt>
                <c:pt idx="3">
                  <c:v>Q4 22</c:v>
                </c:pt>
                <c:pt idx="4">
                  <c:v>Q1 23</c:v>
                </c:pt>
                <c:pt idx="5">
                  <c:v>Q2 23</c:v>
                </c:pt>
                <c:pt idx="6">
                  <c:v>Q3 23</c:v>
                </c:pt>
              </c:strCache>
            </c:strRef>
          </c:cat>
          <c:val>
            <c:numRef>
              <c:f>'Market BB quarts'!$C$23:$Q$23</c:f>
              <c:numCache>
                <c:formatCode>#,##0</c:formatCode>
                <c:ptCount val="7"/>
                <c:pt idx="0">
                  <c:v>9686.3050000000003</c:v>
                </c:pt>
                <c:pt idx="1">
                  <c:v>10114.51</c:v>
                </c:pt>
                <c:pt idx="2">
                  <c:v>10566.498</c:v>
                </c:pt>
                <c:pt idx="3">
                  <c:v>11560.218000000001</c:v>
                </c:pt>
                <c:pt idx="4">
                  <c:v>12487.578</c:v>
                </c:pt>
                <c:pt idx="5">
                  <c:v>13450.7</c:v>
                </c:pt>
                <c:pt idx="6">
                  <c:v>14552.598</c:v>
                </c:pt>
              </c:numCache>
            </c:numRef>
          </c:val>
          <c:extLst>
            <c:ext xmlns:c16="http://schemas.microsoft.com/office/drawing/2014/chart" uri="{C3380CC4-5D6E-409C-BE32-E72D297353CC}">
              <c16:uniqueId val="{00000001-0306-4CC0-91C2-1B0DB078D93D}"/>
            </c:ext>
          </c:extLst>
        </c:ser>
        <c:ser>
          <c:idx val="2"/>
          <c:order val="2"/>
          <c:tx>
            <c:strRef>
              <c:f>'Market BB quarts'!$B$24</c:f>
              <c:strCache>
                <c:ptCount val="1"/>
                <c:pt idx="0">
                  <c:v>TV (Retail)</c:v>
                </c:pt>
              </c:strCache>
            </c:strRef>
          </c:tx>
          <c:spPr>
            <a:solidFill>
              <a:srgbClr val="799098"/>
            </a:solidFill>
            <a:ln w="25400">
              <a:noFill/>
              <a:prstDash val="solid"/>
            </a:ln>
            <a:effectLst/>
            <a:extLst>
              <a:ext uri="{91240B29-F687-4F45-9708-019B960494DF}">
                <a14:hiddenLine xmlns:a14="http://schemas.microsoft.com/office/drawing/2010/main" w="25400">
                  <a:solidFill>
                    <a:srgbClr val="009999"/>
                  </a:solidFill>
                  <a:prstDash val="solid"/>
                </a14:hiddenLine>
              </a:ext>
            </a:extLst>
          </c:spPr>
          <c:invertIfNegative val="0"/>
          <c:cat>
            <c:strRef>
              <c:f>'Market BB quarts'!$C$2:$Q$2</c:f>
              <c:strCache>
                <c:ptCount val="7"/>
                <c:pt idx="0">
                  <c:v>Q1 22</c:v>
                </c:pt>
                <c:pt idx="1">
                  <c:v>Q2 22</c:v>
                </c:pt>
                <c:pt idx="2">
                  <c:v>Q3 22</c:v>
                </c:pt>
                <c:pt idx="3">
                  <c:v>Q4 22</c:v>
                </c:pt>
                <c:pt idx="4">
                  <c:v>Q1 23</c:v>
                </c:pt>
                <c:pt idx="5">
                  <c:v>Q2 23</c:v>
                </c:pt>
                <c:pt idx="6">
                  <c:v>Q3 23</c:v>
                </c:pt>
              </c:strCache>
            </c:strRef>
          </c:cat>
          <c:val>
            <c:numRef>
              <c:f>'Market BB quarts'!$C$24:$Q$24</c:f>
              <c:numCache>
                <c:formatCode>#,##0</c:formatCode>
                <c:ptCount val="7"/>
                <c:pt idx="0">
                  <c:v>18150</c:v>
                </c:pt>
                <c:pt idx="1">
                  <c:v>18400</c:v>
                </c:pt>
                <c:pt idx="2">
                  <c:v>18650</c:v>
                </c:pt>
                <c:pt idx="3">
                  <c:v>18900</c:v>
                </c:pt>
                <c:pt idx="4">
                  <c:v>19100</c:v>
                </c:pt>
                <c:pt idx="5">
                  <c:v>19400</c:v>
                </c:pt>
                <c:pt idx="6">
                  <c:v>19500</c:v>
                </c:pt>
              </c:numCache>
            </c:numRef>
          </c:val>
          <c:extLst>
            <c:ext xmlns:c16="http://schemas.microsoft.com/office/drawing/2014/chart" uri="{C3380CC4-5D6E-409C-BE32-E72D297353CC}">
              <c16:uniqueId val="{00000002-0306-4CC0-91C2-1B0DB078D93D}"/>
            </c:ext>
          </c:extLst>
        </c:ser>
        <c:dLbls>
          <c:showLegendKey val="0"/>
          <c:showVal val="0"/>
          <c:showCatName val="0"/>
          <c:showSerName val="0"/>
          <c:showPercent val="0"/>
          <c:showBubbleSize val="0"/>
        </c:dLbls>
        <c:gapWidth val="30"/>
        <c:overlap val="100"/>
        <c:axId val="1330196976"/>
        <c:axId val="303094720"/>
      </c:barChart>
      <c:catAx>
        <c:axId val="133019697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03094720"/>
        <c:crosses val="autoZero"/>
        <c:auto val="1"/>
        <c:lblAlgn val="ctr"/>
        <c:lblOffset val="100"/>
        <c:noMultiLvlLbl val="0"/>
      </c:catAx>
      <c:valAx>
        <c:axId val="303094720"/>
        <c:scaling>
          <c:orientation val="minMax"/>
        </c:scaling>
        <c:delete val="1"/>
        <c:axPos val="l"/>
        <c:numFmt formatCode="#,##0" sourceLinked="1"/>
        <c:majorTickMark val="out"/>
        <c:minorTickMark val="none"/>
        <c:tickLblPos val="nextTo"/>
        <c:crossAx val="1330196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'Market BB quarts'!$B$4</c:f>
              <c:strCache>
                <c:ptCount val="1"/>
                <c:pt idx="0">
                  <c:v>MEGA (Cable)</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quarts'!$Z$2:$AG$2</c:f>
              <c:strCache>
                <c:ptCount val="8"/>
                <c:pt idx="0">
                  <c:v>Q1 22</c:v>
                </c:pt>
                <c:pt idx="1">
                  <c:v>Q2 22</c:v>
                </c:pt>
                <c:pt idx="2">
                  <c:v>Q3 22</c:v>
                </c:pt>
                <c:pt idx="3">
                  <c:v>Q4 22</c:v>
                </c:pt>
                <c:pt idx="4">
                  <c:v>Q1 23</c:v>
                </c:pt>
                <c:pt idx="5">
                  <c:v>Q2 23</c:v>
                </c:pt>
                <c:pt idx="6">
                  <c:v>Q3 23</c:v>
                </c:pt>
                <c:pt idx="7">
                  <c:v>Q4 23</c:v>
                </c:pt>
              </c:strCache>
            </c:strRef>
          </c:cat>
          <c:val>
            <c:numRef>
              <c:f>'Market BB quarts'!$Z$4:$AG$4</c:f>
              <c:numCache>
                <c:formatCode>0%</c:formatCode>
                <c:ptCount val="8"/>
                <c:pt idx="0">
                  <c:v>0.10316272509113578</c:v>
                </c:pt>
                <c:pt idx="1">
                  <c:v>0.10106764069264051</c:v>
                </c:pt>
                <c:pt idx="2">
                  <c:v>9.0518041451565612E-2</c:v>
                </c:pt>
                <c:pt idx="3">
                  <c:v>6.6835881134052588E-2</c:v>
                </c:pt>
                <c:pt idx="4">
                  <c:v>8.2097888511479811E-2</c:v>
                </c:pt>
                <c:pt idx="5">
                  <c:v>0.10045330199814262</c:v>
                </c:pt>
                <c:pt idx="6">
                  <c:v>0.12617952559748669</c:v>
                </c:pt>
                <c:pt idx="7">
                  <c:v>0.1363249841471148</c:v>
                </c:pt>
              </c:numCache>
            </c:numRef>
          </c:val>
          <c:smooth val="0"/>
          <c:extLst>
            <c:ext xmlns:c16="http://schemas.microsoft.com/office/drawing/2014/chart" uri="{C3380CC4-5D6E-409C-BE32-E72D297353CC}">
              <c16:uniqueId val="{00000000-702D-49EB-A127-F0F19370B115}"/>
            </c:ext>
          </c:extLst>
        </c:ser>
        <c:ser>
          <c:idx val="2"/>
          <c:order val="1"/>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quarts'!$Z$2:$AG$2</c:f>
              <c:strCache>
                <c:ptCount val="8"/>
                <c:pt idx="0">
                  <c:v>Q1 22</c:v>
                </c:pt>
                <c:pt idx="1">
                  <c:v>Q2 22</c:v>
                </c:pt>
                <c:pt idx="2">
                  <c:v>Q3 22</c:v>
                </c:pt>
                <c:pt idx="3">
                  <c:v>Q4 22</c:v>
                </c:pt>
                <c:pt idx="4">
                  <c:v>Q1 23</c:v>
                </c:pt>
                <c:pt idx="5">
                  <c:v>Q2 23</c:v>
                </c:pt>
                <c:pt idx="6">
                  <c:v>Q3 23</c:v>
                </c:pt>
                <c:pt idx="7">
                  <c:v>Q4 23</c:v>
                </c:pt>
              </c:strCache>
            </c:strRef>
          </c:cat>
          <c:val>
            <c:numRef>
              <c:f>'Market BB quarts'!$Z$5:$AG$5</c:f>
              <c:numCache>
                <c:formatCode>0%</c:formatCode>
                <c:ptCount val="8"/>
                <c:pt idx="0">
                  <c:v>3.3979933110367844E-2</c:v>
                </c:pt>
                <c:pt idx="1">
                  <c:v>3.7917652626597187E-2</c:v>
                </c:pt>
                <c:pt idx="2">
                  <c:v>1.9495518802550071E-2</c:v>
                </c:pt>
                <c:pt idx="3">
                  <c:v>9.1601808478829483E-3</c:v>
                </c:pt>
                <c:pt idx="4">
                  <c:v>4.0164131379036405E-2</c:v>
                </c:pt>
                <c:pt idx="5">
                  <c:v>4.3171372291529897E-2</c:v>
                </c:pt>
                <c:pt idx="6">
                  <c:v>1.7853906108392215E-2</c:v>
                </c:pt>
                <c:pt idx="7">
                  <c:v>-2.6306338660441186E-3</c:v>
                </c:pt>
              </c:numCache>
            </c:numRef>
          </c:val>
          <c:smooth val="0"/>
          <c:extLst>
            <c:ext xmlns:c16="http://schemas.microsoft.com/office/drawing/2014/chart" uri="{C3380CC4-5D6E-409C-BE32-E72D297353CC}">
              <c16:uniqueId val="{00000001-702D-49EB-A127-F0F19370B115}"/>
            </c:ext>
          </c:extLst>
        </c:ser>
        <c:ser>
          <c:idx val="3"/>
          <c:order val="2"/>
          <c:tx>
            <c:v>Total Televisa cable</c:v>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quarts'!$Z$2:$AG$2</c:f>
              <c:strCache>
                <c:ptCount val="8"/>
                <c:pt idx="0">
                  <c:v>Q1 22</c:v>
                </c:pt>
                <c:pt idx="1">
                  <c:v>Q2 22</c:v>
                </c:pt>
                <c:pt idx="2">
                  <c:v>Q3 22</c:v>
                </c:pt>
                <c:pt idx="3">
                  <c:v>Q4 22</c:v>
                </c:pt>
                <c:pt idx="4">
                  <c:v>Q1 23</c:v>
                </c:pt>
                <c:pt idx="5">
                  <c:v>Q2 23</c:v>
                </c:pt>
                <c:pt idx="6">
                  <c:v>Q3 23</c:v>
                </c:pt>
                <c:pt idx="7">
                  <c:v>Q4 23</c:v>
                </c:pt>
              </c:strCache>
            </c:strRef>
          </c:cat>
          <c:val>
            <c:numRef>
              <c:f>'Market BB quarts'!#REF!</c:f>
              <c:numCache>
                <c:formatCode>0%</c:formatCode>
                <c:ptCount val="7"/>
                <c:pt idx="1">
                  <c:v>4.1030426877344262E-3</c:v>
                </c:pt>
                <c:pt idx="2">
                  <c:v>2.2088896669159919E-2</c:v>
                </c:pt>
                <c:pt idx="3">
                  <c:v>4.6925964674748855E-4</c:v>
                </c:pt>
                <c:pt idx="4">
                  <c:v>3.0180581423597141E-2</c:v>
                </c:pt>
                <c:pt idx="5">
                  <c:v>2.8203320299980517E-2</c:v>
                </c:pt>
                <c:pt idx="6">
                  <c:v>-1.8559750875827175E-2</c:v>
                </c:pt>
              </c:numCache>
            </c:numRef>
          </c:val>
          <c:smooth val="0"/>
          <c:extLst>
            <c:ext xmlns:c16="http://schemas.microsoft.com/office/drawing/2014/chart" uri="{C3380CC4-5D6E-409C-BE32-E72D297353CC}">
              <c16:uniqueId val="{00000002-702D-49EB-A127-F0F19370B115}"/>
            </c:ext>
          </c:extLst>
        </c:ser>
        <c:ser>
          <c:idx val="0"/>
          <c:order val="3"/>
          <c:tx>
            <c:strRef>
              <c:f>'Market BB quarts'!$B$6</c:f>
              <c:strCache>
                <c:ptCount val="1"/>
                <c:pt idx="0">
                  <c:v>Telmex</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quarts'!$Z$2:$AG$2</c:f>
              <c:strCache>
                <c:ptCount val="8"/>
                <c:pt idx="0">
                  <c:v>Q1 22</c:v>
                </c:pt>
                <c:pt idx="1">
                  <c:v>Q2 22</c:v>
                </c:pt>
                <c:pt idx="2">
                  <c:v>Q3 22</c:v>
                </c:pt>
                <c:pt idx="3">
                  <c:v>Q4 22</c:v>
                </c:pt>
                <c:pt idx="4">
                  <c:v>Q1 23</c:v>
                </c:pt>
                <c:pt idx="5">
                  <c:v>Q2 23</c:v>
                </c:pt>
                <c:pt idx="6">
                  <c:v>Q3 23</c:v>
                </c:pt>
                <c:pt idx="7">
                  <c:v>Q4 23</c:v>
                </c:pt>
              </c:strCache>
            </c:strRef>
          </c:cat>
          <c:val>
            <c:numRef>
              <c:f>'Market BB quarts'!$Z$6:$AG$6</c:f>
              <c:numCache>
                <c:formatCode>0%</c:formatCode>
                <c:ptCount val="8"/>
                <c:pt idx="0">
                  <c:v>-3.1724355270760007E-2</c:v>
                </c:pt>
                <c:pt idx="1">
                  <c:v>-2.5495153813737903E-2</c:v>
                </c:pt>
                <c:pt idx="2">
                  <c:v>2.6353238813050517E-3</c:v>
                </c:pt>
                <c:pt idx="3">
                  <c:v>-1.2732870636121718E-2</c:v>
                </c:pt>
                <c:pt idx="4">
                  <c:v>4.1117439652834209E-2</c:v>
                </c:pt>
                <c:pt idx="5">
                  <c:v>5.589189189189181E-2</c:v>
                </c:pt>
                <c:pt idx="6">
                  <c:v>3.5903905798244207E-2</c:v>
                </c:pt>
                <c:pt idx="7">
                  <c:v>5.9358317035784092E-2</c:v>
                </c:pt>
              </c:numCache>
            </c:numRef>
          </c:val>
          <c:smooth val="0"/>
          <c:extLst>
            <c:ext xmlns:c16="http://schemas.microsoft.com/office/drawing/2014/chart" uri="{C3380CC4-5D6E-409C-BE32-E72D297353CC}">
              <c16:uniqueId val="{00000003-702D-49EB-A127-F0F19370B115}"/>
            </c:ext>
          </c:extLst>
        </c:ser>
        <c:ser>
          <c:idx val="4"/>
          <c:order val="4"/>
          <c:tx>
            <c:strRef>
              <c:f>'Market BB quarts'!$B$3</c:f>
              <c:strCache>
                <c:ptCount val="1"/>
                <c:pt idx="0">
                  <c:v>TotalPlay (Residential)</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quarts'!$Z$2:$AG$2</c:f>
              <c:strCache>
                <c:ptCount val="8"/>
                <c:pt idx="0">
                  <c:v>Q1 22</c:v>
                </c:pt>
                <c:pt idx="1">
                  <c:v>Q2 22</c:v>
                </c:pt>
                <c:pt idx="2">
                  <c:v>Q3 22</c:v>
                </c:pt>
                <c:pt idx="3">
                  <c:v>Q4 22</c:v>
                </c:pt>
                <c:pt idx="4">
                  <c:v>Q1 23</c:v>
                </c:pt>
                <c:pt idx="5">
                  <c:v>Q2 23</c:v>
                </c:pt>
                <c:pt idx="6">
                  <c:v>Q3 23</c:v>
                </c:pt>
                <c:pt idx="7">
                  <c:v>Q4 23</c:v>
                </c:pt>
              </c:strCache>
            </c:strRef>
          </c:cat>
          <c:val>
            <c:numRef>
              <c:f>'Market BB quarts'!$Z$3:$AG$3</c:f>
              <c:numCache>
                <c:formatCode>0%</c:formatCode>
                <c:ptCount val="8"/>
                <c:pt idx="0">
                  <c:v>0.44080183754437252</c:v>
                </c:pt>
                <c:pt idx="1">
                  <c:v>0.39863065804488396</c:v>
                </c:pt>
                <c:pt idx="2">
                  <c:v>0.40641711229946531</c:v>
                </c:pt>
                <c:pt idx="3">
                  <c:v>0.37559377559377549</c:v>
                </c:pt>
                <c:pt idx="4">
                  <c:v>0.18840579710144922</c:v>
                </c:pt>
                <c:pt idx="5">
                  <c:v>0.15868914876257811</c:v>
                </c:pt>
                <c:pt idx="6">
                  <c:v>0.1212927756653992</c:v>
                </c:pt>
                <c:pt idx="7">
                  <c:v>6.5134555846630082E-2</c:v>
                </c:pt>
              </c:numCache>
            </c:numRef>
          </c:val>
          <c:smooth val="0"/>
          <c:extLst>
            <c:ext xmlns:c16="http://schemas.microsoft.com/office/drawing/2014/chart" uri="{C3380CC4-5D6E-409C-BE32-E72D297353CC}">
              <c16:uniqueId val="{00000004-702D-49EB-A127-F0F19370B115}"/>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out"/>
        <c:minorTickMark val="none"/>
        <c:tickLblPos val="nextTo"/>
        <c:crossAx val="1495160607"/>
        <c:crosses val="autoZero"/>
        <c:crossBetween val="between"/>
      </c:valAx>
      <c:spPr>
        <a:noFill/>
        <a:ln w="25400">
          <a:noFill/>
        </a:ln>
        <a:effectLst/>
      </c:spPr>
    </c:plotArea>
    <c:legend>
      <c:legendPos val="b"/>
      <c:layout>
        <c:manualLayout>
          <c:xMode val="edge"/>
          <c:yMode val="edge"/>
          <c:x val="0.24378031292252147"/>
          <c:y val="0.23829125075230995"/>
          <c:w val="0.54135535501576526"/>
          <c:h val="0.68250181645820274"/>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showDLblsOverMax val="0"/>
    <c:extLst/>
  </c:chart>
  <c:spPr>
    <a:no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quarts'!$B$396</c:f>
              <c:strCache>
                <c:ptCount val="1"/>
                <c:pt idx="0">
                  <c:v>MEGA</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quarts'!$O$395:$S$395</c:f>
              <c:strCache>
                <c:ptCount val="5"/>
                <c:pt idx="0">
                  <c:v>2024E</c:v>
                </c:pt>
                <c:pt idx="1">
                  <c:v>2025E</c:v>
                </c:pt>
                <c:pt idx="2">
                  <c:v>2026E</c:v>
                </c:pt>
                <c:pt idx="3">
                  <c:v>2027E</c:v>
                </c:pt>
                <c:pt idx="4">
                  <c:v>2028E</c:v>
                </c:pt>
              </c:strCache>
            </c:strRef>
          </c:cat>
          <c:val>
            <c:numRef>
              <c:f>'Market BB quarts'!$O$396:$S$396</c:f>
              <c:numCache>
                <c:formatCode>0%</c:formatCode>
                <c:ptCount val="5"/>
                <c:pt idx="0">
                  <c:v>0.10763794579510777</c:v>
                </c:pt>
                <c:pt idx="1">
                  <c:v>8.8889098574753023E-2</c:v>
                </c:pt>
                <c:pt idx="2">
                  <c:v>7.5559433485720806E-2</c:v>
                </c:pt>
                <c:pt idx="3">
                  <c:v>5.7790519998213608E-2</c:v>
                </c:pt>
                <c:pt idx="4">
                  <c:v>5.0566321133978409E-2</c:v>
                </c:pt>
              </c:numCache>
            </c:numRef>
          </c:val>
          <c:extLst>
            <c:ext xmlns:c16="http://schemas.microsoft.com/office/drawing/2014/chart" uri="{C3380CC4-5D6E-409C-BE32-E72D297353CC}">
              <c16:uniqueId val="{00000000-3847-4986-8373-DD0E19E8F0E7}"/>
            </c:ext>
          </c:extLst>
        </c:ser>
        <c:ser>
          <c:idx val="1"/>
          <c:order val="1"/>
          <c:tx>
            <c:strRef>
              <c:f>'Market BB quarts'!$B$397</c:f>
              <c:strCache>
                <c:ptCount val="1"/>
                <c:pt idx="0">
                  <c:v>Totalplay</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quarts'!$O$395:$S$395</c:f>
              <c:strCache>
                <c:ptCount val="5"/>
                <c:pt idx="0">
                  <c:v>2024E</c:v>
                </c:pt>
                <c:pt idx="1">
                  <c:v>2025E</c:v>
                </c:pt>
                <c:pt idx="2">
                  <c:v>2026E</c:v>
                </c:pt>
                <c:pt idx="3">
                  <c:v>2027E</c:v>
                </c:pt>
                <c:pt idx="4">
                  <c:v>2028E</c:v>
                </c:pt>
              </c:strCache>
            </c:strRef>
          </c:cat>
          <c:val>
            <c:numRef>
              <c:f>'Market BB quarts'!$O$397:$S$397</c:f>
              <c:numCache>
                <c:formatCode>0%</c:formatCode>
                <c:ptCount val="5"/>
                <c:pt idx="0">
                  <c:v>8.5804941913040222E-2</c:v>
                </c:pt>
                <c:pt idx="1">
                  <c:v>6.4938841636604794E-2</c:v>
                </c:pt>
                <c:pt idx="2">
                  <c:v>6.2211019164611248E-2</c:v>
                </c:pt>
                <c:pt idx="3">
                  <c:v>5.9749307833151688E-2</c:v>
                </c:pt>
                <c:pt idx="4">
                  <c:v>5.0111412464130645E-2</c:v>
                </c:pt>
              </c:numCache>
            </c:numRef>
          </c:val>
          <c:extLst>
            <c:ext xmlns:c16="http://schemas.microsoft.com/office/drawing/2014/chart" uri="{C3380CC4-5D6E-409C-BE32-E72D297353CC}">
              <c16:uniqueId val="{00000002-3847-4986-8373-DD0E19E8F0E7}"/>
            </c:ext>
          </c:extLst>
        </c:ser>
        <c:ser>
          <c:idx val="2"/>
          <c:order val="2"/>
          <c:tx>
            <c:strRef>
              <c:f>'Market BB quarts'!$B$398</c:f>
              <c:strCache>
                <c:ptCount val="1"/>
                <c:pt idx="0">
                  <c:v>Telmex</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quarts'!$O$395:$S$395</c:f>
              <c:strCache>
                <c:ptCount val="5"/>
                <c:pt idx="0">
                  <c:v>2024E</c:v>
                </c:pt>
                <c:pt idx="1">
                  <c:v>2025E</c:v>
                </c:pt>
                <c:pt idx="2">
                  <c:v>2026E</c:v>
                </c:pt>
                <c:pt idx="3">
                  <c:v>2027E</c:v>
                </c:pt>
                <c:pt idx="4">
                  <c:v>2028E</c:v>
                </c:pt>
              </c:strCache>
            </c:strRef>
          </c:cat>
          <c:val>
            <c:numRef>
              <c:f>'Market BB quarts'!$O$398:$S$398</c:f>
              <c:numCache>
                <c:formatCode>0%</c:formatCode>
                <c:ptCount val="5"/>
                <c:pt idx="0">
                  <c:v>4.0369081199145063E-2</c:v>
                </c:pt>
                <c:pt idx="1">
                  <c:v>2.7556525519188746E-2</c:v>
                </c:pt>
                <c:pt idx="2">
                  <c:v>3.2827757435270444E-2</c:v>
                </c:pt>
                <c:pt idx="3">
                  <c:v>4.1366976221745233E-2</c:v>
                </c:pt>
                <c:pt idx="4">
                  <c:v>3.0085805116642383E-2</c:v>
                </c:pt>
              </c:numCache>
            </c:numRef>
          </c:val>
          <c:extLst>
            <c:ext xmlns:c16="http://schemas.microsoft.com/office/drawing/2014/chart" uri="{C3380CC4-5D6E-409C-BE32-E72D297353CC}">
              <c16:uniqueId val="{00000004-3847-4986-8373-DD0E19E8F0E7}"/>
            </c:ext>
          </c:extLst>
        </c:ser>
        <c:ser>
          <c:idx val="3"/>
          <c:order val="3"/>
          <c:tx>
            <c:strRef>
              <c:f>'Market BB quarts'!$B$399</c:f>
              <c:strCache>
                <c:ptCount val="1"/>
                <c:pt idx="0">
                  <c:v>TV</c:v>
                </c:pt>
              </c:strCache>
            </c:strRef>
          </c:tx>
          <c:spPr>
            <a:solidFill>
              <a:srgbClr val="C7FE0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quarts'!$O$395:$S$395</c:f>
              <c:strCache>
                <c:ptCount val="5"/>
                <c:pt idx="0">
                  <c:v>2024E</c:v>
                </c:pt>
                <c:pt idx="1">
                  <c:v>2025E</c:v>
                </c:pt>
                <c:pt idx="2">
                  <c:v>2026E</c:v>
                </c:pt>
                <c:pt idx="3">
                  <c:v>2027E</c:v>
                </c:pt>
                <c:pt idx="4">
                  <c:v>2028E</c:v>
                </c:pt>
              </c:strCache>
            </c:strRef>
          </c:cat>
          <c:val>
            <c:numRef>
              <c:f>'Market BB quarts'!$O$399:$S$399</c:f>
              <c:numCache>
                <c:formatCode>0%</c:formatCode>
                <c:ptCount val="5"/>
                <c:pt idx="0">
                  <c:v>2.4999999999999911E-2</c:v>
                </c:pt>
                <c:pt idx="1">
                  <c:v>2.4999999999999911E-2</c:v>
                </c:pt>
                <c:pt idx="2">
                  <c:v>2.750000000000008E-2</c:v>
                </c:pt>
                <c:pt idx="3">
                  <c:v>3.0000000000000027E-2</c:v>
                </c:pt>
                <c:pt idx="4">
                  <c:v>3.2499999999999973E-2</c:v>
                </c:pt>
              </c:numCache>
            </c:numRef>
          </c:val>
          <c:extLst>
            <c:ext xmlns:c16="http://schemas.microsoft.com/office/drawing/2014/chart" uri="{C3380CC4-5D6E-409C-BE32-E72D297353CC}">
              <c16:uniqueId val="{00000006-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quarts'!$B$378</c:f>
              <c:strCache>
                <c:ptCount val="1"/>
                <c:pt idx="0">
                  <c:v>Capex to sales</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quarts'!$C$377:$U$377</c:f>
              <c:strCache>
                <c:ptCount val="11"/>
                <c:pt idx="0">
                  <c:v>2020</c:v>
                </c:pt>
                <c:pt idx="1">
                  <c:v>2021</c:v>
                </c:pt>
                <c:pt idx="2">
                  <c:v>2022</c:v>
                </c:pt>
                <c:pt idx="3">
                  <c:v>2023E</c:v>
                </c:pt>
                <c:pt idx="4">
                  <c:v>2024E</c:v>
                </c:pt>
                <c:pt idx="5">
                  <c:v>2025E</c:v>
                </c:pt>
                <c:pt idx="6">
                  <c:v>2026E</c:v>
                </c:pt>
                <c:pt idx="7">
                  <c:v>2027E</c:v>
                </c:pt>
                <c:pt idx="8">
                  <c:v>2028E</c:v>
                </c:pt>
                <c:pt idx="9">
                  <c:v>2029E</c:v>
                </c:pt>
                <c:pt idx="10">
                  <c:v>2030E</c:v>
                </c:pt>
              </c:strCache>
            </c:strRef>
          </c:cat>
          <c:val>
            <c:numRef>
              <c:f>'Market BB quarts'!$C$378:$U$378</c:f>
              <c:numCache>
                <c:formatCode>0%</c:formatCode>
                <c:ptCount val="11"/>
                <c:pt idx="0">
                  <c:v>0.36103292677478444</c:v>
                </c:pt>
                <c:pt idx="1">
                  <c:v>0.38428890963708695</c:v>
                </c:pt>
                <c:pt idx="2">
                  <c:v>0.4358592560527671</c:v>
                </c:pt>
                <c:pt idx="3">
                  <c:v>0.43350404780094365</c:v>
                </c:pt>
                <c:pt idx="4">
                  <c:v>0.33</c:v>
                </c:pt>
                <c:pt idx="5">
                  <c:v>0.28000000000000003</c:v>
                </c:pt>
                <c:pt idx="6">
                  <c:v>0.25</c:v>
                </c:pt>
                <c:pt idx="7">
                  <c:v>0.23</c:v>
                </c:pt>
                <c:pt idx="8">
                  <c:v>0.23</c:v>
                </c:pt>
                <c:pt idx="9">
                  <c:v>0.22999999999999998</c:v>
                </c:pt>
                <c:pt idx="10">
                  <c:v>0.23000000000000004</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quarts'!$B$383</c:f>
              <c:strCache>
                <c:ptCount val="1"/>
                <c:pt idx="0">
                  <c:v>OpFCF (MNX bn)</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quarts'!$C$382:$U$382</c:f>
              <c:strCache>
                <c:ptCount val="11"/>
                <c:pt idx="0">
                  <c:v>2020</c:v>
                </c:pt>
                <c:pt idx="1">
                  <c:v>2021</c:v>
                </c:pt>
                <c:pt idx="2">
                  <c:v>2022</c:v>
                </c:pt>
                <c:pt idx="3">
                  <c:v>2023E</c:v>
                </c:pt>
                <c:pt idx="4">
                  <c:v>2024E</c:v>
                </c:pt>
                <c:pt idx="5">
                  <c:v>2025E</c:v>
                </c:pt>
                <c:pt idx="6">
                  <c:v>2026E</c:v>
                </c:pt>
                <c:pt idx="7">
                  <c:v>2027E</c:v>
                </c:pt>
                <c:pt idx="8">
                  <c:v>2028E</c:v>
                </c:pt>
                <c:pt idx="9">
                  <c:v>2029E</c:v>
                </c:pt>
                <c:pt idx="10">
                  <c:v>2030E</c:v>
                </c:pt>
              </c:strCache>
            </c:strRef>
          </c:cat>
          <c:val>
            <c:numRef>
              <c:f>'Market BB quarts'!$C$383:$U$383</c:f>
              <c:numCache>
                <c:formatCode>#,##0.0</c:formatCode>
                <c:ptCount val="11"/>
                <c:pt idx="0">
                  <c:v>2.956</c:v>
                </c:pt>
                <c:pt idx="1">
                  <c:v>2.6494269999999998</c:v>
                </c:pt>
                <c:pt idx="2">
                  <c:v>0.93301800000000001</c:v>
                </c:pt>
                <c:pt idx="3">
                  <c:v>0.37099300000000041</c:v>
                </c:pt>
                <c:pt idx="4">
                  <c:v>4.134537199154682</c:v>
                </c:pt>
                <c:pt idx="5">
                  <c:v>6.6164801158187236</c:v>
                </c:pt>
                <c:pt idx="6">
                  <c:v>8.6405245983139594</c:v>
                </c:pt>
                <c:pt idx="7">
                  <c:v>9.953593332301562</c:v>
                </c:pt>
                <c:pt idx="8">
                  <c:v>10.444827373889973</c:v>
                </c:pt>
                <c:pt idx="9">
                  <c:v>10.922089516628052</c:v>
                </c:pt>
                <c:pt idx="10">
                  <c:v>11.406958735792134</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'Market BB quarts'!$B$3</c:f>
              <c:strCache>
                <c:ptCount val="1"/>
                <c:pt idx="0">
                  <c:v>TotalPlay (Residential)</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quarts'!$Z$3:$AH$3</c:f>
              <c:numCache>
                <c:formatCode>0%</c:formatCode>
                <c:ptCount val="9"/>
                <c:pt idx="0">
                  <c:v>0.44080183754437252</c:v>
                </c:pt>
                <c:pt idx="1">
                  <c:v>0.39863065804488396</c:v>
                </c:pt>
                <c:pt idx="2">
                  <c:v>0.40641711229946531</c:v>
                </c:pt>
                <c:pt idx="3">
                  <c:v>0.37559377559377549</c:v>
                </c:pt>
                <c:pt idx="4">
                  <c:v>0.18840579710144922</c:v>
                </c:pt>
                <c:pt idx="5">
                  <c:v>0.15868914876257811</c:v>
                </c:pt>
                <c:pt idx="6">
                  <c:v>0.1212927756653992</c:v>
                </c:pt>
                <c:pt idx="7">
                  <c:v>6.5134555846630082E-2</c:v>
                </c:pt>
                <c:pt idx="8">
                  <c:v>0.10000000000000009</c:v>
                </c:pt>
              </c:numCache>
            </c:numRef>
          </c:val>
          <c:smooth val="0"/>
          <c:extLst>
            <c:ext xmlns:c16="http://schemas.microsoft.com/office/drawing/2014/chart" uri="{C3380CC4-5D6E-409C-BE32-E72D297353CC}">
              <c16:uniqueId val="{00000000-96AF-4D4E-A9CA-D5AA75EDF64E}"/>
            </c:ext>
          </c:extLst>
        </c:ser>
        <c:ser>
          <c:idx val="1"/>
          <c:order val="1"/>
          <c:tx>
            <c:strRef>
              <c:f>'Market BB quarts'!$B$4</c:f>
              <c:strCache>
                <c:ptCount val="1"/>
                <c:pt idx="0">
                  <c:v>MEGA (Cable)</c:v>
                </c:pt>
              </c:strCache>
            </c:strRef>
          </c:tx>
          <c:spPr>
            <a:ln w="28575"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quarts'!$Z$4:$AH$4</c:f>
              <c:numCache>
                <c:formatCode>0%</c:formatCode>
                <c:ptCount val="9"/>
                <c:pt idx="0">
                  <c:v>0.10316272509113578</c:v>
                </c:pt>
                <c:pt idx="1">
                  <c:v>0.10106764069264051</c:v>
                </c:pt>
                <c:pt idx="2">
                  <c:v>9.0518041451565612E-2</c:v>
                </c:pt>
                <c:pt idx="3">
                  <c:v>6.6835881134052588E-2</c:v>
                </c:pt>
                <c:pt idx="4">
                  <c:v>8.2097888511479811E-2</c:v>
                </c:pt>
                <c:pt idx="5">
                  <c:v>0.10045330199814262</c:v>
                </c:pt>
                <c:pt idx="6">
                  <c:v>0.12617952559748669</c:v>
                </c:pt>
                <c:pt idx="7">
                  <c:v>0.1363249841471148</c:v>
                </c:pt>
                <c:pt idx="8">
                  <c:v>0.12489002836358964</c:v>
                </c:pt>
              </c:numCache>
            </c:numRef>
          </c:val>
          <c:smooth val="0"/>
          <c:extLst>
            <c:ext xmlns:c16="http://schemas.microsoft.com/office/drawing/2014/chart" uri="{C3380CC4-5D6E-409C-BE32-E72D297353CC}">
              <c16:uniqueId val="{00000001-96AF-4D4E-A9CA-D5AA75EDF64E}"/>
            </c:ext>
          </c:extLst>
        </c:ser>
        <c:ser>
          <c:idx val="2"/>
          <c:order val="2"/>
          <c:tx>
            <c:strRef>
              <c:f>'Market BB quarts'!$B$5</c:f>
              <c:strCache>
                <c:ptCount val="1"/>
                <c:pt idx="0">
                  <c:v>TV (Retail)</c:v>
                </c:pt>
              </c:strCache>
            </c:strRef>
          </c:tx>
          <c:spPr>
            <a:ln w="28575" cap="rnd">
              <a:solidFill>
                <a:srgbClr val="F9663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quarts'!$Z$5:$AH$5</c:f>
              <c:numCache>
                <c:formatCode>0%</c:formatCode>
                <c:ptCount val="9"/>
                <c:pt idx="0">
                  <c:v>3.3979933110367844E-2</c:v>
                </c:pt>
                <c:pt idx="1">
                  <c:v>3.7917652626597187E-2</c:v>
                </c:pt>
                <c:pt idx="2">
                  <c:v>1.9495518802550071E-2</c:v>
                </c:pt>
                <c:pt idx="3">
                  <c:v>9.1601808478829483E-3</c:v>
                </c:pt>
                <c:pt idx="4">
                  <c:v>4.0164131379036405E-2</c:v>
                </c:pt>
                <c:pt idx="5">
                  <c:v>4.3171372291529897E-2</c:v>
                </c:pt>
                <c:pt idx="6">
                  <c:v>1.7853906108392215E-2</c:v>
                </c:pt>
                <c:pt idx="7">
                  <c:v>-2.6306338660441186E-3</c:v>
                </c:pt>
                <c:pt idx="8">
                  <c:v>-3.6534224180823194E-2</c:v>
                </c:pt>
              </c:numCache>
            </c:numRef>
          </c:val>
          <c:smooth val="0"/>
          <c:extLst>
            <c:ext xmlns:c16="http://schemas.microsoft.com/office/drawing/2014/chart" uri="{C3380CC4-5D6E-409C-BE32-E72D297353CC}">
              <c16:uniqueId val="{00000002-96AF-4D4E-A9CA-D5AA75EDF64E}"/>
            </c:ext>
          </c:extLst>
        </c:ser>
        <c:ser>
          <c:idx val="3"/>
          <c:order val="3"/>
          <c:tx>
            <c:strRef>
              <c:f>'Market BB quarts'!$B$6</c:f>
              <c:strCache>
                <c:ptCount val="1"/>
                <c:pt idx="0">
                  <c:v>Telmex</c:v>
                </c:pt>
              </c:strCache>
            </c:strRef>
          </c:tx>
          <c:spPr>
            <a:ln w="28575" cap="rnd">
              <a:solidFill>
                <a:srgbClr val="C7FE0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quarts'!$Z$6:$AH$6</c:f>
              <c:numCache>
                <c:formatCode>0%</c:formatCode>
                <c:ptCount val="9"/>
                <c:pt idx="0">
                  <c:v>-3.1724355270760007E-2</c:v>
                </c:pt>
                <c:pt idx="1">
                  <c:v>-2.5495153813737903E-2</c:v>
                </c:pt>
                <c:pt idx="2">
                  <c:v>2.6353238813050517E-3</c:v>
                </c:pt>
                <c:pt idx="3">
                  <c:v>-1.2732870636121718E-2</c:v>
                </c:pt>
                <c:pt idx="4">
                  <c:v>4.1117439652834209E-2</c:v>
                </c:pt>
                <c:pt idx="5">
                  <c:v>5.589189189189181E-2</c:v>
                </c:pt>
                <c:pt idx="6">
                  <c:v>3.5903905798244207E-2</c:v>
                </c:pt>
                <c:pt idx="7">
                  <c:v>5.9358317035784092E-2</c:v>
                </c:pt>
                <c:pt idx="8">
                  <c:v>9.717084353670602E-2</c:v>
                </c:pt>
              </c:numCache>
            </c:numRef>
          </c:val>
          <c:smooth val="0"/>
          <c:extLst>
            <c:ext xmlns:c16="http://schemas.microsoft.com/office/drawing/2014/chart" uri="{C3380CC4-5D6E-409C-BE32-E72D297353CC}">
              <c16:uniqueId val="{00000003-96AF-4D4E-A9CA-D5AA75EDF64E}"/>
            </c:ext>
          </c:extLst>
        </c:ser>
        <c:ser>
          <c:idx val="4"/>
          <c:order val="4"/>
          <c:tx>
            <c:strRef>
              <c:f>'Market BB quarts'!$B$7</c:f>
              <c:strCache>
                <c:ptCount val="1"/>
                <c:pt idx="0">
                  <c:v>Total</c:v>
                </c:pt>
              </c:strCache>
            </c:strRef>
          </c:tx>
          <c:spPr>
            <a:ln w="28575" cap="rnd">
              <a:solidFill>
                <a:srgbClr val="00CA94"/>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quarts'!$Z$7:$AH$7</c:f>
              <c:numCache>
                <c:formatCode>0%</c:formatCode>
                <c:ptCount val="9"/>
                <c:pt idx="0">
                  <c:v>6.1022366226519908E-2</c:v>
                </c:pt>
                <c:pt idx="1">
                  <c:v>6.3763450719932724E-2</c:v>
                </c:pt>
                <c:pt idx="2">
                  <c:v>7.4337836358384424E-2</c:v>
                </c:pt>
                <c:pt idx="3">
                  <c:v>6.028957703818727E-2</c:v>
                </c:pt>
                <c:pt idx="4">
                  <c:v>7.0819442190420689E-2</c:v>
                </c:pt>
                <c:pt idx="5">
                  <c:v>7.6591305654080566E-2</c:v>
                </c:pt>
                <c:pt idx="6">
                  <c:v>5.9230940769649187E-2</c:v>
                </c:pt>
                <c:pt idx="7">
                  <c:v>5.5863950137390317E-2</c:v>
                </c:pt>
                <c:pt idx="8">
                  <c:v>6.8364081087924911E-2</c:v>
                </c:pt>
              </c:numCache>
            </c:numRef>
          </c:val>
          <c:smooth val="0"/>
          <c:extLst>
            <c:ext xmlns:c16="http://schemas.microsoft.com/office/drawing/2014/chart" uri="{C3380CC4-5D6E-409C-BE32-E72D297353CC}">
              <c16:uniqueId val="{00000004-96AF-4D4E-A9CA-D5AA75EDF64E}"/>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'Market BB quarts'!$B$10</c:f>
              <c:strCache>
                <c:ptCount val="1"/>
                <c:pt idx="0">
                  <c:v>Totalplay</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quarts'!$Z$10:$AH$10</c:f>
              <c:numCache>
                <c:formatCode>0%</c:formatCode>
                <c:ptCount val="9"/>
                <c:pt idx="0">
                  <c:v>0.39312406576980563</c:v>
                </c:pt>
                <c:pt idx="1">
                  <c:v>0.28677713899222179</c:v>
                </c:pt>
                <c:pt idx="2">
                  <c:v>0.32689790575916233</c:v>
                </c:pt>
                <c:pt idx="3">
                  <c:v>0.30911808669656193</c:v>
                </c:pt>
                <c:pt idx="4">
                  <c:v>0.18937768240343344</c:v>
                </c:pt>
                <c:pt idx="5">
                  <c:v>0.15032851511169509</c:v>
                </c:pt>
                <c:pt idx="6">
                  <c:v>0.1871763255240444</c:v>
                </c:pt>
                <c:pt idx="7">
                  <c:v>8.1525462434345775E-2</c:v>
                </c:pt>
                <c:pt idx="8">
                  <c:v>0.12494361750112759</c:v>
                </c:pt>
              </c:numCache>
            </c:numRef>
          </c:val>
          <c:smooth val="0"/>
          <c:extLst>
            <c:ext xmlns:c16="http://schemas.microsoft.com/office/drawing/2014/chart" uri="{C3380CC4-5D6E-409C-BE32-E72D297353CC}">
              <c16:uniqueId val="{00000000-96AF-4D4E-A9CA-D5AA75EDF64E}"/>
            </c:ext>
          </c:extLst>
        </c:ser>
        <c:ser>
          <c:idx val="1"/>
          <c:order val="1"/>
          <c:tx>
            <c:strRef>
              <c:f>'Market BB quarts'!$B$11</c:f>
              <c:strCache>
                <c:ptCount val="1"/>
                <c:pt idx="0">
                  <c:v>MEGA (Cable)</c:v>
                </c:pt>
              </c:strCache>
            </c:strRef>
          </c:tx>
          <c:spPr>
            <a:ln w="28575"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quarts'!$Z$11:$AH$11</c:f>
              <c:numCache>
                <c:formatCode>0%</c:formatCode>
                <c:ptCount val="9"/>
                <c:pt idx="0">
                  <c:v>7.8632397287918154E-2</c:v>
                </c:pt>
                <c:pt idx="1">
                  <c:v>8.0107822410147911E-2</c:v>
                </c:pt>
                <c:pt idx="2">
                  <c:v>4.6471352287487333E-2</c:v>
                </c:pt>
                <c:pt idx="3">
                  <c:v>2.9770583408494922E-3</c:v>
                </c:pt>
                <c:pt idx="4">
                  <c:v>8.0529148597552336E-3</c:v>
                </c:pt>
                <c:pt idx="5">
                  <c:v>9.2038549644968271E-3</c:v>
                </c:pt>
                <c:pt idx="6">
                  <c:v>5.3525631668893014E-2</c:v>
                </c:pt>
                <c:pt idx="7">
                  <c:v>0.11403042596348878</c:v>
                </c:pt>
                <c:pt idx="8">
                  <c:v>0.12387491360451675</c:v>
                </c:pt>
              </c:numCache>
            </c:numRef>
          </c:val>
          <c:smooth val="0"/>
          <c:extLst>
            <c:ext xmlns:c16="http://schemas.microsoft.com/office/drawing/2014/chart" uri="{C3380CC4-5D6E-409C-BE32-E72D297353CC}">
              <c16:uniqueId val="{00000001-96AF-4D4E-A9CA-D5AA75EDF64E}"/>
            </c:ext>
          </c:extLst>
        </c:ser>
        <c:ser>
          <c:idx val="2"/>
          <c:order val="2"/>
          <c:tx>
            <c:strRef>
              <c:f>'Market BB quarts'!$B$12</c:f>
              <c:strCache>
                <c:ptCount val="1"/>
                <c:pt idx="0">
                  <c:v>TV (Retail)</c:v>
                </c:pt>
              </c:strCache>
            </c:strRef>
          </c:tx>
          <c:spPr>
            <a:ln w="28575" cap="rnd">
              <a:solidFill>
                <a:srgbClr val="F9663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quarts'!$Z$12:$AH$12</c:f>
              <c:numCache>
                <c:formatCode>0%</c:formatCode>
                <c:ptCount val="9"/>
                <c:pt idx="0">
                  <c:v>4.2716930626812477E-2</c:v>
                </c:pt>
                <c:pt idx="1">
                  <c:v>4.9765363128491558E-2</c:v>
                </c:pt>
                <c:pt idx="2">
                  <c:v>2.9893083133318843E-3</c:v>
                </c:pt>
                <c:pt idx="3">
                  <c:v>1.0338210107096124E-2</c:v>
                </c:pt>
                <c:pt idx="4">
                  <c:v>1.4375869076906689E-2</c:v>
                </c:pt>
                <c:pt idx="5">
                  <c:v>-1.4411307661195916E-2</c:v>
                </c:pt>
                <c:pt idx="6">
                  <c:v>-7.3030652424565412E-2</c:v>
                </c:pt>
                <c:pt idx="7">
                  <c:v>-6.6745639475511709E-2</c:v>
                </c:pt>
                <c:pt idx="8">
                  <c:v>-0.10137714321867686</c:v>
                </c:pt>
              </c:numCache>
            </c:numRef>
          </c:val>
          <c:smooth val="0"/>
          <c:extLst>
            <c:ext xmlns:c16="http://schemas.microsoft.com/office/drawing/2014/chart" uri="{C3380CC4-5D6E-409C-BE32-E72D297353CC}">
              <c16:uniqueId val="{00000002-96AF-4D4E-A9CA-D5AA75EDF64E}"/>
            </c:ext>
          </c:extLst>
        </c:ser>
        <c:ser>
          <c:idx val="3"/>
          <c:order val="3"/>
          <c:tx>
            <c:strRef>
              <c:f>'Market BB quarts'!$B$13</c:f>
              <c:strCache>
                <c:ptCount val="1"/>
                <c:pt idx="0">
                  <c:v>Total EBITDA (ex Telmex)</c:v>
                </c:pt>
              </c:strCache>
            </c:strRef>
          </c:tx>
          <c:spPr>
            <a:ln w="28575" cap="rnd">
              <a:solidFill>
                <a:srgbClr val="00CC99"/>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quarts'!$Z$2:$AH$2</c:f>
              <c:strCache>
                <c:ptCount val="9"/>
                <c:pt idx="0">
                  <c:v>Q1 22</c:v>
                </c:pt>
                <c:pt idx="1">
                  <c:v>Q2 22</c:v>
                </c:pt>
                <c:pt idx="2">
                  <c:v>Q3 22</c:v>
                </c:pt>
                <c:pt idx="3">
                  <c:v>Q4 22</c:v>
                </c:pt>
                <c:pt idx="4">
                  <c:v>Q1 23</c:v>
                </c:pt>
                <c:pt idx="5">
                  <c:v>Q2 23</c:v>
                </c:pt>
                <c:pt idx="6">
                  <c:v>Q3 23</c:v>
                </c:pt>
                <c:pt idx="7">
                  <c:v>Q4 23</c:v>
                </c:pt>
                <c:pt idx="8">
                  <c:v>Q1 24</c:v>
                </c:pt>
              </c:strCache>
            </c:strRef>
          </c:cat>
          <c:val>
            <c:numRef>
              <c:f>'Market BB quarts'!$Z$13:$AH$13</c:f>
              <c:numCache>
                <c:formatCode>0%</c:formatCode>
                <c:ptCount val="9"/>
                <c:pt idx="0">
                  <c:v>0.14671714051762041</c:v>
                </c:pt>
                <c:pt idx="1">
                  <c:v>0.1263920155793572</c:v>
                </c:pt>
                <c:pt idx="2">
                  <c:v>0.10918868724634234</c:v>
                </c:pt>
                <c:pt idx="3">
                  <c:v>9.8101311272925873E-2</c:v>
                </c:pt>
                <c:pt idx="4">
                  <c:v>6.9604475808527022E-2</c:v>
                </c:pt>
                <c:pt idx="5">
                  <c:v>4.6033098416102591E-2</c:v>
                </c:pt>
                <c:pt idx="6">
                  <c:v>5.0105051977495041E-2</c:v>
                </c:pt>
                <c:pt idx="7">
                  <c:v>3.004136284864134E-2</c:v>
                </c:pt>
                <c:pt idx="8">
                  <c:v>3.7145018348575976E-2</c:v>
                </c:pt>
              </c:numCache>
            </c:numRef>
          </c:val>
          <c:smooth val="0"/>
          <c:extLst>
            <c:ext xmlns:c16="http://schemas.microsoft.com/office/drawing/2014/chart" uri="{C3380CC4-5D6E-409C-BE32-E72D297353CC}">
              <c16:uniqueId val="{00000003-96AF-4D4E-A9CA-D5AA75EDF64E}"/>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333399"/>
              </a:solidFill>
              <a:prstDash val="solid"/>
              <a:round/>
            </a:ln>
            <a:effectLst/>
          </c:spPr>
          <c:marker>
            <c:symbol val="none"/>
          </c:marker>
          <c:cat>
            <c:strRef>
              <c:f>Quarts!$CV$4:$DO$4</c:f>
              <c:strCache>
                <c:ptCount val="8"/>
                <c:pt idx="0">
                  <c:v>Q1 22</c:v>
                </c:pt>
                <c:pt idx="1">
                  <c:v>Q2 22</c:v>
                </c:pt>
                <c:pt idx="2">
                  <c:v>Q3 22</c:v>
                </c:pt>
                <c:pt idx="3">
                  <c:v>Q4 22</c:v>
                </c:pt>
                <c:pt idx="4">
                  <c:v>Q1 23</c:v>
                </c:pt>
                <c:pt idx="5">
                  <c:v>Q2 23</c:v>
                </c:pt>
                <c:pt idx="6">
                  <c:v>Q3 23</c:v>
                </c:pt>
                <c:pt idx="7">
                  <c:v>Q4 23</c:v>
                </c:pt>
              </c:strCache>
            </c:strRef>
          </c:cat>
          <c:val>
            <c:numRef>
              <c:f>Quarts!$CV$103:$DO$103</c:f>
              <c:numCache>
                <c:formatCode>0.0%</c:formatCode>
                <c:ptCount val="8"/>
                <c:pt idx="0">
                  <c:v>0.10316272509113578</c:v>
                </c:pt>
                <c:pt idx="1">
                  <c:v>0.10106764069264051</c:v>
                </c:pt>
                <c:pt idx="2">
                  <c:v>9.0518041451565612E-2</c:v>
                </c:pt>
                <c:pt idx="3">
                  <c:v>6.6835881134052588E-2</c:v>
                </c:pt>
                <c:pt idx="4">
                  <c:v>8.2097888511479811E-2</c:v>
                </c:pt>
                <c:pt idx="5">
                  <c:v>0.10045330199814262</c:v>
                </c:pt>
                <c:pt idx="6">
                  <c:v>0.12617952559748669</c:v>
                </c:pt>
                <c:pt idx="7">
                  <c:v>0.1363249841471148</c:v>
                </c:pt>
              </c:numCache>
            </c:numRef>
          </c:val>
          <c:smooth val="0"/>
          <c:extLst>
            <c:ext xmlns:c16="http://schemas.microsoft.com/office/drawing/2014/chart" uri="{C3380CC4-5D6E-409C-BE32-E72D297353CC}">
              <c16:uniqueId val="{00000000-5154-4BEC-A8C6-E1AE9F80F4BA}"/>
            </c:ext>
          </c:extLst>
        </c:ser>
        <c:dLbls>
          <c:showLegendKey val="0"/>
          <c:showVal val="0"/>
          <c:showCatName val="0"/>
          <c:showSerName val="0"/>
          <c:showPercent val="0"/>
          <c:showBubbleSize val="0"/>
        </c:dLbls>
        <c:smooth val="0"/>
        <c:axId val="687253471"/>
        <c:axId val="687259295"/>
      </c:lineChart>
      <c:catAx>
        <c:axId val="687253471"/>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7259295"/>
        <c:crosses val="autoZero"/>
        <c:auto val="1"/>
        <c:lblAlgn val="ctr"/>
        <c:lblOffset val="100"/>
        <c:noMultiLvlLbl val="0"/>
      </c:catAx>
      <c:valAx>
        <c:axId val="687259295"/>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y/y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87253471"/>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quarts'!$C$346</c:f>
              <c:strCache>
                <c:ptCount val="1"/>
                <c:pt idx="0">
                  <c:v>FY22</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quarts'!$B$354:$B$356</c:f>
              <c:strCache>
                <c:ptCount val="3"/>
                <c:pt idx="0">
                  <c:v>MEGA </c:v>
                </c:pt>
                <c:pt idx="1">
                  <c:v>Televisa Cable</c:v>
                </c:pt>
                <c:pt idx="2">
                  <c:v>Totalplay</c:v>
                </c:pt>
              </c:strCache>
            </c:strRef>
          </c:cat>
          <c:val>
            <c:numRef>
              <c:f>'Market BB quarts'!$C$354:$C$356</c:f>
            </c:numRef>
          </c:val>
          <c:extLst>
            <c:ext xmlns:c16="http://schemas.microsoft.com/office/drawing/2014/chart" uri="{C3380CC4-5D6E-409C-BE32-E72D297353CC}">
              <c16:uniqueId val="{00000000-3847-4986-8373-DD0E19E8F0E7}"/>
            </c:ext>
          </c:extLst>
        </c:ser>
        <c:ser>
          <c:idx val="1"/>
          <c:order val="1"/>
          <c:tx>
            <c:strRef>
              <c:f>'Market BB quarts'!$D$346</c:f>
              <c:strCache>
                <c:ptCount val="1"/>
                <c:pt idx="0">
                  <c:v>FY23</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quarts'!$B$354:$B$356</c:f>
              <c:strCache>
                <c:ptCount val="3"/>
                <c:pt idx="0">
                  <c:v>MEGA </c:v>
                </c:pt>
                <c:pt idx="1">
                  <c:v>Televisa Cable</c:v>
                </c:pt>
                <c:pt idx="2">
                  <c:v>Totalplay</c:v>
                </c:pt>
              </c:strCache>
            </c:strRef>
          </c:cat>
          <c:val>
            <c:numRef>
              <c:f>'Market BB quarts'!$D$354:$D$356</c:f>
            </c:numRef>
          </c:val>
          <c:extLst>
            <c:ext xmlns:c16="http://schemas.microsoft.com/office/drawing/2014/chart" uri="{C3380CC4-5D6E-409C-BE32-E72D297353CC}">
              <c16:uniqueId val="{00000002-3847-4986-8373-DD0E19E8F0E7}"/>
            </c:ext>
          </c:extLst>
        </c:ser>
        <c:ser>
          <c:idx val="2"/>
          <c:order val="2"/>
          <c:tx>
            <c:strRef>
              <c:f>'Market BB quarts'!$E$346</c:f>
              <c:strCache>
                <c:ptCount val="1"/>
                <c:pt idx="0">
                  <c:v>FY24e</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quarts'!$B$354:$B$356</c:f>
              <c:strCache>
                <c:ptCount val="3"/>
                <c:pt idx="0">
                  <c:v>MEGA </c:v>
                </c:pt>
                <c:pt idx="1">
                  <c:v>Televisa Cable</c:v>
                </c:pt>
                <c:pt idx="2">
                  <c:v>Totalplay</c:v>
                </c:pt>
              </c:strCache>
            </c:strRef>
          </c:cat>
          <c:val>
            <c:numRef>
              <c:f>'Market BB quarts'!$E$354:$E$356</c:f>
            </c:numRef>
          </c:val>
          <c:extLst>
            <c:ext xmlns:c16="http://schemas.microsoft.com/office/drawing/2014/chart" uri="{C3380CC4-5D6E-409C-BE32-E72D297353CC}">
              <c16:uniqueId val="{00000004-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quarts'!$C$346</c:f>
              <c:strCache>
                <c:ptCount val="1"/>
                <c:pt idx="0">
                  <c:v>FY22</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quarts'!$B$357</c:f>
              <c:strCache>
                <c:ptCount val="1"/>
                <c:pt idx="0">
                  <c:v>AMX Group</c:v>
                </c:pt>
              </c:strCache>
            </c:strRef>
          </c:cat>
          <c:val>
            <c:numRef>
              <c:f>'Market BB quarts'!$C$357</c:f>
            </c:numRef>
          </c:val>
          <c:extLst>
            <c:ext xmlns:c16="http://schemas.microsoft.com/office/drawing/2014/chart" uri="{C3380CC4-5D6E-409C-BE32-E72D297353CC}">
              <c16:uniqueId val="{00000000-3847-4986-8373-DD0E19E8F0E7}"/>
            </c:ext>
          </c:extLst>
        </c:ser>
        <c:ser>
          <c:idx val="1"/>
          <c:order val="1"/>
          <c:tx>
            <c:strRef>
              <c:f>'Market BB quarts'!$D$346</c:f>
              <c:strCache>
                <c:ptCount val="1"/>
                <c:pt idx="0">
                  <c:v>FY23</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quarts'!$B$357</c:f>
              <c:strCache>
                <c:ptCount val="1"/>
                <c:pt idx="0">
                  <c:v>AMX Group</c:v>
                </c:pt>
              </c:strCache>
            </c:strRef>
          </c:cat>
          <c:val>
            <c:numRef>
              <c:f>'Market BB quarts'!$D$357</c:f>
            </c:numRef>
          </c:val>
          <c:extLst>
            <c:ext xmlns:c16="http://schemas.microsoft.com/office/drawing/2014/chart" uri="{C3380CC4-5D6E-409C-BE32-E72D297353CC}">
              <c16:uniqueId val="{00000002-3847-4986-8373-DD0E19E8F0E7}"/>
            </c:ext>
          </c:extLst>
        </c:ser>
        <c:ser>
          <c:idx val="2"/>
          <c:order val="2"/>
          <c:tx>
            <c:strRef>
              <c:f>'Market BB quarts'!$E$346</c:f>
              <c:strCache>
                <c:ptCount val="1"/>
                <c:pt idx="0">
                  <c:v>FY24e</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quarts'!$B$357</c:f>
              <c:strCache>
                <c:ptCount val="1"/>
                <c:pt idx="0">
                  <c:v>AMX Group</c:v>
                </c:pt>
              </c:strCache>
            </c:strRef>
          </c:cat>
          <c:val>
            <c:numRef>
              <c:f>'Market BB quarts'!$E$357</c:f>
            </c:numRef>
          </c:val>
          <c:extLst>
            <c:ext xmlns:c16="http://schemas.microsoft.com/office/drawing/2014/chart" uri="{C3380CC4-5D6E-409C-BE32-E72D297353CC}">
              <c16:uniqueId val="{00000004-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0119799942650649E-2"/>
          <c:y val="4.9403879306711862E-2"/>
          <c:w val="0.93676634303738371"/>
          <c:h val="0.7639434669204721"/>
        </c:manualLayout>
      </c:layout>
      <c:barChart>
        <c:barDir val="col"/>
        <c:grouping val="clustered"/>
        <c:varyColors val="0"/>
        <c:ser>
          <c:idx val="0"/>
          <c:order val="0"/>
          <c:tx>
            <c:strRef>
              <c:f>'Market BB quarts'!$C$430</c:f>
              <c:strCache>
                <c:ptCount val="1"/>
                <c:pt idx="0">
                  <c:v>FY23</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quarts'!$B$431:$B$433</c:f>
              <c:strCache>
                <c:ptCount val="3"/>
                <c:pt idx="0">
                  <c:v>MEGA</c:v>
                </c:pt>
                <c:pt idx="1">
                  <c:v>Totalplay</c:v>
                </c:pt>
                <c:pt idx="2">
                  <c:v>TV (Cable)</c:v>
                </c:pt>
              </c:strCache>
            </c:strRef>
          </c:cat>
          <c:val>
            <c:numRef>
              <c:f>'Market BB quarts'!$C$431:$C$433</c:f>
            </c:numRef>
          </c:val>
          <c:extLst>
            <c:ext xmlns:c16="http://schemas.microsoft.com/office/drawing/2014/chart" uri="{C3380CC4-5D6E-409C-BE32-E72D297353CC}">
              <c16:uniqueId val="{00000000-3847-4986-8373-DD0E19E8F0E7}"/>
            </c:ext>
          </c:extLst>
        </c:ser>
        <c:ser>
          <c:idx val="1"/>
          <c:order val="1"/>
          <c:tx>
            <c:strRef>
              <c:f>'Market BB quarts'!$D$430</c:f>
              <c:strCache>
                <c:ptCount val="1"/>
                <c:pt idx="0">
                  <c:v>FY24</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quarts'!$B$431:$B$433</c:f>
              <c:strCache>
                <c:ptCount val="3"/>
                <c:pt idx="0">
                  <c:v>MEGA</c:v>
                </c:pt>
                <c:pt idx="1">
                  <c:v>Totalplay</c:v>
                </c:pt>
                <c:pt idx="2">
                  <c:v>TV (Cable)</c:v>
                </c:pt>
              </c:strCache>
            </c:strRef>
          </c:cat>
          <c:val>
            <c:numRef>
              <c:f>'Market BB quarts'!$D$431:$D$433</c:f>
            </c:numRef>
          </c:val>
          <c:extLst>
            <c:ext xmlns:c16="http://schemas.microsoft.com/office/drawing/2014/chart" uri="{C3380CC4-5D6E-409C-BE32-E72D297353CC}">
              <c16:uniqueId val="{00000002-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'Market BB quarts'!$C$435</c:f>
              <c:strCache>
                <c:ptCount val="1"/>
                <c:pt idx="0">
                  <c:v>FY23</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quarts'!$B$436:$B$438</c:f>
              <c:strCache>
                <c:ptCount val="3"/>
                <c:pt idx="0">
                  <c:v>MEGA</c:v>
                </c:pt>
                <c:pt idx="1">
                  <c:v>Totalplay</c:v>
                </c:pt>
                <c:pt idx="2">
                  <c:v>TV (Cable)</c:v>
                </c:pt>
              </c:strCache>
            </c:strRef>
          </c:cat>
          <c:val>
            <c:numRef>
              <c:f>'Market BB quarts'!$C$436:$C$438</c:f>
            </c:numRef>
          </c:val>
          <c:extLst>
            <c:ext xmlns:c16="http://schemas.microsoft.com/office/drawing/2014/chart" uri="{C3380CC4-5D6E-409C-BE32-E72D297353CC}">
              <c16:uniqueId val="{00000000-3847-4986-8373-DD0E19E8F0E7}"/>
            </c:ext>
          </c:extLst>
        </c:ser>
        <c:ser>
          <c:idx val="1"/>
          <c:order val="1"/>
          <c:tx>
            <c:strRef>
              <c:f>'Market BB quarts'!$D$435</c:f>
              <c:strCache>
                <c:ptCount val="1"/>
                <c:pt idx="0">
                  <c:v>FY24</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BB quarts'!$B$436:$B$438</c:f>
              <c:strCache>
                <c:ptCount val="3"/>
                <c:pt idx="0">
                  <c:v>MEGA</c:v>
                </c:pt>
                <c:pt idx="1">
                  <c:v>Totalplay</c:v>
                </c:pt>
                <c:pt idx="2">
                  <c:v>TV (Cable)</c:v>
                </c:pt>
              </c:strCache>
            </c:strRef>
          </c:cat>
          <c:val>
            <c:numRef>
              <c:f>'Market BB quarts'!$D$436:$D$438</c:f>
            </c:numRef>
          </c:val>
          <c:extLst>
            <c:ext xmlns:c16="http://schemas.microsoft.com/office/drawing/2014/chart" uri="{C3380CC4-5D6E-409C-BE32-E72D297353CC}">
              <c16:uniqueId val="{00000002-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Analysis!$C$17</c:f>
              <c:strCache>
                <c:ptCount val="1"/>
                <c:pt idx="0">
                  <c:v>Homes passed</c:v>
                </c:pt>
              </c:strCache>
            </c:strRef>
          </c:tx>
          <c:spPr>
            <a:solidFill>
              <a:srgbClr val="000080"/>
            </a:solidFill>
            <a:ln w="25400">
              <a:noFill/>
            </a:ln>
            <a:effectLst/>
          </c:spPr>
          <c:invertIfNegative val="0"/>
          <c:cat>
            <c:numRef>
              <c:f>Analysis!$D$16:$O$16</c:f>
              <c:numCache>
                <c:formatCode>General</c:formatCode>
                <c:ptCount val="12"/>
                <c:pt idx="0">
                  <c:v>2009</c:v>
                </c:pt>
                <c:pt idx="1">
                  <c:v>2010</c:v>
                </c:pt>
                <c:pt idx="3">
                  <c:v>2012</c:v>
                </c:pt>
                <c:pt idx="4">
                  <c:v>2013</c:v>
                </c:pt>
                <c:pt idx="5">
                  <c:v>2014</c:v>
                </c:pt>
                <c:pt idx="6">
                  <c:v>2015</c:v>
                </c:pt>
                <c:pt idx="7">
                  <c:v>2016</c:v>
                </c:pt>
                <c:pt idx="8">
                  <c:v>2017</c:v>
                </c:pt>
                <c:pt idx="9">
                  <c:v>2018</c:v>
                </c:pt>
                <c:pt idx="10">
                  <c:v>2019</c:v>
                </c:pt>
                <c:pt idx="11">
                  <c:v>2020</c:v>
                </c:pt>
              </c:numCache>
            </c:numRef>
          </c:cat>
          <c:val>
            <c:numRef>
              <c:f>Analysis!$D$17:$O$17</c:f>
              <c:numCache>
                <c:formatCode>General</c:formatCode>
                <c:ptCount val="12"/>
                <c:pt idx="0">
                  <c:v>4599</c:v>
                </c:pt>
                <c:pt idx="1">
                  <c:v>5214</c:v>
                </c:pt>
                <c:pt idx="3">
                  <c:v>6210</c:v>
                </c:pt>
                <c:pt idx="4">
                  <c:v>6573</c:v>
                </c:pt>
                <c:pt idx="5">
                  <c:v>7174</c:v>
                </c:pt>
                <c:pt idx="6">
                  <c:v>7487</c:v>
                </c:pt>
                <c:pt idx="7">
                  <c:v>7868</c:v>
                </c:pt>
                <c:pt idx="8">
                  <c:v>8135</c:v>
                </c:pt>
                <c:pt idx="9">
                  <c:v>8428</c:v>
                </c:pt>
                <c:pt idx="10">
                  <c:v>8836.6749999999993</c:v>
                </c:pt>
                <c:pt idx="11">
                  <c:v>8955</c:v>
                </c:pt>
              </c:numCache>
            </c:numRef>
          </c:val>
          <c:extLst>
            <c:ext xmlns:c16="http://schemas.microsoft.com/office/drawing/2014/chart" uri="{C3380CC4-5D6E-409C-BE32-E72D297353CC}">
              <c16:uniqueId val="{00000000-6BF3-45D5-82EC-2260AC8FE23B}"/>
            </c:ext>
          </c:extLst>
        </c:ser>
        <c:dLbls>
          <c:showLegendKey val="0"/>
          <c:showVal val="0"/>
          <c:showCatName val="0"/>
          <c:showSerName val="0"/>
          <c:showPercent val="0"/>
          <c:showBubbleSize val="0"/>
        </c:dLbls>
        <c:gapWidth val="150"/>
        <c:axId val="107498112"/>
        <c:axId val="107499904"/>
      </c:barChart>
      <c:lineChart>
        <c:grouping val="standard"/>
        <c:varyColors val="0"/>
        <c:ser>
          <c:idx val="1"/>
          <c:order val="1"/>
          <c:tx>
            <c:strRef>
              <c:f>Analysis!$C$18</c:f>
              <c:strCache>
                <c:ptCount val="1"/>
                <c:pt idx="0">
                  <c:v>as % homes</c:v>
                </c:pt>
              </c:strCache>
            </c:strRef>
          </c:tx>
          <c:spPr>
            <a:ln w="25400">
              <a:solidFill>
                <a:schemeClr val="accent1">
                  <a:lumMod val="60000"/>
                  <a:lumOff val="40000"/>
                </a:schemeClr>
              </a:solidFill>
              <a:prstDash val="solid"/>
            </a:ln>
            <a:effectLst/>
          </c:spPr>
          <c:marker>
            <c:symbol val="none"/>
          </c:marker>
          <c:val>
            <c:numRef>
              <c:f>Analysis!$D$18:$O$18</c:f>
              <c:numCache>
                <c:formatCode>0%</c:formatCode>
                <c:ptCount val="12"/>
                <c:pt idx="0">
                  <c:v>0.16469113697403759</c:v>
                </c:pt>
                <c:pt idx="1">
                  <c:v>0.18214847161572054</c:v>
                </c:pt>
                <c:pt idx="3">
                  <c:v>0.21068702290076335</c:v>
                </c:pt>
                <c:pt idx="4">
                  <c:v>0.221873417721519</c:v>
                </c:pt>
                <c:pt idx="5">
                  <c:v>0.23913333333333334</c:v>
                </c:pt>
                <c:pt idx="6">
                  <c:v>0.24853112033195021</c:v>
                </c:pt>
                <c:pt idx="7">
                  <c:v>0.26009917355371903</c:v>
                </c:pt>
                <c:pt idx="8">
                  <c:v>0.26781893004115226</c:v>
                </c:pt>
                <c:pt idx="9">
                  <c:v>0.27632786885245902</c:v>
                </c:pt>
                <c:pt idx="10">
                  <c:v>0.28854448979591835</c:v>
                </c:pt>
                <c:pt idx="11">
                  <c:v>0.29121951219512193</c:v>
                </c:pt>
              </c:numCache>
            </c:numRef>
          </c:val>
          <c:smooth val="0"/>
          <c:extLst>
            <c:ext xmlns:c16="http://schemas.microsoft.com/office/drawing/2014/chart" uri="{C3380CC4-5D6E-409C-BE32-E72D297353CC}">
              <c16:uniqueId val="{00000001-6BF3-45D5-82EC-2260AC8FE23B}"/>
            </c:ext>
          </c:extLst>
        </c:ser>
        <c:dLbls>
          <c:showLegendKey val="0"/>
          <c:showVal val="0"/>
          <c:showCatName val="0"/>
          <c:showSerName val="0"/>
          <c:showPercent val="0"/>
          <c:showBubbleSize val="0"/>
        </c:dLbls>
        <c:marker val="1"/>
        <c:smooth val="0"/>
        <c:axId val="107508096"/>
        <c:axId val="107501824"/>
      </c:lineChart>
      <c:catAx>
        <c:axId val="10749811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07499904"/>
        <c:crosses val="autoZero"/>
        <c:auto val="1"/>
        <c:lblAlgn val="ctr"/>
        <c:lblOffset val="100"/>
        <c:noMultiLvlLbl val="0"/>
      </c:catAx>
      <c:valAx>
        <c:axId val="10749990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Homes passed, 000s</a:t>
                </a:r>
              </a:p>
            </c:rich>
          </c:tx>
          <c:overlay val="0"/>
        </c:title>
        <c:numFmt formatCode="#,##0" sourceLinked="0"/>
        <c:majorTickMark val="out"/>
        <c:minorTickMark val="none"/>
        <c:tickLblPos val="nextTo"/>
        <c:crossAx val="107498112"/>
        <c:crosses val="autoZero"/>
        <c:crossBetween val="between"/>
      </c:valAx>
      <c:valAx>
        <c:axId val="107501824"/>
        <c:scaling>
          <c:orientation val="minMax"/>
        </c:scaling>
        <c:delete val="0"/>
        <c:axPos val="r"/>
        <c:title>
          <c:tx>
            <c:rich>
              <a:bodyPr rot="-5400000" vert="horz"/>
              <a:lstStyle/>
              <a:p>
                <a:pPr>
                  <a:defRPr/>
                </a:pPr>
                <a:r>
                  <a:rPr lang="en-US"/>
                  <a:t>MEGA share of homes (nationwide)</a:t>
                </a:r>
              </a:p>
            </c:rich>
          </c:tx>
          <c:overlay val="0"/>
        </c:title>
        <c:numFmt formatCode="0%" sourceLinked="1"/>
        <c:majorTickMark val="out"/>
        <c:minorTickMark val="none"/>
        <c:tickLblPos val="nextTo"/>
        <c:crossAx val="107508096"/>
        <c:crosses val="max"/>
        <c:crossBetween val="between"/>
      </c:valAx>
      <c:catAx>
        <c:axId val="107508096"/>
        <c:scaling>
          <c:orientation val="minMax"/>
        </c:scaling>
        <c:delete val="1"/>
        <c:axPos val="b"/>
        <c:majorTickMark val="out"/>
        <c:minorTickMark val="none"/>
        <c:tickLblPos val="nextTo"/>
        <c:crossAx val="10750182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9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Analysis!$C$39</c:f>
              <c:strCache>
                <c:ptCount val="1"/>
                <c:pt idx="0">
                  <c:v>Unique subs</c:v>
                </c:pt>
              </c:strCache>
            </c:strRef>
          </c:tx>
          <c:spPr>
            <a:solidFill>
              <a:srgbClr val="000080"/>
            </a:solidFill>
            <a:ln w="25400">
              <a:noFill/>
            </a:ln>
            <a:effectLst/>
          </c:spPr>
          <c:invertIfNegative val="0"/>
          <c:cat>
            <c:numRef>
              <c:f>Analysis!$F$16:$O$16</c:f>
              <c:numCache>
                <c:formatCode>General</c:formatCode>
                <c:ptCount val="10"/>
                <c:pt idx="1">
                  <c:v>2012</c:v>
                </c:pt>
                <c:pt idx="2">
                  <c:v>2013</c:v>
                </c:pt>
                <c:pt idx="3">
                  <c:v>2014</c:v>
                </c:pt>
                <c:pt idx="4">
                  <c:v>2015</c:v>
                </c:pt>
                <c:pt idx="5">
                  <c:v>2016</c:v>
                </c:pt>
                <c:pt idx="6">
                  <c:v>2017</c:v>
                </c:pt>
                <c:pt idx="7">
                  <c:v>2018</c:v>
                </c:pt>
                <c:pt idx="8">
                  <c:v>2019</c:v>
                </c:pt>
                <c:pt idx="9">
                  <c:v>2020</c:v>
                </c:pt>
              </c:numCache>
            </c:numRef>
          </c:cat>
          <c:val>
            <c:numRef>
              <c:f>Analysis!$F$39:$O$39</c:f>
              <c:numCache>
                <c:formatCode>General</c:formatCode>
                <c:ptCount val="10"/>
                <c:pt idx="1">
                  <c:v>2193</c:v>
                </c:pt>
                <c:pt idx="2">
                  <c:v>2250</c:v>
                </c:pt>
                <c:pt idx="3" formatCode="0">
                  <c:v>2560</c:v>
                </c:pt>
                <c:pt idx="4" formatCode="0">
                  <c:v>3050</c:v>
                </c:pt>
                <c:pt idx="5" formatCode="0">
                  <c:v>3303</c:v>
                </c:pt>
                <c:pt idx="6" formatCode="0">
                  <c:v>3405</c:v>
                </c:pt>
                <c:pt idx="7" formatCode="0">
                  <c:v>3593</c:v>
                </c:pt>
                <c:pt idx="8" formatCode="0">
                  <c:v>3628</c:v>
                </c:pt>
                <c:pt idx="9" formatCode="0">
                  <c:v>3933</c:v>
                </c:pt>
              </c:numCache>
            </c:numRef>
          </c:val>
          <c:extLst>
            <c:ext xmlns:c16="http://schemas.microsoft.com/office/drawing/2014/chart" uri="{C3380CC4-5D6E-409C-BE32-E72D297353CC}">
              <c16:uniqueId val="{00000000-D6F0-46A8-B90E-5192B203E25D}"/>
            </c:ext>
          </c:extLst>
        </c:ser>
        <c:dLbls>
          <c:showLegendKey val="0"/>
          <c:showVal val="0"/>
          <c:showCatName val="0"/>
          <c:showSerName val="0"/>
          <c:showPercent val="0"/>
          <c:showBubbleSize val="0"/>
        </c:dLbls>
        <c:gapWidth val="150"/>
        <c:axId val="107530880"/>
        <c:axId val="107540864"/>
      </c:barChart>
      <c:lineChart>
        <c:grouping val="standard"/>
        <c:varyColors val="0"/>
        <c:ser>
          <c:idx val="1"/>
          <c:order val="1"/>
          <c:tx>
            <c:strRef>
              <c:f>Analysis!$C$40</c:f>
              <c:strCache>
                <c:ptCount val="1"/>
                <c:pt idx="0">
                  <c:v>RGUs per sub</c:v>
                </c:pt>
              </c:strCache>
            </c:strRef>
          </c:tx>
          <c:spPr>
            <a:ln w="25400">
              <a:solidFill>
                <a:schemeClr val="accent1">
                  <a:lumMod val="60000"/>
                  <a:lumOff val="40000"/>
                </a:schemeClr>
              </a:solidFill>
              <a:prstDash val="solid"/>
            </a:ln>
            <a:effectLst/>
          </c:spPr>
          <c:marker>
            <c:symbol val="none"/>
          </c:marker>
          <c:cat>
            <c:numRef>
              <c:f>Analysis!$F$16:$O$16</c:f>
              <c:numCache>
                <c:formatCode>General</c:formatCode>
                <c:ptCount val="10"/>
                <c:pt idx="1">
                  <c:v>2012</c:v>
                </c:pt>
                <c:pt idx="2">
                  <c:v>2013</c:v>
                </c:pt>
                <c:pt idx="3">
                  <c:v>2014</c:v>
                </c:pt>
                <c:pt idx="4">
                  <c:v>2015</c:v>
                </c:pt>
                <c:pt idx="5">
                  <c:v>2016</c:v>
                </c:pt>
                <c:pt idx="6">
                  <c:v>2017</c:v>
                </c:pt>
                <c:pt idx="7">
                  <c:v>2018</c:v>
                </c:pt>
                <c:pt idx="8">
                  <c:v>2019</c:v>
                </c:pt>
                <c:pt idx="9">
                  <c:v>2020</c:v>
                </c:pt>
              </c:numCache>
            </c:numRef>
          </c:cat>
          <c:val>
            <c:numRef>
              <c:f>Analysis!$F$40:$O$40</c:f>
              <c:numCache>
                <c:formatCode>0.00</c:formatCode>
                <c:ptCount val="10"/>
                <c:pt idx="1">
                  <c:v>1.5918832649338805</c:v>
                </c:pt>
                <c:pt idx="2">
                  <c:v>1.6319999999999999</c:v>
                </c:pt>
                <c:pt idx="3">
                  <c:v>1.74140625</c:v>
                </c:pt>
                <c:pt idx="4">
                  <c:v>1.8232786885245902</c:v>
                </c:pt>
                <c:pt idx="5">
                  <c:v>1.9300635785649409</c:v>
                </c:pt>
                <c:pt idx="6">
                  <c:v>2.094566813509545</c:v>
                </c:pt>
                <c:pt idx="7">
                  <c:v>2.2145839131644864</c:v>
                </c:pt>
                <c:pt idx="8">
                  <c:v>2.3299239250275634</c:v>
                </c:pt>
                <c:pt idx="9">
                  <c:v>2.4281718789727944</c:v>
                </c:pt>
              </c:numCache>
            </c:numRef>
          </c:val>
          <c:smooth val="0"/>
          <c:extLst>
            <c:ext xmlns:c16="http://schemas.microsoft.com/office/drawing/2014/chart" uri="{C3380CC4-5D6E-409C-BE32-E72D297353CC}">
              <c16:uniqueId val="{00000001-D6F0-46A8-B90E-5192B203E25D}"/>
            </c:ext>
          </c:extLst>
        </c:ser>
        <c:dLbls>
          <c:showLegendKey val="0"/>
          <c:showVal val="0"/>
          <c:showCatName val="0"/>
          <c:showSerName val="0"/>
          <c:showPercent val="0"/>
          <c:showBubbleSize val="0"/>
        </c:dLbls>
        <c:marker val="1"/>
        <c:smooth val="0"/>
        <c:axId val="112009600"/>
        <c:axId val="107542784"/>
      </c:lineChart>
      <c:catAx>
        <c:axId val="107530880"/>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07540864"/>
        <c:crosses val="autoZero"/>
        <c:auto val="1"/>
        <c:lblAlgn val="ctr"/>
        <c:lblOffset val="100"/>
        <c:noMultiLvlLbl val="0"/>
      </c:catAx>
      <c:valAx>
        <c:axId val="10754086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Unique subs, 000s</a:t>
                </a:r>
              </a:p>
            </c:rich>
          </c:tx>
          <c:overlay val="0"/>
        </c:title>
        <c:numFmt formatCode="#,##0" sourceLinked="0"/>
        <c:majorTickMark val="out"/>
        <c:minorTickMark val="none"/>
        <c:tickLblPos val="nextTo"/>
        <c:crossAx val="107530880"/>
        <c:crosses val="autoZero"/>
        <c:crossBetween val="between"/>
      </c:valAx>
      <c:valAx>
        <c:axId val="107542784"/>
        <c:scaling>
          <c:orientation val="minMax"/>
        </c:scaling>
        <c:delete val="0"/>
        <c:axPos val="r"/>
        <c:title>
          <c:tx>
            <c:rich>
              <a:bodyPr rot="-5400000" vert="horz"/>
              <a:lstStyle/>
              <a:p>
                <a:pPr>
                  <a:defRPr/>
                </a:pPr>
                <a:r>
                  <a:rPr lang="en-US"/>
                  <a:t>RGUs per subs</a:t>
                </a:r>
              </a:p>
            </c:rich>
          </c:tx>
          <c:overlay val="0"/>
        </c:title>
        <c:numFmt formatCode="0.00" sourceLinked="1"/>
        <c:majorTickMark val="out"/>
        <c:minorTickMark val="none"/>
        <c:tickLblPos val="nextTo"/>
        <c:crossAx val="112009600"/>
        <c:crosses val="max"/>
        <c:crossBetween val="between"/>
      </c:valAx>
      <c:catAx>
        <c:axId val="112009600"/>
        <c:scaling>
          <c:orientation val="minMax"/>
        </c:scaling>
        <c:delete val="1"/>
        <c:axPos val="b"/>
        <c:numFmt formatCode="General" sourceLinked="1"/>
        <c:majorTickMark val="out"/>
        <c:minorTickMark val="none"/>
        <c:tickLblPos val="nextTo"/>
        <c:crossAx val="10754278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9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Analysis!$E$60</c:f>
              <c:strCache>
                <c:ptCount val="1"/>
                <c:pt idx="0">
                  <c:v>Corporate/carrier revs</c:v>
                </c:pt>
              </c:strCache>
            </c:strRef>
          </c:tx>
          <c:spPr>
            <a:solidFill>
              <a:srgbClr val="000080"/>
            </a:solidFill>
            <a:ln w="25400">
              <a:noFill/>
            </a:ln>
          </c:spPr>
          <c:invertIfNegative val="0"/>
          <c:cat>
            <c:strRef>
              <c:f>Analysis!$F$59:$L$59</c:f>
              <c:strCache>
                <c:ptCount val="7"/>
                <c:pt idx="1">
                  <c:v>Q2 13</c:v>
                </c:pt>
                <c:pt idx="2">
                  <c:v>Q3 13</c:v>
                </c:pt>
                <c:pt idx="3">
                  <c:v>Q4 13</c:v>
                </c:pt>
                <c:pt idx="4">
                  <c:v>Q1 14</c:v>
                </c:pt>
                <c:pt idx="5">
                  <c:v>Q2 14</c:v>
                </c:pt>
                <c:pt idx="6">
                  <c:v>Q3 14</c:v>
                </c:pt>
              </c:strCache>
            </c:strRef>
          </c:cat>
          <c:val>
            <c:numRef>
              <c:f>Analysis!$F$60:$L$60</c:f>
              <c:numCache>
                <c:formatCode>0</c:formatCode>
                <c:ptCount val="7"/>
                <c:pt idx="1">
                  <c:v>123.69999999999999</c:v>
                </c:pt>
                <c:pt idx="2">
                  <c:v>141.80000000000001</c:v>
                </c:pt>
                <c:pt idx="4">
                  <c:v>265.60000000000002</c:v>
                </c:pt>
                <c:pt idx="5">
                  <c:v>307.57500000000005</c:v>
                </c:pt>
                <c:pt idx="6">
                  <c:v>330.20000000000005</c:v>
                </c:pt>
              </c:numCache>
            </c:numRef>
          </c:val>
          <c:extLst>
            <c:ext xmlns:c16="http://schemas.microsoft.com/office/drawing/2014/chart" uri="{C3380CC4-5D6E-409C-BE32-E72D297353CC}">
              <c16:uniqueId val="{00000000-C3E7-40E9-8F2B-AD698215E788}"/>
            </c:ext>
          </c:extLst>
        </c:ser>
        <c:dLbls>
          <c:showLegendKey val="0"/>
          <c:showVal val="0"/>
          <c:showCatName val="0"/>
          <c:showSerName val="0"/>
          <c:showPercent val="0"/>
          <c:showBubbleSize val="0"/>
        </c:dLbls>
        <c:gapWidth val="150"/>
        <c:axId val="112048768"/>
        <c:axId val="112054656"/>
      </c:barChart>
      <c:lineChart>
        <c:grouping val="standard"/>
        <c:varyColors val="0"/>
        <c:ser>
          <c:idx val="1"/>
          <c:order val="1"/>
          <c:tx>
            <c:v>EBITDA margin</c:v>
          </c:tx>
          <c:spPr>
            <a:ln w="25400">
              <a:solidFill>
                <a:schemeClr val="accent1">
                  <a:lumMod val="60000"/>
                  <a:lumOff val="40000"/>
                </a:schemeClr>
              </a:solidFill>
              <a:prstDash val="sysDash"/>
            </a:ln>
            <a:effectLst/>
          </c:spPr>
          <c:marker>
            <c:symbol val="none"/>
          </c:marker>
          <c:cat>
            <c:strRef>
              <c:f>Analysis!$F$59:$L$59</c:f>
              <c:strCache>
                <c:ptCount val="7"/>
                <c:pt idx="1">
                  <c:v>Q2 13</c:v>
                </c:pt>
                <c:pt idx="2">
                  <c:v>Q3 13</c:v>
                </c:pt>
                <c:pt idx="3">
                  <c:v>Q4 13</c:v>
                </c:pt>
                <c:pt idx="4">
                  <c:v>Q1 14</c:v>
                </c:pt>
                <c:pt idx="5">
                  <c:v>Q2 14</c:v>
                </c:pt>
                <c:pt idx="6">
                  <c:v>Q3 14</c:v>
                </c:pt>
              </c:strCache>
            </c:strRef>
          </c:cat>
          <c:val>
            <c:numRef>
              <c:f>Analysis!$F$61:$L$61</c:f>
              <c:numCache>
                <c:formatCode>0.0%</c:formatCode>
                <c:ptCount val="7"/>
                <c:pt idx="1">
                  <c:v>0.13742926434923203</c:v>
                </c:pt>
                <c:pt idx="2">
                  <c:v>0.26093088857545838</c:v>
                </c:pt>
                <c:pt idx="4">
                  <c:v>0.18072289156626503</c:v>
                </c:pt>
                <c:pt idx="5">
                  <c:v>0.17556693489392827</c:v>
                </c:pt>
                <c:pt idx="6">
                  <c:v>0.19685039370078738</c:v>
                </c:pt>
              </c:numCache>
            </c:numRef>
          </c:val>
          <c:smooth val="0"/>
          <c:extLst>
            <c:ext xmlns:c16="http://schemas.microsoft.com/office/drawing/2014/chart" uri="{C3380CC4-5D6E-409C-BE32-E72D297353CC}">
              <c16:uniqueId val="{00000001-C3E7-40E9-8F2B-AD698215E788}"/>
            </c:ext>
          </c:extLst>
        </c:ser>
        <c:dLbls>
          <c:showLegendKey val="0"/>
          <c:showVal val="0"/>
          <c:showCatName val="0"/>
          <c:showSerName val="0"/>
          <c:showPercent val="0"/>
          <c:showBubbleSize val="0"/>
        </c:dLbls>
        <c:marker val="1"/>
        <c:smooth val="0"/>
        <c:axId val="112057728"/>
        <c:axId val="112056192"/>
      </c:lineChart>
      <c:catAx>
        <c:axId val="112048768"/>
        <c:scaling>
          <c:orientation val="minMax"/>
        </c:scaling>
        <c:delete val="0"/>
        <c:axPos val="b"/>
        <c:numFmt formatCode="General" sourceLinked="0"/>
        <c:majorTickMark val="out"/>
        <c:minorTickMark val="none"/>
        <c:tickLblPos val="nextTo"/>
        <c:crossAx val="112054656"/>
        <c:crosses val="autoZero"/>
        <c:auto val="1"/>
        <c:lblAlgn val="ctr"/>
        <c:lblOffset val="100"/>
        <c:noMultiLvlLbl val="0"/>
      </c:catAx>
      <c:valAx>
        <c:axId val="11205465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112048768"/>
        <c:crosses val="autoZero"/>
        <c:crossBetween val="between"/>
      </c:valAx>
      <c:valAx>
        <c:axId val="112056192"/>
        <c:scaling>
          <c:orientation val="minMax"/>
        </c:scaling>
        <c:delete val="0"/>
        <c:axPos val="r"/>
        <c:numFmt formatCode="0.0%" sourceLinked="1"/>
        <c:majorTickMark val="out"/>
        <c:minorTickMark val="none"/>
        <c:tickLblPos val="nextTo"/>
        <c:crossAx val="112057728"/>
        <c:crosses val="max"/>
        <c:crossBetween val="between"/>
      </c:valAx>
      <c:catAx>
        <c:axId val="112057728"/>
        <c:scaling>
          <c:orientation val="minMax"/>
        </c:scaling>
        <c:delete val="1"/>
        <c:axPos val="b"/>
        <c:numFmt formatCode="General" sourceLinked="1"/>
        <c:majorTickMark val="out"/>
        <c:minorTickMark val="none"/>
        <c:tickLblPos val="nextTo"/>
        <c:crossAx val="112056192"/>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8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7404724925146"/>
          <c:y val="0.13715670652508671"/>
          <c:w val="0.73098873146208532"/>
          <c:h val="0.56061143024627713"/>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A2B3-486B-97A7-561F83E75CA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A2B3-486B-97A7-561F83E75CAA}"/>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A2B3-486B-97A7-561F83E75CAA}"/>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A2B3-486B-97A7-561F83E75CAA}"/>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A2B3-486B-97A7-561F83E75CAA}"/>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A2B3-486B-97A7-561F83E75CAA}"/>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A2B3-486B-97A7-561F83E75CAA}"/>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F-A2B3-486B-97A7-561F83E75CAA}"/>
              </c:ext>
            </c:extLst>
          </c:dPt>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Analysis!$C$65:$C$72</c:f>
              <c:strCache>
                <c:ptCount val="8"/>
                <c:pt idx="0">
                  <c:v>Construction</c:v>
                </c:pt>
                <c:pt idx="1">
                  <c:v>Upgrades</c:v>
                </c:pt>
                <c:pt idx="2">
                  <c:v>CTC, equip</c:v>
                </c:pt>
                <c:pt idx="3">
                  <c:v>Office, IT</c:v>
                </c:pt>
                <c:pt idx="4">
                  <c:v>CPE</c:v>
                </c:pt>
                <c:pt idx="5">
                  <c:v>Data network</c:v>
                </c:pt>
                <c:pt idx="6">
                  <c:v>Metrocarrier</c:v>
                </c:pt>
                <c:pt idx="7">
                  <c:v>Other</c:v>
                </c:pt>
              </c:strCache>
            </c:strRef>
          </c:cat>
          <c:val>
            <c:numRef>
              <c:f>Analysis!$D$65:$D$72</c:f>
              <c:numCache>
                <c:formatCode>General</c:formatCode>
                <c:ptCount val="8"/>
                <c:pt idx="0">
                  <c:v>429</c:v>
                </c:pt>
                <c:pt idx="1">
                  <c:v>91</c:v>
                </c:pt>
                <c:pt idx="2">
                  <c:v>256</c:v>
                </c:pt>
                <c:pt idx="3">
                  <c:v>148</c:v>
                </c:pt>
                <c:pt idx="4">
                  <c:v>1053</c:v>
                </c:pt>
                <c:pt idx="5">
                  <c:v>365</c:v>
                </c:pt>
                <c:pt idx="6">
                  <c:v>79</c:v>
                </c:pt>
                <c:pt idx="7">
                  <c:v>83</c:v>
                </c:pt>
              </c:numCache>
            </c:numRef>
          </c:val>
          <c:extLst>
            <c:ext xmlns:c16="http://schemas.microsoft.com/office/drawing/2014/chart" uri="{C3380CC4-5D6E-409C-BE32-E72D297353CC}">
              <c16:uniqueId val="{00000010-A2B3-486B-97A7-561F83E75CAA}"/>
            </c:ext>
          </c:extLst>
        </c:ser>
        <c:dLbls>
          <c:showLegendKey val="0"/>
          <c:showVal val="0"/>
          <c:showCatName val="0"/>
          <c:showSerName val="0"/>
          <c:showPercent val="0"/>
          <c:showBubbleSize val="0"/>
          <c:showLeaderLines val="1"/>
        </c:dLbls>
        <c:firstSliceAng val="0"/>
      </c:pieChart>
      <c:spPr>
        <a:noFill/>
        <a:ln w="25400">
          <a:noFill/>
        </a:ln>
      </c:spPr>
    </c:plotArea>
    <c:legend>
      <c:legendPos val="b"/>
      <c:layout>
        <c:manualLayout>
          <c:xMode val="edge"/>
          <c:yMode val="edge"/>
          <c:x val="0"/>
          <c:y val="0.72832239720035008"/>
          <c:w val="0.92476816330553091"/>
          <c:h val="0.24389982502187227"/>
        </c:manualLayout>
      </c:layout>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27517555050569"/>
          <c:y val="9.5276003541506421E-2"/>
          <c:w val="0.58785512099114257"/>
          <c:h val="0.59201387242931136"/>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3013-4E60-B34F-49EA387F1D3E}"/>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3013-4E60-B34F-49EA387F1D3E}"/>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3013-4E60-B34F-49EA387F1D3E}"/>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3013-4E60-B34F-49EA387F1D3E}"/>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3013-4E60-B34F-49EA387F1D3E}"/>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3013-4E60-B34F-49EA387F1D3E}"/>
              </c:ext>
            </c:extLst>
          </c:dPt>
          <c:dLbls>
            <c:dLbl>
              <c:idx val="5"/>
              <c:layout>
                <c:manualLayout>
                  <c:x val="6.1708018428589521E-2"/>
                  <c:y val="-1.5536142174050667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013-4E60-B34F-49EA387F1D3E}"/>
                </c:ext>
              </c:extLst>
            </c:dLbl>
            <c:dLbl>
              <c:idx val="6"/>
              <c:layout>
                <c:manualLayout>
                  <c:x val="0.13498629031253959"/>
                  <c:y val="-1.5536142174050667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6B-403A-9741-AE3A38E30885}"/>
                </c:ext>
              </c:extLst>
            </c:dLbl>
            <c:spPr>
              <a:noFill/>
              <a:ln>
                <a:noFill/>
              </a:ln>
              <a:effectLst/>
            </c:spPr>
            <c:dLblPos val="outEnd"/>
            <c:showLegendKey val="0"/>
            <c:showVal val="1"/>
            <c:showCatName val="0"/>
            <c:showSerName val="0"/>
            <c:showPercent val="1"/>
            <c:showBubbleSize val="0"/>
            <c:showLeaderLines val="1"/>
            <c:extLst>
              <c:ext xmlns:c15="http://schemas.microsoft.com/office/drawing/2012/chart" uri="{CE6537A1-D6FC-4f65-9D91-7224C49458BB}"/>
            </c:extLst>
          </c:dLbls>
          <c:cat>
            <c:strRef>
              <c:f>Analysis!$C$137:$C$143</c:f>
              <c:strCache>
                <c:ptCount val="7"/>
                <c:pt idx="0">
                  <c:v>Construction / upgrades</c:v>
                </c:pt>
                <c:pt idx="1">
                  <c:v>CPE</c:v>
                </c:pt>
                <c:pt idx="2">
                  <c:v>Data networks</c:v>
                </c:pt>
                <c:pt idx="3">
                  <c:v>Other, special projects</c:v>
                </c:pt>
                <c:pt idx="4">
                  <c:v>Corporate</c:v>
                </c:pt>
                <c:pt idx="5">
                  <c:v>Transport and GTAC</c:v>
                </c:pt>
                <c:pt idx="6">
                  <c:v>CTC, tooling, office</c:v>
                </c:pt>
              </c:strCache>
            </c:strRef>
          </c:cat>
          <c:val>
            <c:numRef>
              <c:f>Analysis!$D$137:$D$143</c:f>
              <c:numCache>
                <c:formatCode>\$#,##0"mn";\-"£"#,##0"mn"</c:formatCode>
                <c:ptCount val="7"/>
                <c:pt idx="0">
                  <c:v>122.1</c:v>
                </c:pt>
                <c:pt idx="1">
                  <c:v>85.8</c:v>
                </c:pt>
                <c:pt idx="2">
                  <c:v>46.2</c:v>
                </c:pt>
                <c:pt idx="3">
                  <c:v>33</c:v>
                </c:pt>
                <c:pt idx="4">
                  <c:v>23.1</c:v>
                </c:pt>
                <c:pt idx="5">
                  <c:v>13.200000000000001</c:v>
                </c:pt>
                <c:pt idx="6">
                  <c:v>6.6000000000000005</c:v>
                </c:pt>
              </c:numCache>
            </c:numRef>
          </c:val>
          <c:extLst>
            <c:ext xmlns:c16="http://schemas.microsoft.com/office/drawing/2014/chart" uri="{C3380CC4-5D6E-409C-BE32-E72D297353CC}">
              <c16:uniqueId val="{0000000C-3013-4E60-B34F-49EA387F1D3E}"/>
            </c:ext>
          </c:extLst>
        </c:ser>
        <c:dLbls>
          <c:showLegendKey val="0"/>
          <c:showVal val="0"/>
          <c:showCatName val="0"/>
          <c:showSerName val="0"/>
          <c:showPercent val="0"/>
          <c:showBubbleSize val="0"/>
          <c:showLeaderLines val="1"/>
        </c:dLbls>
        <c:firstSliceAng val="0"/>
      </c:pieChart>
      <c:spPr>
        <a:noFill/>
        <a:ln w="25400">
          <a:noFill/>
        </a:ln>
      </c:spPr>
    </c:plotArea>
    <c:legend>
      <c:legendPos val="b"/>
      <c:layout>
        <c:manualLayout>
          <c:xMode val="edge"/>
          <c:yMode val="edge"/>
          <c:x val="0"/>
          <c:y val="0.8078833688350493"/>
          <c:w val="0.9949376345117884"/>
          <c:h val="0.16104434681684937"/>
        </c:manualLayout>
      </c:layout>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82747533709819"/>
          <c:y val="0.13982523680376391"/>
          <c:w val="0.75201140157854385"/>
          <c:h val="0.70100091871174841"/>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A99B-483F-AD52-C4E1B580BEEC}"/>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A99B-483F-AD52-C4E1B580BEEC}"/>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A99B-483F-AD52-C4E1B580BEEC}"/>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A99B-483F-AD52-C4E1B580BEEC}"/>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A99B-483F-AD52-C4E1B580BEEC}"/>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A99B-483F-AD52-C4E1B580BEEC}"/>
              </c:ext>
            </c:extLst>
          </c:dPt>
          <c:cat>
            <c:strRef>
              <c:f>Analysis!$C$138:$C$143</c:f>
              <c:strCache>
                <c:ptCount val="6"/>
                <c:pt idx="0">
                  <c:v>CPE</c:v>
                </c:pt>
                <c:pt idx="1">
                  <c:v>Data networks</c:v>
                </c:pt>
                <c:pt idx="2">
                  <c:v>Other, special projects</c:v>
                </c:pt>
                <c:pt idx="3">
                  <c:v>Corporate</c:v>
                </c:pt>
                <c:pt idx="4">
                  <c:v>Transport and GTAC</c:v>
                </c:pt>
                <c:pt idx="5">
                  <c:v>CTC, tooling, office</c:v>
                </c:pt>
              </c:strCache>
            </c:strRef>
          </c:cat>
          <c:val>
            <c:numRef>
              <c:f>Analysis!#REF!</c:f>
              <c:numCache>
                <c:formatCode>General</c:formatCode>
                <c:ptCount val="1"/>
                <c:pt idx="0">
                  <c:v>1</c:v>
                </c:pt>
              </c:numCache>
            </c:numRef>
          </c:val>
          <c:extLst>
            <c:ext xmlns:c16="http://schemas.microsoft.com/office/drawing/2014/chart" uri="{C3380CC4-5D6E-409C-BE32-E72D297353CC}">
              <c16:uniqueId val="{0000000C-A99B-483F-AD52-C4E1B580BEE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snaps'!$B$48</c:f>
              <c:strCache>
                <c:ptCount val="1"/>
                <c:pt idx="0">
                  <c:v>TV</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snaps'!$I$29:$V$29</c:f>
              <c:strCache>
                <c:ptCount val="14"/>
                <c:pt idx="0">
                  <c:v>Q3 20</c:v>
                </c:pt>
                <c:pt idx="1">
                  <c:v>Q4 20</c:v>
                </c:pt>
                <c:pt idx="2">
                  <c:v>Q1 21</c:v>
                </c:pt>
                <c:pt idx="3">
                  <c:v>Q2 21</c:v>
                </c:pt>
                <c:pt idx="4">
                  <c:v>Q3 21</c:v>
                </c:pt>
                <c:pt idx="5">
                  <c:v>Q4 21</c:v>
                </c:pt>
                <c:pt idx="6">
                  <c:v>Q1 22</c:v>
                </c:pt>
                <c:pt idx="7">
                  <c:v>Q2 22</c:v>
                </c:pt>
                <c:pt idx="8">
                  <c:v>Q3 22</c:v>
                </c:pt>
                <c:pt idx="9">
                  <c:v>Q4 22</c:v>
                </c:pt>
                <c:pt idx="10">
                  <c:v>Q1 23</c:v>
                </c:pt>
                <c:pt idx="11">
                  <c:v>Q2 23</c:v>
                </c:pt>
                <c:pt idx="12">
                  <c:v>Q3 23</c:v>
                </c:pt>
                <c:pt idx="13">
                  <c:v>Q4 23</c:v>
                </c:pt>
              </c:strCache>
            </c:strRef>
          </c:cat>
          <c:val>
            <c:numRef>
              <c:f>'Earnings snaps'!$I$48:$V$48</c:f>
              <c:numCache>
                <c:formatCode>0</c:formatCode>
                <c:ptCount val="14"/>
                <c:pt idx="0">
                  <c:v>100.07200000000012</c:v>
                </c:pt>
                <c:pt idx="1">
                  <c:v>51.174999999999727</c:v>
                </c:pt>
                <c:pt idx="2">
                  <c:v>23.619999999999891</c:v>
                </c:pt>
                <c:pt idx="3">
                  <c:v>21.733000000000175</c:v>
                </c:pt>
                <c:pt idx="4">
                  <c:v>58.19399999999996</c:v>
                </c:pt>
                <c:pt idx="5">
                  <c:v>23.626000000000204</c:v>
                </c:pt>
                <c:pt idx="6">
                  <c:v>2.1779999999998836</c:v>
                </c:pt>
                <c:pt idx="7">
                  <c:v>1.4800000000000182</c:v>
                </c:pt>
                <c:pt idx="8">
                  <c:v>48.710000000000036</c:v>
                </c:pt>
                <c:pt idx="9">
                  <c:v>83.42699999999968</c:v>
                </c:pt>
                <c:pt idx="10">
                  <c:v>86.297000000000025</c:v>
                </c:pt>
                <c:pt idx="11">
                  <c:v>83.932000000000244</c:v>
                </c:pt>
                <c:pt idx="12">
                  <c:v>43.041999999999916</c:v>
                </c:pt>
                <c:pt idx="13">
                  <c:v>25.204000000000178</c:v>
                </c:pt>
              </c:numCache>
            </c:numRef>
          </c:val>
          <c:extLst>
            <c:ext xmlns:c16="http://schemas.microsoft.com/office/drawing/2014/chart" uri="{C3380CC4-5D6E-409C-BE32-E72D297353CC}">
              <c16:uniqueId val="{00000000-2657-4ED7-BCBA-24F30D9A0101}"/>
            </c:ext>
          </c:extLst>
        </c:ser>
        <c:ser>
          <c:idx val="1"/>
          <c:order val="1"/>
          <c:tx>
            <c:strRef>
              <c:f>'Earnings snaps'!$B$49</c:f>
              <c:strCache>
                <c:ptCount val="1"/>
                <c:pt idx="0">
                  <c:v>Internet</c:v>
                </c:pt>
              </c:strCache>
            </c:strRef>
          </c:tx>
          <c:spPr>
            <a:solidFill>
              <a:srgbClr val="F9663E"/>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snaps'!$I$29:$V$29</c:f>
              <c:strCache>
                <c:ptCount val="14"/>
                <c:pt idx="0">
                  <c:v>Q3 20</c:v>
                </c:pt>
                <c:pt idx="1">
                  <c:v>Q4 20</c:v>
                </c:pt>
                <c:pt idx="2">
                  <c:v>Q1 21</c:v>
                </c:pt>
                <c:pt idx="3">
                  <c:v>Q2 21</c:v>
                </c:pt>
                <c:pt idx="4">
                  <c:v>Q3 21</c:v>
                </c:pt>
                <c:pt idx="5">
                  <c:v>Q4 21</c:v>
                </c:pt>
                <c:pt idx="6">
                  <c:v>Q1 22</c:v>
                </c:pt>
                <c:pt idx="7">
                  <c:v>Q2 22</c:v>
                </c:pt>
                <c:pt idx="8">
                  <c:v>Q3 22</c:v>
                </c:pt>
                <c:pt idx="9">
                  <c:v>Q4 22</c:v>
                </c:pt>
                <c:pt idx="10">
                  <c:v>Q1 23</c:v>
                </c:pt>
                <c:pt idx="11">
                  <c:v>Q2 23</c:v>
                </c:pt>
                <c:pt idx="12">
                  <c:v>Q3 23</c:v>
                </c:pt>
                <c:pt idx="13">
                  <c:v>Q4 23</c:v>
                </c:pt>
              </c:strCache>
            </c:strRef>
          </c:cat>
          <c:val>
            <c:numRef>
              <c:f>'Earnings snaps'!$I$49:$V$49</c:f>
              <c:numCache>
                <c:formatCode>0</c:formatCode>
                <c:ptCount val="14"/>
                <c:pt idx="0">
                  <c:v>184.5949999999998</c:v>
                </c:pt>
                <c:pt idx="1">
                  <c:v>96.329000000000178</c:v>
                </c:pt>
                <c:pt idx="2">
                  <c:v>79.415999999999713</c:v>
                </c:pt>
                <c:pt idx="3">
                  <c:v>58.160000000000309</c:v>
                </c:pt>
                <c:pt idx="4">
                  <c:v>105.01199999999972</c:v>
                </c:pt>
                <c:pt idx="5">
                  <c:v>80.981000000000222</c:v>
                </c:pt>
                <c:pt idx="6">
                  <c:v>59.403999999999996</c:v>
                </c:pt>
                <c:pt idx="7">
                  <c:v>19.177999999999884</c:v>
                </c:pt>
                <c:pt idx="8">
                  <c:v>100.65700000000015</c:v>
                </c:pt>
                <c:pt idx="9">
                  <c:v>124.72799999999961</c:v>
                </c:pt>
                <c:pt idx="10">
                  <c:v>147.30500000000029</c:v>
                </c:pt>
                <c:pt idx="11">
                  <c:v>163.3119999999999</c:v>
                </c:pt>
                <c:pt idx="12">
                  <c:v>117.12700000000041</c:v>
                </c:pt>
                <c:pt idx="13">
                  <c:v>155.94799999999941</c:v>
                </c:pt>
              </c:numCache>
            </c:numRef>
          </c:val>
          <c:extLst>
            <c:ext xmlns:c16="http://schemas.microsoft.com/office/drawing/2014/chart" uri="{C3380CC4-5D6E-409C-BE32-E72D297353CC}">
              <c16:uniqueId val="{00000001-2657-4ED7-BCBA-24F30D9A0101}"/>
            </c:ext>
          </c:extLst>
        </c:ser>
        <c:ser>
          <c:idx val="2"/>
          <c:order val="2"/>
          <c:tx>
            <c:strRef>
              <c:f>'Earnings snaps'!$B$50</c:f>
              <c:strCache>
                <c:ptCount val="1"/>
                <c:pt idx="0">
                  <c:v>Voice</c:v>
                </c:pt>
              </c:strCache>
            </c:strRef>
          </c:tx>
          <c:spPr>
            <a:solidFill>
              <a:srgbClr val="C7FE02"/>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snaps'!$I$29:$V$29</c:f>
              <c:strCache>
                <c:ptCount val="14"/>
                <c:pt idx="0">
                  <c:v>Q3 20</c:v>
                </c:pt>
                <c:pt idx="1">
                  <c:v>Q4 20</c:v>
                </c:pt>
                <c:pt idx="2">
                  <c:v>Q1 21</c:v>
                </c:pt>
                <c:pt idx="3">
                  <c:v>Q2 21</c:v>
                </c:pt>
                <c:pt idx="4">
                  <c:v>Q3 21</c:v>
                </c:pt>
                <c:pt idx="5">
                  <c:v>Q4 21</c:v>
                </c:pt>
                <c:pt idx="6">
                  <c:v>Q1 22</c:v>
                </c:pt>
                <c:pt idx="7">
                  <c:v>Q2 22</c:v>
                </c:pt>
                <c:pt idx="8">
                  <c:v>Q3 22</c:v>
                </c:pt>
                <c:pt idx="9">
                  <c:v>Q4 22</c:v>
                </c:pt>
                <c:pt idx="10">
                  <c:v>Q1 23</c:v>
                </c:pt>
                <c:pt idx="11">
                  <c:v>Q2 23</c:v>
                </c:pt>
                <c:pt idx="12">
                  <c:v>Q3 23</c:v>
                </c:pt>
                <c:pt idx="13">
                  <c:v>Q4 23</c:v>
                </c:pt>
              </c:strCache>
            </c:strRef>
          </c:cat>
          <c:val>
            <c:numRef>
              <c:f>'Earnings snaps'!$I$50:$V$50</c:f>
              <c:numCache>
                <c:formatCode>0</c:formatCode>
                <c:ptCount val="14"/>
                <c:pt idx="0">
                  <c:v>243.48100000000022</c:v>
                </c:pt>
                <c:pt idx="1">
                  <c:v>115.21699999999964</c:v>
                </c:pt>
                <c:pt idx="2">
                  <c:v>100.67900000000009</c:v>
                </c:pt>
                <c:pt idx="3">
                  <c:v>78.423000000000229</c:v>
                </c:pt>
                <c:pt idx="4">
                  <c:v>128.63999999999987</c:v>
                </c:pt>
                <c:pt idx="5">
                  <c:v>96.579000000000178</c:v>
                </c:pt>
                <c:pt idx="6">
                  <c:v>58.096999999999753</c:v>
                </c:pt>
                <c:pt idx="7">
                  <c:v>45.121000000000095</c:v>
                </c:pt>
                <c:pt idx="8">
                  <c:v>128.92599999999993</c:v>
                </c:pt>
                <c:pt idx="9">
                  <c:v>140.86200000000008</c:v>
                </c:pt>
                <c:pt idx="10">
                  <c:v>174.46199999999999</c:v>
                </c:pt>
                <c:pt idx="11">
                  <c:v>184.279</c:v>
                </c:pt>
                <c:pt idx="12">
                  <c:v>143.56700000000001</c:v>
                </c:pt>
                <c:pt idx="13">
                  <c:v>175.62199999999984</c:v>
                </c:pt>
              </c:numCache>
            </c:numRef>
          </c:val>
          <c:extLst>
            <c:ext xmlns:c16="http://schemas.microsoft.com/office/drawing/2014/chart" uri="{C3380CC4-5D6E-409C-BE32-E72D297353CC}">
              <c16:uniqueId val="{00000002-2657-4ED7-BCBA-24F30D9A0101}"/>
            </c:ext>
          </c:extLst>
        </c:ser>
        <c:dLbls>
          <c:showLegendKey val="0"/>
          <c:showVal val="0"/>
          <c:showCatName val="0"/>
          <c:showSerName val="0"/>
          <c:showPercent val="0"/>
          <c:showBubbleSize val="0"/>
        </c:dLbls>
        <c:gapWidth val="30"/>
        <c:overlap val="-27"/>
        <c:axId val="749532744"/>
        <c:axId val="749537992"/>
      </c:barChart>
      <c:catAx>
        <c:axId val="7495327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749537992"/>
        <c:crosses val="autoZero"/>
        <c:auto val="1"/>
        <c:lblAlgn val="ctr"/>
        <c:lblOffset val="100"/>
        <c:noMultiLvlLbl val="0"/>
      </c:catAx>
      <c:valAx>
        <c:axId val="749537992"/>
        <c:scaling>
          <c:orientation val="minMax"/>
        </c:scaling>
        <c:delete val="1"/>
        <c:axPos val="l"/>
        <c:numFmt formatCode="0" sourceLinked="1"/>
        <c:majorTickMark val="out"/>
        <c:minorTickMark val="none"/>
        <c:tickLblPos val="nextTo"/>
        <c:crossAx val="749532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Analysis!$C$190</c:f>
              <c:strCache>
                <c:ptCount val="1"/>
                <c:pt idx="0">
                  <c:v>MEGA</c:v>
                </c:pt>
              </c:strCache>
            </c:strRef>
          </c:tx>
          <c:spPr>
            <a:ln w="25400" cap="rnd">
              <a:solidFill>
                <a:srgbClr val="333399"/>
              </a:solidFill>
              <a:prstDash val="solid"/>
              <a:round/>
            </a:ln>
            <a:effectLst/>
          </c:spPr>
          <c:marker>
            <c:symbol val="none"/>
          </c:marker>
          <c:cat>
            <c:numRef>
              <c:f>Analysis!$G$189:$O$189</c:f>
              <c:numCache>
                <c:formatCode>General</c:formatCode>
                <c:ptCount val="9"/>
                <c:pt idx="0">
                  <c:v>0</c:v>
                </c:pt>
                <c:pt idx="1">
                  <c:v>0</c:v>
                </c:pt>
                <c:pt idx="2">
                  <c:v>0</c:v>
                </c:pt>
                <c:pt idx="3">
                  <c:v>0</c:v>
                </c:pt>
                <c:pt idx="4">
                  <c:v>0</c:v>
                </c:pt>
                <c:pt idx="5">
                  <c:v>0</c:v>
                </c:pt>
                <c:pt idx="6">
                  <c:v>0</c:v>
                </c:pt>
                <c:pt idx="7">
                  <c:v>0</c:v>
                </c:pt>
                <c:pt idx="8">
                  <c:v>0</c:v>
                </c:pt>
              </c:numCache>
            </c:numRef>
          </c:cat>
          <c:val>
            <c:numRef>
              <c:f>Analysis!$G$190:$O$190</c:f>
              <c:numCache>
                <c:formatCode>0.0%</c:formatCode>
                <c:ptCount val="9"/>
                <c:pt idx="0">
                  <c:v>0.27141782842598483</c:v>
                </c:pt>
                <c:pt idx="1">
                  <c:v>0.29600344721136035</c:v>
                </c:pt>
                <c:pt idx="2">
                  <c:v>0.30249027957785596</c:v>
                </c:pt>
                <c:pt idx="3">
                  <c:v>0.36103292677478444</c:v>
                </c:pt>
                <c:pt idx="4">
                  <c:v>0.38428890963708695</c:v>
                </c:pt>
                <c:pt idx="5">
                  <c:v>0.4358592560527671</c:v>
                </c:pt>
                <c:pt idx="6">
                  <c:v>0.43350404780094365</c:v>
                </c:pt>
                <c:pt idx="7">
                  <c:v>0.33</c:v>
                </c:pt>
                <c:pt idx="8">
                  <c:v>0.28000000000000003</c:v>
                </c:pt>
              </c:numCache>
            </c:numRef>
          </c:val>
          <c:smooth val="0"/>
          <c:extLst>
            <c:ext xmlns:c16="http://schemas.microsoft.com/office/drawing/2014/chart" uri="{C3380CC4-5D6E-409C-BE32-E72D297353CC}">
              <c16:uniqueId val="{00000000-15B9-4025-8FE9-270B6ED140A3}"/>
            </c:ext>
          </c:extLst>
        </c:ser>
        <c:ser>
          <c:idx val="1"/>
          <c:order val="1"/>
          <c:tx>
            <c:strRef>
              <c:f>Analysis!$C$191</c:f>
              <c:strCache>
                <c:ptCount val="1"/>
                <c:pt idx="0">
                  <c:v>TV</c:v>
                </c:pt>
              </c:strCache>
            </c:strRef>
          </c:tx>
          <c:spPr>
            <a:ln w="25400" cap="rnd">
              <a:solidFill>
                <a:srgbClr val="99CCFF"/>
              </a:solidFill>
              <a:prstDash val="solid"/>
              <a:round/>
            </a:ln>
            <a:effectLst/>
          </c:spPr>
          <c:marker>
            <c:symbol val="none"/>
          </c:marker>
          <c:cat>
            <c:numRef>
              <c:f>Analysis!$G$189:$O$189</c:f>
              <c:numCache>
                <c:formatCode>General</c:formatCode>
                <c:ptCount val="9"/>
                <c:pt idx="0">
                  <c:v>0</c:v>
                </c:pt>
                <c:pt idx="1">
                  <c:v>0</c:v>
                </c:pt>
                <c:pt idx="2">
                  <c:v>0</c:v>
                </c:pt>
                <c:pt idx="3">
                  <c:v>0</c:v>
                </c:pt>
                <c:pt idx="4">
                  <c:v>0</c:v>
                </c:pt>
                <c:pt idx="5">
                  <c:v>0</c:v>
                </c:pt>
                <c:pt idx="6">
                  <c:v>0</c:v>
                </c:pt>
                <c:pt idx="7">
                  <c:v>0</c:v>
                </c:pt>
                <c:pt idx="8">
                  <c:v>0</c:v>
                </c:pt>
              </c:numCache>
            </c:numRef>
          </c:cat>
          <c:val>
            <c:numRef>
              <c:f>Analysis!$G$191:$O$191</c:f>
              <c:numCache>
                <c:formatCode>0.0%</c:formatCode>
                <c:ptCount val="9"/>
                <c:pt idx="0">
                  <c:v>0.32008986928104577</c:v>
                </c:pt>
                <c:pt idx="1">
                  <c:v>0.35330361824855794</c:v>
                </c:pt>
                <c:pt idx="2">
                  <c:v>0.3</c:v>
                </c:pt>
                <c:pt idx="3">
                  <c:v>0.25</c:v>
                </c:pt>
                <c:pt idx="4">
                  <c:v>0.24</c:v>
                </c:pt>
                <c:pt idx="5">
                  <c:v>0.23</c:v>
                </c:pt>
                <c:pt idx="6">
                  <c:v>0.23</c:v>
                </c:pt>
                <c:pt idx="7">
                  <c:v>0.23</c:v>
                </c:pt>
                <c:pt idx="8">
                  <c:v>0.23</c:v>
                </c:pt>
              </c:numCache>
            </c:numRef>
          </c:val>
          <c:smooth val="0"/>
          <c:extLst>
            <c:ext xmlns:c16="http://schemas.microsoft.com/office/drawing/2014/chart" uri="{C3380CC4-5D6E-409C-BE32-E72D297353CC}">
              <c16:uniqueId val="{00000001-15B9-4025-8FE9-270B6ED140A3}"/>
            </c:ext>
          </c:extLst>
        </c:ser>
        <c:dLbls>
          <c:showLegendKey val="0"/>
          <c:showVal val="0"/>
          <c:showCatName val="0"/>
          <c:showSerName val="0"/>
          <c:showPercent val="0"/>
          <c:showBubbleSize val="0"/>
        </c:dLbls>
        <c:smooth val="0"/>
        <c:axId val="112546944"/>
        <c:axId val="112548480"/>
      </c:lineChart>
      <c:catAx>
        <c:axId val="11254694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112548480"/>
        <c:crosses val="autoZero"/>
        <c:auto val="1"/>
        <c:lblAlgn val="ctr"/>
        <c:lblOffset val="100"/>
        <c:noMultiLvlLbl val="0"/>
      </c:catAx>
      <c:valAx>
        <c:axId val="112548480"/>
        <c:scaling>
          <c:orientation val="minMax"/>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1125469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Analysis!$C$213</c:f>
              <c:strCache>
                <c:ptCount val="1"/>
                <c:pt idx="0">
                  <c:v>Capex/sales - MXN19/$ (base case)</c:v>
                </c:pt>
              </c:strCache>
            </c:strRef>
          </c:tx>
          <c:spPr>
            <a:ln w="25400" cap="rnd">
              <a:solidFill>
                <a:srgbClr val="333399"/>
              </a:solidFill>
              <a:prstDash val="solid"/>
              <a:round/>
            </a:ln>
            <a:effectLst/>
          </c:spPr>
          <c:marker>
            <c:symbol val="none"/>
          </c:marker>
          <c:cat>
            <c:numRef>
              <c:f>Analysis!$D$212:$G$212</c:f>
              <c:numCache>
                <c:formatCode>General</c:formatCode>
                <c:ptCount val="4"/>
                <c:pt idx="0">
                  <c:v>2016</c:v>
                </c:pt>
                <c:pt idx="1">
                  <c:v>2017</c:v>
                </c:pt>
                <c:pt idx="2">
                  <c:v>0</c:v>
                </c:pt>
                <c:pt idx="3">
                  <c:v>0</c:v>
                </c:pt>
              </c:numCache>
            </c:numRef>
          </c:cat>
          <c:val>
            <c:numRef>
              <c:f>Analysis!$D$213:$G$213</c:f>
              <c:numCache>
                <c:formatCode>0.0%</c:formatCode>
                <c:ptCount val="4"/>
                <c:pt idx="0">
                  <c:v>0.28743291855870734</c:v>
                </c:pt>
                <c:pt idx="1">
                  <c:v>0.27141782842598483</c:v>
                </c:pt>
                <c:pt idx="2">
                  <c:v>0.30249027957785596</c:v>
                </c:pt>
                <c:pt idx="3">
                  <c:v>0.36103292677478444</c:v>
                </c:pt>
              </c:numCache>
            </c:numRef>
          </c:val>
          <c:smooth val="0"/>
          <c:extLst>
            <c:ext xmlns:c16="http://schemas.microsoft.com/office/drawing/2014/chart" uri="{C3380CC4-5D6E-409C-BE32-E72D297353CC}">
              <c16:uniqueId val="{00000000-6B6C-40D3-BB52-017EAB4B6A9E}"/>
            </c:ext>
          </c:extLst>
        </c:ser>
        <c:ser>
          <c:idx val="1"/>
          <c:order val="1"/>
          <c:tx>
            <c:strRef>
              <c:f>Analysis!$C$214</c:f>
              <c:strCache>
                <c:ptCount val="1"/>
                <c:pt idx="0">
                  <c:v>Capex/sales - MXN22/$</c:v>
                </c:pt>
              </c:strCache>
            </c:strRef>
          </c:tx>
          <c:spPr>
            <a:ln w="25400" cap="rnd">
              <a:solidFill>
                <a:srgbClr val="99CCFF"/>
              </a:solidFill>
              <a:prstDash val="solid"/>
              <a:round/>
            </a:ln>
            <a:effectLst/>
          </c:spPr>
          <c:marker>
            <c:symbol val="none"/>
          </c:marker>
          <c:cat>
            <c:numRef>
              <c:f>Analysis!$D$212:$G$212</c:f>
              <c:numCache>
                <c:formatCode>General</c:formatCode>
                <c:ptCount val="4"/>
                <c:pt idx="0">
                  <c:v>2016</c:v>
                </c:pt>
                <c:pt idx="1">
                  <c:v>2017</c:v>
                </c:pt>
                <c:pt idx="2">
                  <c:v>0</c:v>
                </c:pt>
                <c:pt idx="3">
                  <c:v>0</c:v>
                </c:pt>
              </c:numCache>
            </c:numRef>
          </c:cat>
          <c:val>
            <c:numRef>
              <c:f>Analysis!$D$214:$G$214</c:f>
              <c:numCache>
                <c:formatCode>0.0%</c:formatCode>
                <c:ptCount val="4"/>
                <c:pt idx="0">
                  <c:v>0.26600000000000001</c:v>
                </c:pt>
                <c:pt idx="1">
                  <c:v>0.28499999999999998</c:v>
                </c:pt>
                <c:pt idx="2">
                  <c:v>0.24748710749952918</c:v>
                </c:pt>
                <c:pt idx="3">
                  <c:v>0.23003197022730565</c:v>
                </c:pt>
              </c:numCache>
            </c:numRef>
          </c:val>
          <c:smooth val="0"/>
          <c:extLst>
            <c:ext xmlns:c16="http://schemas.microsoft.com/office/drawing/2014/chart" uri="{C3380CC4-5D6E-409C-BE32-E72D297353CC}">
              <c16:uniqueId val="{00000001-6B6C-40D3-BB52-017EAB4B6A9E}"/>
            </c:ext>
          </c:extLst>
        </c:ser>
        <c:dLbls>
          <c:showLegendKey val="0"/>
          <c:showVal val="0"/>
          <c:showCatName val="0"/>
          <c:showSerName val="0"/>
          <c:showPercent val="0"/>
          <c:showBubbleSize val="0"/>
        </c:dLbls>
        <c:smooth val="0"/>
        <c:axId val="337675296"/>
        <c:axId val="629942016"/>
      </c:lineChart>
      <c:catAx>
        <c:axId val="33767529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629942016"/>
        <c:crosses val="autoZero"/>
        <c:auto val="1"/>
        <c:lblAlgn val="ctr"/>
        <c:lblOffset val="100"/>
        <c:noMultiLvlLbl val="0"/>
      </c:catAx>
      <c:valAx>
        <c:axId val="629942016"/>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3376752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2265966754156"/>
          <c:y val="4.3173542807942944E-2"/>
          <c:w val="0.85372178477690286"/>
          <c:h val="0.69468795448884335"/>
        </c:manualLayout>
      </c:layout>
      <c:areaChart>
        <c:grouping val="stacked"/>
        <c:varyColors val="0"/>
        <c:ser>
          <c:idx val="0"/>
          <c:order val="0"/>
          <c:tx>
            <c:strRef>
              <c:f>Analysis!$C$255</c:f>
              <c:strCache>
                <c:ptCount val="1"/>
                <c:pt idx="0">
                  <c:v>Video</c:v>
                </c:pt>
              </c:strCache>
            </c:strRef>
          </c:tx>
          <c:spPr>
            <a:solidFill>
              <a:srgbClr val="000080"/>
            </a:solidFill>
            <a:ln w="25400">
              <a:noFill/>
            </a:ln>
            <a:effectLst/>
          </c:spPr>
          <c:cat>
            <c:strRef>
              <c:f>Analysis!$D$248:$AA$248</c:f>
              <c:strCache>
                <c:ptCount val="24"/>
                <c:pt idx="0">
                  <c:v>2011</c:v>
                </c:pt>
                <c:pt idx="1">
                  <c:v>2012</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23">
                  <c:v>Long term</c:v>
                </c:pt>
              </c:strCache>
            </c:strRef>
          </c:cat>
          <c:val>
            <c:numRef>
              <c:f>Analysis!$D$255:$AA$255</c:f>
              <c:numCache>
                <c:formatCode>0</c:formatCode>
                <c:ptCount val="24"/>
                <c:pt idx="0">
                  <c:v>64.57787101803288</c:v>
                </c:pt>
                <c:pt idx="1">
                  <c:v>70.896166809250659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B9DD-429C-B599-746A49D5BAE9}"/>
            </c:ext>
          </c:extLst>
        </c:ser>
        <c:ser>
          <c:idx val="1"/>
          <c:order val="1"/>
          <c:tx>
            <c:strRef>
              <c:f>Analysis!$C$256</c:f>
              <c:strCache>
                <c:ptCount val="1"/>
                <c:pt idx="0">
                  <c:v>Broadband</c:v>
                </c:pt>
              </c:strCache>
            </c:strRef>
          </c:tx>
          <c:spPr>
            <a:solidFill>
              <a:srgbClr val="9999FF"/>
            </a:solidFill>
            <a:ln w="25400">
              <a:noFill/>
            </a:ln>
            <a:effectLst/>
          </c:spPr>
          <c:cat>
            <c:strRef>
              <c:f>Analysis!$D$248:$AA$248</c:f>
              <c:strCache>
                <c:ptCount val="24"/>
                <c:pt idx="0">
                  <c:v>2011</c:v>
                </c:pt>
                <c:pt idx="1">
                  <c:v>2012</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23">
                  <c:v>Long term</c:v>
                </c:pt>
              </c:strCache>
            </c:strRef>
          </c:cat>
          <c:val>
            <c:numRef>
              <c:f>Analysis!$D$256:$AA$256</c:f>
              <c:numCache>
                <c:formatCode>0</c:formatCode>
                <c:ptCount val="24"/>
                <c:pt idx="0">
                  <c:v>20.8221051887352</c:v>
                </c:pt>
                <c:pt idx="1">
                  <c:v>23.151036275646231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B9DD-429C-B599-746A49D5BAE9}"/>
            </c:ext>
          </c:extLst>
        </c:ser>
        <c:ser>
          <c:idx val="2"/>
          <c:order val="2"/>
          <c:tx>
            <c:strRef>
              <c:f>Analysis!$C$257</c:f>
              <c:strCache>
                <c:ptCount val="1"/>
                <c:pt idx="0">
                  <c:v>Voice</c:v>
                </c:pt>
              </c:strCache>
            </c:strRef>
          </c:tx>
          <c:spPr>
            <a:solidFill>
              <a:srgbClr val="3366FF"/>
            </a:solidFill>
            <a:ln w="25400">
              <a:noFill/>
            </a:ln>
            <a:effectLst/>
          </c:spPr>
          <c:cat>
            <c:strRef>
              <c:f>Analysis!$D$248:$AA$248</c:f>
              <c:strCache>
                <c:ptCount val="24"/>
                <c:pt idx="0">
                  <c:v>2011</c:v>
                </c:pt>
                <c:pt idx="1">
                  <c:v>2012</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23">
                  <c:v>Long term</c:v>
                </c:pt>
              </c:strCache>
            </c:strRef>
          </c:cat>
          <c:val>
            <c:numRef>
              <c:f>Analysis!$D$257:$AA$257</c:f>
              <c:numCache>
                <c:formatCode>0</c:formatCode>
                <c:ptCount val="24"/>
                <c:pt idx="0">
                  <c:v>14.600023793231928</c:v>
                </c:pt>
                <c:pt idx="1">
                  <c:v>14.586772284404866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B9DD-429C-B599-746A49D5BAE9}"/>
            </c:ext>
          </c:extLst>
        </c:ser>
        <c:dLbls>
          <c:showLegendKey val="0"/>
          <c:showVal val="0"/>
          <c:showCatName val="0"/>
          <c:showSerName val="0"/>
          <c:showPercent val="0"/>
          <c:showBubbleSize val="0"/>
        </c:dLbls>
        <c:axId val="833802304"/>
        <c:axId val="948978720"/>
      </c:areaChart>
      <c:catAx>
        <c:axId val="83380230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48978720"/>
        <c:crosses val="autoZero"/>
        <c:auto val="1"/>
        <c:lblAlgn val="ctr"/>
        <c:lblOffset val="100"/>
        <c:noMultiLvlLbl val="0"/>
      </c:catAx>
      <c:valAx>
        <c:axId val="9489787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802304"/>
        <c:crosses val="autoZero"/>
        <c:crossBetween val="midCat"/>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333399"/>
              </a:solidFill>
              <a:prstDash val="solid"/>
              <a:round/>
            </a:ln>
            <a:effectLst/>
          </c:spPr>
          <c:marker>
            <c:symbol val="none"/>
          </c:marker>
          <c:cat>
            <c:strRef>
              <c:f>Analysis!$D$264:$M$264</c:f>
              <c:strCache>
                <c:ptCount val="10"/>
                <c:pt idx="0">
                  <c:v>Q1 17</c:v>
                </c:pt>
                <c:pt idx="1">
                  <c:v>Q2 17</c:v>
                </c:pt>
                <c:pt idx="3">
                  <c:v>Q4 17</c:v>
                </c:pt>
                <c:pt idx="4">
                  <c:v>Q1 18</c:v>
                </c:pt>
                <c:pt idx="5">
                  <c:v>Q2 18</c:v>
                </c:pt>
                <c:pt idx="6">
                  <c:v>Q3 18</c:v>
                </c:pt>
                <c:pt idx="7">
                  <c:v>Q4 18</c:v>
                </c:pt>
                <c:pt idx="8">
                  <c:v>Q1 19</c:v>
                </c:pt>
                <c:pt idx="9">
                  <c:v>Q2 19</c:v>
                </c:pt>
              </c:strCache>
            </c:strRef>
          </c:cat>
          <c:val>
            <c:numRef>
              <c:f>Analysis!$D$265:$M$265</c:f>
              <c:numCache>
                <c:formatCode>0.0</c:formatCode>
                <c:ptCount val="10"/>
                <c:pt idx="0">
                  <c:v>178.4</c:v>
                </c:pt>
                <c:pt idx="1">
                  <c:v>178.7</c:v>
                </c:pt>
                <c:pt idx="3">
                  <c:v>177.2</c:v>
                </c:pt>
                <c:pt idx="4">
                  <c:v>181.9</c:v>
                </c:pt>
                <c:pt idx="5">
                  <c:v>179.3</c:v>
                </c:pt>
                <c:pt idx="6">
                  <c:v>178.2</c:v>
                </c:pt>
                <c:pt idx="7">
                  <c:v>179.8</c:v>
                </c:pt>
                <c:pt idx="8">
                  <c:v>182</c:v>
                </c:pt>
                <c:pt idx="9">
                  <c:v>182.7</c:v>
                </c:pt>
              </c:numCache>
            </c:numRef>
          </c:val>
          <c:smooth val="0"/>
          <c:extLst>
            <c:ext xmlns:c16="http://schemas.microsoft.com/office/drawing/2014/chart" uri="{C3380CC4-5D6E-409C-BE32-E72D297353CC}">
              <c16:uniqueId val="{00000000-47CA-4F0E-8BB1-F9076C52E300}"/>
            </c:ext>
          </c:extLst>
        </c:ser>
        <c:dLbls>
          <c:showLegendKey val="0"/>
          <c:showVal val="0"/>
          <c:showCatName val="0"/>
          <c:showSerName val="0"/>
          <c:showPercent val="0"/>
          <c:showBubbleSize val="0"/>
        </c:dLbls>
        <c:smooth val="0"/>
        <c:axId val="1163784000"/>
        <c:axId val="674595424"/>
      </c:lineChart>
      <c:catAx>
        <c:axId val="116378400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74595424"/>
        <c:crosses val="autoZero"/>
        <c:auto val="1"/>
        <c:lblAlgn val="ctr"/>
        <c:lblOffset val="100"/>
        <c:tickMarkSkip val="2"/>
        <c:noMultiLvlLbl val="0"/>
      </c:catAx>
      <c:valAx>
        <c:axId val="674595424"/>
        <c:scaling>
          <c:orientation val="minMax"/>
          <c:min val="174"/>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MXN / 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637840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Trebuchet MS"/>
                <a:ea typeface="Trebuchet MS"/>
                <a:cs typeface="Trebuchet MS"/>
              </a:defRPr>
            </a:pPr>
            <a:r>
              <a:rPr lang="en-GB"/>
              <a:t>Capex</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Trebuchet MS"/>
              <a:ea typeface="Trebuchet MS"/>
              <a:cs typeface="Trebuchet MS"/>
            </a:defRPr>
          </a:pPr>
          <a:endParaRPr lang="en-US"/>
        </a:p>
      </c:txPr>
    </c:title>
    <c:autoTitleDeleted val="0"/>
    <c:plotArea>
      <c:layout/>
      <c:barChart>
        <c:barDir val="col"/>
        <c:grouping val="stacked"/>
        <c:varyColors val="0"/>
        <c:ser>
          <c:idx val="0"/>
          <c:order val="0"/>
          <c:spPr>
            <a:noFill/>
            <a:ln w="25400">
              <a:noFill/>
            </a:ln>
            <a:effectLst/>
          </c:spPr>
          <c:invertIfNegative val="0"/>
          <c:cat>
            <c:strRef>
              <c:f>Analysis!$C$281:$C$285</c:f>
              <c:strCache>
                <c:ptCount val="5"/>
                <c:pt idx="0">
                  <c:v>2019</c:v>
                </c:pt>
                <c:pt idx="1">
                  <c:v>Savings on HFC</c:v>
                </c:pt>
                <c:pt idx="2">
                  <c:v>Home passed cost</c:v>
                </c:pt>
                <c:pt idx="3">
                  <c:v>Home connected cost</c:v>
                </c:pt>
                <c:pt idx="4">
                  <c:v>2020</c:v>
                </c:pt>
              </c:strCache>
            </c:strRef>
          </c:cat>
          <c:val>
            <c:numRef>
              <c:f>Analysis!$D$281:$D$285</c:f>
              <c:numCache>
                <c:formatCode>General</c:formatCode>
                <c:ptCount val="5"/>
                <c:pt idx="0" formatCode="0">
                  <c:v>0</c:v>
                </c:pt>
                <c:pt idx="1">
                  <c:v>265</c:v>
                </c:pt>
                <c:pt idx="2">
                  <c:v>265</c:v>
                </c:pt>
                <c:pt idx="3">
                  <c:v>320</c:v>
                </c:pt>
              </c:numCache>
            </c:numRef>
          </c:val>
          <c:extLst>
            <c:ext xmlns:c16="http://schemas.microsoft.com/office/drawing/2014/chart" uri="{C3380CC4-5D6E-409C-BE32-E72D297353CC}">
              <c16:uniqueId val="{00000000-0B1C-4283-B594-66FB4D6E67C4}"/>
            </c:ext>
          </c:extLst>
        </c:ser>
        <c:ser>
          <c:idx val="1"/>
          <c:order val="1"/>
          <c:spPr>
            <a:solidFill>
              <a:srgbClr val="9999FF"/>
            </a:solidFill>
            <a:ln w="25400">
              <a:noFill/>
            </a:ln>
            <a:effectLst/>
          </c:spPr>
          <c:invertIfNegative val="0"/>
          <c:cat>
            <c:strRef>
              <c:f>Analysis!$C$281:$C$285</c:f>
              <c:strCache>
                <c:ptCount val="5"/>
                <c:pt idx="0">
                  <c:v>2019</c:v>
                </c:pt>
                <c:pt idx="1">
                  <c:v>Savings on HFC</c:v>
                </c:pt>
                <c:pt idx="2">
                  <c:v>Home passed cost</c:v>
                </c:pt>
                <c:pt idx="3">
                  <c:v>Home connected cost</c:v>
                </c:pt>
                <c:pt idx="4">
                  <c:v>2020</c:v>
                </c:pt>
              </c:strCache>
            </c:strRef>
          </c:cat>
          <c:val>
            <c:numRef>
              <c:f>Analysis!$E$281:$E$285</c:f>
              <c:numCache>
                <c:formatCode>0</c:formatCode>
                <c:ptCount val="5"/>
                <c:pt idx="0" formatCode="General">
                  <c:v>323</c:v>
                </c:pt>
                <c:pt idx="1">
                  <c:v>58</c:v>
                </c:pt>
                <c:pt idx="2" formatCode="General">
                  <c:v>55</c:v>
                </c:pt>
                <c:pt idx="3">
                  <c:v>53</c:v>
                </c:pt>
                <c:pt idx="4">
                  <c:v>373</c:v>
                </c:pt>
              </c:numCache>
            </c:numRef>
          </c:val>
          <c:extLst>
            <c:ext xmlns:c16="http://schemas.microsoft.com/office/drawing/2014/chart" uri="{C3380CC4-5D6E-409C-BE32-E72D297353CC}">
              <c16:uniqueId val="{00000001-0B1C-4283-B594-66FB4D6E67C4}"/>
            </c:ext>
          </c:extLst>
        </c:ser>
        <c:dLbls>
          <c:showLegendKey val="0"/>
          <c:showVal val="0"/>
          <c:showCatName val="0"/>
          <c:showSerName val="0"/>
          <c:showPercent val="0"/>
          <c:showBubbleSize val="0"/>
        </c:dLbls>
        <c:gapWidth val="150"/>
        <c:overlap val="100"/>
        <c:axId val="692698544"/>
        <c:axId val="695895744"/>
      </c:barChart>
      <c:catAx>
        <c:axId val="6926985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95895744"/>
        <c:crosses val="autoZero"/>
        <c:auto val="1"/>
        <c:lblAlgn val="ctr"/>
        <c:lblOffset val="100"/>
        <c:noMultiLvlLbl val="0"/>
      </c:catAx>
      <c:valAx>
        <c:axId val="695895744"/>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926985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Analysis!$C$197</c:f>
              <c:strCache>
                <c:ptCount val="1"/>
                <c:pt idx="0">
                  <c:v>MEGA</c:v>
                </c:pt>
              </c:strCache>
            </c:strRef>
          </c:tx>
          <c:spPr>
            <a:solidFill>
              <a:srgbClr val="000080"/>
            </a:solidFill>
            <a:ln w="25400">
              <a:noFill/>
            </a:ln>
            <a:effectLst/>
          </c:spPr>
          <c:invertIfNegative val="0"/>
          <c:cat>
            <c:numRef>
              <c:f>Analysis!$H$196:$O$196</c:f>
              <c:numCache>
                <c:formatCode>General</c:formatCode>
                <c:ptCount val="8"/>
                <c:pt idx="0">
                  <c:v>0</c:v>
                </c:pt>
                <c:pt idx="1">
                  <c:v>0</c:v>
                </c:pt>
                <c:pt idx="2">
                  <c:v>0</c:v>
                </c:pt>
                <c:pt idx="3">
                  <c:v>0</c:v>
                </c:pt>
                <c:pt idx="4">
                  <c:v>0</c:v>
                </c:pt>
                <c:pt idx="5">
                  <c:v>0</c:v>
                </c:pt>
                <c:pt idx="6">
                  <c:v>0</c:v>
                </c:pt>
                <c:pt idx="7">
                  <c:v>0</c:v>
                </c:pt>
              </c:numCache>
            </c:numRef>
          </c:cat>
          <c:val>
            <c:numRef>
              <c:f>Analysis!$H$197:$O$197</c:f>
              <c:numCache>
                <c:formatCode>#,##0</c:formatCode>
                <c:ptCount val="8"/>
                <c:pt idx="0">
                  <c:v>299.64182291666668</c:v>
                </c:pt>
                <c:pt idx="1">
                  <c:v>339.48051948051949</c:v>
                </c:pt>
                <c:pt idx="2">
                  <c:v>404.05</c:v>
                </c:pt>
                <c:pt idx="3">
                  <c:v>466.67157991254754</c:v>
                </c:pt>
                <c:pt idx="4">
                  <c:v>588.85572139303474</c:v>
                </c:pt>
                <c:pt idx="5">
                  <c:v>730.34404963338977</c:v>
                </c:pt>
                <c:pt idx="6">
                  <c:v>642.25266921052344</c:v>
                </c:pt>
                <c:pt idx="7">
                  <c:v>593.38103154389478</c:v>
                </c:pt>
              </c:numCache>
            </c:numRef>
          </c:val>
          <c:extLst>
            <c:ext xmlns:c16="http://schemas.microsoft.com/office/drawing/2014/chart" uri="{C3380CC4-5D6E-409C-BE32-E72D297353CC}">
              <c16:uniqueId val="{00000000-5D20-4F1A-9667-0E5257C5E800}"/>
            </c:ext>
          </c:extLst>
        </c:ser>
        <c:ser>
          <c:idx val="1"/>
          <c:order val="1"/>
          <c:tx>
            <c:strRef>
              <c:f>Analysis!$C$198</c:f>
              <c:strCache>
                <c:ptCount val="1"/>
                <c:pt idx="0">
                  <c:v>TV</c:v>
                </c:pt>
              </c:strCache>
            </c:strRef>
          </c:tx>
          <c:spPr>
            <a:solidFill>
              <a:srgbClr val="9999FF"/>
            </a:solidFill>
            <a:ln w="25400">
              <a:noFill/>
            </a:ln>
            <a:effectLst/>
          </c:spPr>
          <c:invertIfNegative val="0"/>
          <c:cat>
            <c:numRef>
              <c:f>Analysis!$H$196:$O$196</c:f>
              <c:numCache>
                <c:formatCode>General</c:formatCode>
                <c:ptCount val="8"/>
                <c:pt idx="0">
                  <c:v>0</c:v>
                </c:pt>
                <c:pt idx="1">
                  <c:v>0</c:v>
                </c:pt>
                <c:pt idx="2">
                  <c:v>0</c:v>
                </c:pt>
                <c:pt idx="3">
                  <c:v>0</c:v>
                </c:pt>
                <c:pt idx="4">
                  <c:v>0</c:v>
                </c:pt>
                <c:pt idx="5">
                  <c:v>0</c:v>
                </c:pt>
                <c:pt idx="6">
                  <c:v>0</c:v>
                </c:pt>
                <c:pt idx="7">
                  <c:v>0</c:v>
                </c:pt>
              </c:numCache>
            </c:numRef>
          </c:cat>
          <c:val>
            <c:numRef>
              <c:f>Analysis!$H$198:$O$198</c:f>
              <c:numCache>
                <c:formatCode>#,##0</c:formatCode>
                <c:ptCount val="8"/>
                <c:pt idx="0">
                  <c:v>666.73177083333337</c:v>
                </c:pt>
                <c:pt idx="1">
                  <c:v>646.5472987012987</c:v>
                </c:pt>
                <c:pt idx="2">
                  <c:v>565.25744562500017</c:v>
                </c:pt>
                <c:pt idx="3">
                  <c:v>577.81636911852445</c:v>
                </c:pt>
                <c:pt idx="4">
                  <c:v>603.55321573217941</c:v>
                </c:pt>
                <c:pt idx="5">
                  <c:v>738.96972403351106</c:v>
                </c:pt>
                <c:pt idx="6">
                  <c:v>832.35810962842845</c:v>
                </c:pt>
                <c:pt idx="7">
                  <c:v>898.94675839870274</c:v>
                </c:pt>
              </c:numCache>
            </c:numRef>
          </c:val>
          <c:extLst>
            <c:ext xmlns:c16="http://schemas.microsoft.com/office/drawing/2014/chart" uri="{C3380CC4-5D6E-409C-BE32-E72D297353CC}">
              <c16:uniqueId val="{00000001-5D20-4F1A-9667-0E5257C5E800}"/>
            </c:ext>
          </c:extLst>
        </c:ser>
        <c:dLbls>
          <c:showLegendKey val="0"/>
          <c:showVal val="0"/>
          <c:showCatName val="0"/>
          <c:showSerName val="0"/>
          <c:showPercent val="0"/>
          <c:showBubbleSize val="0"/>
        </c:dLbls>
        <c:gapWidth val="219"/>
        <c:overlap val="-27"/>
        <c:axId val="338794080"/>
        <c:axId val="806100256"/>
      </c:barChart>
      <c:catAx>
        <c:axId val="3387940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06100256"/>
        <c:crosses val="autoZero"/>
        <c:auto val="1"/>
        <c:lblAlgn val="ctr"/>
        <c:lblOffset val="100"/>
        <c:noMultiLvlLbl val="0"/>
      </c:catAx>
      <c:valAx>
        <c:axId val="806100256"/>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387940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Analysis!$C$207</c:f>
              <c:strCache>
                <c:ptCount val="1"/>
                <c:pt idx="0">
                  <c:v>MEGA</c:v>
                </c:pt>
              </c:strCache>
            </c:strRef>
          </c:tx>
          <c:spPr>
            <a:solidFill>
              <a:srgbClr val="000080"/>
            </a:solidFill>
            <a:ln w="25400">
              <a:noFill/>
            </a:ln>
            <a:effectLst/>
          </c:spPr>
          <c:invertIfNegative val="0"/>
          <c:cat>
            <c:numRef>
              <c:f>Analysis!$H$196:$O$196</c:f>
              <c:numCache>
                <c:formatCode>General</c:formatCode>
                <c:ptCount val="8"/>
                <c:pt idx="0">
                  <c:v>0</c:v>
                </c:pt>
                <c:pt idx="1">
                  <c:v>0</c:v>
                </c:pt>
                <c:pt idx="2">
                  <c:v>0</c:v>
                </c:pt>
                <c:pt idx="3">
                  <c:v>0</c:v>
                </c:pt>
                <c:pt idx="4">
                  <c:v>0</c:v>
                </c:pt>
                <c:pt idx="5">
                  <c:v>0</c:v>
                </c:pt>
                <c:pt idx="6">
                  <c:v>0</c:v>
                </c:pt>
                <c:pt idx="7">
                  <c:v>0</c:v>
                </c:pt>
              </c:numCache>
            </c:numRef>
          </c:cat>
          <c:val>
            <c:numRef>
              <c:f>Analysis!$H$207:$O$207</c:f>
              <c:numCache>
                <c:formatCode>#,##0</c:formatCode>
                <c:ptCount val="8"/>
                <c:pt idx="0">
                  <c:v>83.395998585211998</c:v>
                </c:pt>
                <c:pt idx="1">
                  <c:v>93.57235928349489</c:v>
                </c:pt>
                <c:pt idx="2">
                  <c:v>102.73328248156623</c:v>
                </c:pt>
                <c:pt idx="3">
                  <c:v>112.36848027786529</c:v>
                </c:pt>
                <c:pt idx="4">
                  <c:v>133.89188830021934</c:v>
                </c:pt>
                <c:pt idx="5">
                  <c:v>147.66877153247805</c:v>
                </c:pt>
                <c:pt idx="6">
                  <c:v>115.37722310444252</c:v>
                </c:pt>
                <c:pt idx="7">
                  <c:v>99.504281959545423</c:v>
                </c:pt>
              </c:numCache>
            </c:numRef>
          </c:val>
          <c:extLst>
            <c:ext xmlns:c16="http://schemas.microsoft.com/office/drawing/2014/chart" uri="{C3380CC4-5D6E-409C-BE32-E72D297353CC}">
              <c16:uniqueId val="{00000000-3C50-43F9-B24C-615EF7555F1D}"/>
            </c:ext>
          </c:extLst>
        </c:ser>
        <c:ser>
          <c:idx val="1"/>
          <c:order val="1"/>
          <c:tx>
            <c:strRef>
              <c:f>Analysis!$C$208</c:f>
              <c:strCache>
                <c:ptCount val="1"/>
                <c:pt idx="0">
                  <c:v>TV</c:v>
                </c:pt>
              </c:strCache>
            </c:strRef>
          </c:tx>
          <c:spPr>
            <a:solidFill>
              <a:srgbClr val="9999FF"/>
            </a:solidFill>
            <a:ln w="25400">
              <a:noFill/>
            </a:ln>
            <a:effectLst/>
          </c:spPr>
          <c:invertIfNegative val="0"/>
          <c:cat>
            <c:numRef>
              <c:f>Analysis!$H$196:$O$196</c:f>
              <c:numCache>
                <c:formatCode>General</c:formatCode>
                <c:ptCount val="8"/>
                <c:pt idx="0">
                  <c:v>0</c:v>
                </c:pt>
                <c:pt idx="1">
                  <c:v>0</c:v>
                </c:pt>
                <c:pt idx="2">
                  <c:v>0</c:v>
                </c:pt>
                <c:pt idx="3">
                  <c:v>0</c:v>
                </c:pt>
                <c:pt idx="4">
                  <c:v>0</c:v>
                </c:pt>
                <c:pt idx="5">
                  <c:v>0</c:v>
                </c:pt>
                <c:pt idx="6">
                  <c:v>0</c:v>
                </c:pt>
                <c:pt idx="7">
                  <c:v>0</c:v>
                </c:pt>
              </c:numCache>
            </c:numRef>
          </c:cat>
          <c:val>
            <c:numRef>
              <c:f>Analysis!$H$208:$O$208</c:f>
              <c:numCache>
                <c:formatCode>#,##0</c:formatCode>
                <c:ptCount val="8"/>
                <c:pt idx="0">
                  <c:v>116.3237203706787</c:v>
                </c:pt>
                <c:pt idx="1">
                  <c:v>110.92754799358607</c:v>
                </c:pt>
                <c:pt idx="2">
                  <c:v>96.358889470001102</c:v>
                </c:pt>
                <c:pt idx="3">
                  <c:v>96.010502531491099</c:v>
                </c:pt>
                <c:pt idx="4">
                  <c:v>97.791274997205619</c:v>
                </c:pt>
                <c:pt idx="5">
                  <c:v>117.00136219617791</c:v>
                </c:pt>
                <c:pt idx="6">
                  <c:v>128.81844200381329</c:v>
                </c:pt>
                <c:pt idx="7">
                  <c:v>136.02643808098688</c:v>
                </c:pt>
              </c:numCache>
            </c:numRef>
          </c:val>
          <c:extLst>
            <c:ext xmlns:c16="http://schemas.microsoft.com/office/drawing/2014/chart" uri="{C3380CC4-5D6E-409C-BE32-E72D297353CC}">
              <c16:uniqueId val="{00000001-3C50-43F9-B24C-615EF7555F1D}"/>
            </c:ext>
          </c:extLst>
        </c:ser>
        <c:dLbls>
          <c:showLegendKey val="0"/>
          <c:showVal val="0"/>
          <c:showCatName val="0"/>
          <c:showSerName val="0"/>
          <c:showPercent val="0"/>
          <c:showBubbleSize val="0"/>
        </c:dLbls>
        <c:gapWidth val="219"/>
        <c:overlap val="-27"/>
        <c:axId val="338794080"/>
        <c:axId val="806100256"/>
      </c:barChart>
      <c:catAx>
        <c:axId val="3387940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06100256"/>
        <c:crosses val="autoZero"/>
        <c:auto val="1"/>
        <c:lblAlgn val="ctr"/>
        <c:lblOffset val="100"/>
        <c:noMultiLvlLbl val="0"/>
      </c:catAx>
      <c:valAx>
        <c:axId val="806100256"/>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Capex/sub, USD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387940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Analysis!$U$331</c:f>
              <c:strCache>
                <c:ptCount val="1"/>
                <c:pt idx="0">
                  <c:v>MEGA </c:v>
                </c:pt>
              </c:strCache>
            </c:strRef>
          </c:tx>
          <c:spPr>
            <a:solidFill>
              <a:srgbClr val="000080"/>
            </a:solidFill>
            <a:ln w="25400">
              <a:noFill/>
            </a:ln>
            <a:effectLst/>
          </c:spPr>
          <c:invertIfNegative val="0"/>
          <c:cat>
            <c:strRef>
              <c:f>Analysis!$R$332:$R$363</c:f>
              <c:strCache>
                <c:ptCount val="32"/>
                <c:pt idx="0">
                  <c:v>Sonora</c:v>
                </c:pt>
                <c:pt idx="1">
                  <c:v>Sinaloa</c:v>
                </c:pt>
                <c:pt idx="2">
                  <c:v>Durango</c:v>
                </c:pt>
                <c:pt idx="3">
                  <c:v>Michoacan de Ocampo</c:v>
                </c:pt>
                <c:pt idx="4">
                  <c:v>Guanajuato</c:v>
                </c:pt>
                <c:pt idx="5">
                  <c:v>Queretaro</c:v>
                </c:pt>
                <c:pt idx="6">
                  <c:v>Nayarit</c:v>
                </c:pt>
                <c:pt idx="7">
                  <c:v>Chiapas</c:v>
                </c:pt>
                <c:pt idx="8">
                  <c:v>Colima</c:v>
                </c:pt>
                <c:pt idx="9">
                  <c:v>Puebla</c:v>
                </c:pt>
                <c:pt idx="10">
                  <c:v>Morellos</c:v>
                </c:pt>
                <c:pt idx="11">
                  <c:v>Zacatecas</c:v>
                </c:pt>
                <c:pt idx="12">
                  <c:v>Baja California Sur</c:v>
                </c:pt>
                <c:pt idx="13">
                  <c:v>Veracruz de Ignacio de la Llave</c:v>
                </c:pt>
                <c:pt idx="14">
                  <c:v>Jalisco</c:v>
                </c:pt>
                <c:pt idx="15">
                  <c:v>Coahuila de Zaragoza</c:v>
                </c:pt>
                <c:pt idx="16">
                  <c:v>Oaxaca</c:v>
                </c:pt>
                <c:pt idx="17">
                  <c:v>Mexico State</c:v>
                </c:pt>
                <c:pt idx="18">
                  <c:v>Guererro</c:v>
                </c:pt>
                <c:pt idx="19">
                  <c:v>Hidalgo</c:v>
                </c:pt>
                <c:pt idx="20">
                  <c:v>Campeche</c:v>
                </c:pt>
                <c:pt idx="21">
                  <c:v>Tlaxcala</c:v>
                </c:pt>
                <c:pt idx="22">
                  <c:v>Chihuahua</c:v>
                </c:pt>
                <c:pt idx="23">
                  <c:v>Baja California</c:v>
                </c:pt>
                <c:pt idx="24">
                  <c:v>Aguascalier</c:v>
                </c:pt>
                <c:pt idx="25">
                  <c:v>Ciudad de Mexico</c:v>
                </c:pt>
                <c:pt idx="26">
                  <c:v>Nuevo Leon</c:v>
                </c:pt>
                <c:pt idx="27">
                  <c:v>Quintana Roo</c:v>
                </c:pt>
                <c:pt idx="28">
                  <c:v>San Luis Potosi</c:v>
                </c:pt>
                <c:pt idx="29">
                  <c:v>Tabasco</c:v>
                </c:pt>
                <c:pt idx="30">
                  <c:v>Tamaulipas</c:v>
                </c:pt>
                <c:pt idx="31">
                  <c:v>Yucatan</c:v>
                </c:pt>
              </c:strCache>
            </c:strRef>
          </c:cat>
          <c:val>
            <c:numRef>
              <c:f>Analysis!$U$332:$U$363</c:f>
              <c:numCache>
                <c:formatCode>0%</c:formatCode>
                <c:ptCount val="32"/>
                <c:pt idx="0">
                  <c:v>0.59097366137060059</c:v>
                </c:pt>
                <c:pt idx="1">
                  <c:v>0.59072287180253868</c:v>
                </c:pt>
                <c:pt idx="2">
                  <c:v>0.49932053975719953</c:v>
                </c:pt>
                <c:pt idx="3">
                  <c:v>0.49860764311953509</c:v>
                </c:pt>
                <c:pt idx="4">
                  <c:v>0.39168989652868241</c:v>
                </c:pt>
                <c:pt idx="5">
                  <c:v>0.39115802104372088</c:v>
                </c:pt>
                <c:pt idx="6">
                  <c:v>0.38163244788990414</c:v>
                </c:pt>
                <c:pt idx="7">
                  <c:v>0.35701837356351801</c:v>
                </c:pt>
                <c:pt idx="8">
                  <c:v>0.35038415022056307</c:v>
                </c:pt>
                <c:pt idx="9">
                  <c:v>0.34967784796252788</c:v>
                </c:pt>
                <c:pt idx="10">
                  <c:v>0.33624596622734987</c:v>
                </c:pt>
                <c:pt idx="11">
                  <c:v>0.30490298883603983</c:v>
                </c:pt>
                <c:pt idx="12">
                  <c:v>0.26786504056174532</c:v>
                </c:pt>
                <c:pt idx="13">
                  <c:v>0.24404547609848617</c:v>
                </c:pt>
                <c:pt idx="14">
                  <c:v>0.24072295337038438</c:v>
                </c:pt>
                <c:pt idx="15">
                  <c:v>0.18426893429112931</c:v>
                </c:pt>
                <c:pt idx="16">
                  <c:v>0.15413725293393851</c:v>
                </c:pt>
                <c:pt idx="17">
                  <c:v>9.9348305878729892E-2</c:v>
                </c:pt>
                <c:pt idx="18">
                  <c:v>5.4585001199600976E-2</c:v>
                </c:pt>
                <c:pt idx="19">
                  <c:v>2.6127268171164928E-2</c:v>
                </c:pt>
                <c:pt idx="20">
                  <c:v>2.0080240722166499E-2</c:v>
                </c:pt>
                <c:pt idx="21">
                  <c:v>1.6093242183122268E-2</c:v>
                </c:pt>
                <c:pt idx="22">
                  <c:v>1.244195378570335E-2</c:v>
                </c:pt>
                <c:pt idx="23">
                  <c:v>4.0118444932658323E-3</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DAC-4F58-8B16-574F887C315E}"/>
            </c:ext>
          </c:extLst>
        </c:ser>
        <c:ser>
          <c:idx val="1"/>
          <c:order val="1"/>
          <c:tx>
            <c:strRef>
              <c:f>Analysis!$S$331</c:f>
              <c:strCache>
                <c:ptCount val="1"/>
                <c:pt idx="0">
                  <c:v>Total Play</c:v>
                </c:pt>
              </c:strCache>
            </c:strRef>
          </c:tx>
          <c:spPr>
            <a:solidFill>
              <a:srgbClr val="9999FF"/>
            </a:solidFill>
            <a:ln w="25400">
              <a:noFill/>
            </a:ln>
            <a:effectLst/>
          </c:spPr>
          <c:invertIfNegative val="0"/>
          <c:cat>
            <c:strRef>
              <c:f>Analysis!$R$332:$R$363</c:f>
              <c:strCache>
                <c:ptCount val="32"/>
                <c:pt idx="0">
                  <c:v>Sonora</c:v>
                </c:pt>
                <c:pt idx="1">
                  <c:v>Sinaloa</c:v>
                </c:pt>
                <c:pt idx="2">
                  <c:v>Durango</c:v>
                </c:pt>
                <c:pt idx="3">
                  <c:v>Michoacan de Ocampo</c:v>
                </c:pt>
                <c:pt idx="4">
                  <c:v>Guanajuato</c:v>
                </c:pt>
                <c:pt idx="5">
                  <c:v>Queretaro</c:v>
                </c:pt>
                <c:pt idx="6">
                  <c:v>Nayarit</c:v>
                </c:pt>
                <c:pt idx="7">
                  <c:v>Chiapas</c:v>
                </c:pt>
                <c:pt idx="8">
                  <c:v>Colima</c:v>
                </c:pt>
                <c:pt idx="9">
                  <c:v>Puebla</c:v>
                </c:pt>
                <c:pt idx="10">
                  <c:v>Morellos</c:v>
                </c:pt>
                <c:pt idx="11">
                  <c:v>Zacatecas</c:v>
                </c:pt>
                <c:pt idx="12">
                  <c:v>Baja California Sur</c:v>
                </c:pt>
                <c:pt idx="13">
                  <c:v>Veracruz de Ignacio de la Llave</c:v>
                </c:pt>
                <c:pt idx="14">
                  <c:v>Jalisco</c:v>
                </c:pt>
                <c:pt idx="15">
                  <c:v>Coahuila de Zaragoza</c:v>
                </c:pt>
                <c:pt idx="16">
                  <c:v>Oaxaca</c:v>
                </c:pt>
                <c:pt idx="17">
                  <c:v>Mexico State</c:v>
                </c:pt>
                <c:pt idx="18">
                  <c:v>Guererro</c:v>
                </c:pt>
                <c:pt idx="19">
                  <c:v>Hidalgo</c:v>
                </c:pt>
                <c:pt idx="20">
                  <c:v>Campeche</c:v>
                </c:pt>
                <c:pt idx="21">
                  <c:v>Tlaxcala</c:v>
                </c:pt>
                <c:pt idx="22">
                  <c:v>Chihuahua</c:v>
                </c:pt>
                <c:pt idx="23">
                  <c:v>Baja California</c:v>
                </c:pt>
                <c:pt idx="24">
                  <c:v>Aguascalier</c:v>
                </c:pt>
                <c:pt idx="25">
                  <c:v>Ciudad de Mexico</c:v>
                </c:pt>
                <c:pt idx="26">
                  <c:v>Nuevo Leon</c:v>
                </c:pt>
                <c:pt idx="27">
                  <c:v>Quintana Roo</c:v>
                </c:pt>
                <c:pt idx="28">
                  <c:v>San Luis Potosi</c:v>
                </c:pt>
                <c:pt idx="29">
                  <c:v>Tabasco</c:v>
                </c:pt>
                <c:pt idx="30">
                  <c:v>Tamaulipas</c:v>
                </c:pt>
                <c:pt idx="31">
                  <c:v>Yucatan</c:v>
                </c:pt>
              </c:strCache>
            </c:strRef>
          </c:cat>
          <c:val>
            <c:numRef>
              <c:f>Analysis!$S$332:$S$363</c:f>
              <c:numCache>
                <c:formatCode>0%</c:formatCode>
                <c:ptCount val="32"/>
                <c:pt idx="0">
                  <c:v>3.5230352303523035E-3</c:v>
                </c:pt>
                <c:pt idx="1">
                  <c:v>7.724364764438021E-4</c:v>
                </c:pt>
                <c:pt idx="2">
                  <c:v>4.7637433997081583E-4</c:v>
                </c:pt>
                <c:pt idx="3">
                  <c:v>2.5328328497875495E-2</c:v>
                </c:pt>
                <c:pt idx="4">
                  <c:v>0</c:v>
                </c:pt>
                <c:pt idx="5">
                  <c:v>3.133751523008993E-2</c:v>
                </c:pt>
                <c:pt idx="6">
                  <c:v>1.2119925828288018E-3</c:v>
                </c:pt>
                <c:pt idx="7">
                  <c:v>8.7585369668352342E-3</c:v>
                </c:pt>
                <c:pt idx="8">
                  <c:v>1.3981809665625022E-4</c:v>
                </c:pt>
                <c:pt idx="9">
                  <c:v>9.9433426619131696E-2</c:v>
                </c:pt>
                <c:pt idx="10">
                  <c:v>8.0362895597601527E-2</c:v>
                </c:pt>
                <c:pt idx="11">
                  <c:v>1.5062945732841277E-4</c:v>
                </c:pt>
                <c:pt idx="12">
                  <c:v>8.4819183675942256E-5</c:v>
                </c:pt>
                <c:pt idx="13">
                  <c:v>6.5886120965192654E-2</c:v>
                </c:pt>
                <c:pt idx="14">
                  <c:v>0.13377568633198592</c:v>
                </c:pt>
                <c:pt idx="15">
                  <c:v>6.4153288531538172E-3</c:v>
                </c:pt>
                <c:pt idx="16">
                  <c:v>3.419985353540986E-4</c:v>
                </c:pt>
                <c:pt idx="17">
                  <c:v>0.13540138520431419</c:v>
                </c:pt>
                <c:pt idx="18">
                  <c:v>1.6731276754258583E-4</c:v>
                </c:pt>
                <c:pt idx="19">
                  <c:v>0.1235204374935511</c:v>
                </c:pt>
                <c:pt idx="20">
                  <c:v>6.5195586760280846E-4</c:v>
                </c:pt>
                <c:pt idx="21">
                  <c:v>1.5689790429227837E-4</c:v>
                </c:pt>
                <c:pt idx="22">
                  <c:v>0.13240335682243076</c:v>
                </c:pt>
                <c:pt idx="23">
                  <c:v>7.7908731113200527E-2</c:v>
                </c:pt>
                <c:pt idx="24">
                  <c:v>0.13817203031662456</c:v>
                </c:pt>
                <c:pt idx="25">
                  <c:v>0.12498902967887979</c:v>
                </c:pt>
                <c:pt idx="26">
                  <c:v>7.8946456252413269E-2</c:v>
                </c:pt>
                <c:pt idx="27">
                  <c:v>7.3289933556093256E-2</c:v>
                </c:pt>
                <c:pt idx="28">
                  <c:v>0.19491382093820631</c:v>
                </c:pt>
                <c:pt idx="29">
                  <c:v>1.4338973329509608E-3</c:v>
                </c:pt>
                <c:pt idx="30">
                  <c:v>4.6937504301134087E-4</c:v>
                </c:pt>
                <c:pt idx="31">
                  <c:v>8.6120702984074621E-2</c:v>
                </c:pt>
              </c:numCache>
            </c:numRef>
          </c:val>
          <c:extLst>
            <c:ext xmlns:c16="http://schemas.microsoft.com/office/drawing/2014/chart" uri="{C3380CC4-5D6E-409C-BE32-E72D297353CC}">
              <c16:uniqueId val="{00000001-EDAC-4F58-8B16-574F887C315E}"/>
            </c:ext>
          </c:extLst>
        </c:ser>
        <c:dLbls>
          <c:showLegendKey val="0"/>
          <c:showVal val="0"/>
          <c:showCatName val="0"/>
          <c:showSerName val="0"/>
          <c:showPercent val="0"/>
          <c:showBubbleSize val="0"/>
        </c:dLbls>
        <c:gapWidth val="219"/>
        <c:overlap val="-27"/>
        <c:axId val="655097112"/>
        <c:axId val="655094488"/>
      </c:barChart>
      <c:catAx>
        <c:axId val="655097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55094488"/>
        <c:crosses val="autoZero"/>
        <c:auto val="1"/>
        <c:lblAlgn val="ctr"/>
        <c:lblOffset val="100"/>
        <c:noMultiLvlLbl val="0"/>
      </c:catAx>
      <c:valAx>
        <c:axId val="655094488"/>
        <c:scaling>
          <c:orientation val="minMax"/>
          <c:max val="0.60000000000000009"/>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5509711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Analysis!$C$394</c:f>
              <c:strCache>
                <c:ptCount val="1"/>
                <c:pt idx="0">
                  <c:v>Cable revenue</c:v>
                </c:pt>
              </c:strCache>
            </c:strRef>
          </c:tx>
          <c:spPr>
            <a:ln w="25400" cap="rnd">
              <a:solidFill>
                <a:srgbClr val="333399"/>
              </a:solidFill>
              <a:prstDash val="solid"/>
              <a:round/>
            </a:ln>
            <a:effectLst/>
          </c:spPr>
          <c:marker>
            <c:symbol val="none"/>
          </c:marker>
          <c:cat>
            <c:strRef>
              <c:f>Analysis!$D$393:$K$393</c:f>
              <c:strCache>
                <c:ptCount val="8"/>
                <c:pt idx="0">
                  <c:v>Q1 19</c:v>
                </c:pt>
                <c:pt idx="1">
                  <c:v>Q2 19</c:v>
                </c:pt>
                <c:pt idx="3">
                  <c:v>Q4 19</c:v>
                </c:pt>
                <c:pt idx="4">
                  <c:v>Q1 20</c:v>
                </c:pt>
                <c:pt idx="5">
                  <c:v>Q2 20</c:v>
                </c:pt>
                <c:pt idx="6">
                  <c:v>Q3 20e</c:v>
                </c:pt>
                <c:pt idx="7">
                  <c:v>Q4 20e</c:v>
                </c:pt>
              </c:strCache>
            </c:strRef>
          </c:cat>
          <c:val>
            <c:numRef>
              <c:f>Analysis!$D$394:$K$394</c:f>
              <c:numCache>
                <c:formatCode>0.0%</c:formatCode>
                <c:ptCount val="8"/>
                <c:pt idx="0">
                  <c:v>9.2518063498788106E-2</c:v>
                </c:pt>
                <c:pt idx="1">
                  <c:v>0.11523843993953453</c:v>
                </c:pt>
                <c:pt idx="3">
                  <c:v>7.4444788946657736E-2</c:v>
                </c:pt>
                <c:pt idx="4">
                  <c:v>7.9387117621714909E-2</c:v>
                </c:pt>
                <c:pt idx="5">
                  <c:v>1.350615526185317E-2</c:v>
                </c:pt>
                <c:pt idx="6">
                  <c:v>0</c:v>
                </c:pt>
                <c:pt idx="7">
                  <c:v>0</c:v>
                </c:pt>
              </c:numCache>
            </c:numRef>
          </c:val>
          <c:smooth val="0"/>
          <c:extLst>
            <c:ext xmlns:c16="http://schemas.microsoft.com/office/drawing/2014/chart" uri="{C3380CC4-5D6E-409C-BE32-E72D297353CC}">
              <c16:uniqueId val="{00000000-A287-4B92-807E-CF3615519371}"/>
            </c:ext>
          </c:extLst>
        </c:ser>
        <c:ser>
          <c:idx val="1"/>
          <c:order val="1"/>
          <c:tx>
            <c:strRef>
              <c:f>Analysis!$C$396</c:f>
              <c:strCache>
                <c:ptCount val="1"/>
                <c:pt idx="0">
                  <c:v>Cable EBITDA</c:v>
                </c:pt>
              </c:strCache>
            </c:strRef>
          </c:tx>
          <c:spPr>
            <a:ln w="25400" cap="rnd">
              <a:solidFill>
                <a:srgbClr val="99CCFF"/>
              </a:solidFill>
              <a:prstDash val="solid"/>
              <a:round/>
            </a:ln>
            <a:effectLst/>
          </c:spPr>
          <c:marker>
            <c:symbol val="none"/>
          </c:marker>
          <c:cat>
            <c:strRef>
              <c:f>Analysis!$D$393:$K$393</c:f>
              <c:strCache>
                <c:ptCount val="8"/>
                <c:pt idx="0">
                  <c:v>Q1 19</c:v>
                </c:pt>
                <c:pt idx="1">
                  <c:v>Q2 19</c:v>
                </c:pt>
                <c:pt idx="3">
                  <c:v>Q4 19</c:v>
                </c:pt>
                <c:pt idx="4">
                  <c:v>Q1 20</c:v>
                </c:pt>
                <c:pt idx="5">
                  <c:v>Q2 20</c:v>
                </c:pt>
                <c:pt idx="6">
                  <c:v>Q3 20e</c:v>
                </c:pt>
                <c:pt idx="7">
                  <c:v>Q4 20e</c:v>
                </c:pt>
              </c:strCache>
            </c:strRef>
          </c:cat>
          <c:val>
            <c:numRef>
              <c:f>Analysis!$D$396:$K$396</c:f>
              <c:numCache>
                <c:formatCode>0.0%</c:formatCode>
                <c:ptCount val="8"/>
                <c:pt idx="0">
                  <c:v>3.671854742201619E-2</c:v>
                </c:pt>
                <c:pt idx="1">
                  <c:v>6.6776619600941167E-2</c:v>
                </c:pt>
                <c:pt idx="3">
                  <c:v>4.2913640778944551E-2</c:v>
                </c:pt>
                <c:pt idx="4">
                  <c:v>7.1380075634125628E-2</c:v>
                </c:pt>
                <c:pt idx="5">
                  <c:v>1.2273895225092923E-2</c:v>
                </c:pt>
                <c:pt idx="6">
                  <c:v>0</c:v>
                </c:pt>
                <c:pt idx="7">
                  <c:v>0</c:v>
                </c:pt>
              </c:numCache>
            </c:numRef>
          </c:val>
          <c:smooth val="0"/>
          <c:extLst>
            <c:ext xmlns:c16="http://schemas.microsoft.com/office/drawing/2014/chart" uri="{C3380CC4-5D6E-409C-BE32-E72D297353CC}">
              <c16:uniqueId val="{00000001-A287-4B92-807E-CF3615519371}"/>
            </c:ext>
          </c:extLst>
        </c:ser>
        <c:ser>
          <c:idx val="2"/>
          <c:order val="2"/>
          <c:tx>
            <c:strRef>
              <c:f>Analysis!$C$395</c:f>
              <c:strCache>
                <c:ptCount val="1"/>
                <c:pt idx="0">
                  <c:v>OTT adj revenue</c:v>
                </c:pt>
              </c:strCache>
            </c:strRef>
          </c:tx>
          <c:spPr>
            <a:ln w="25400" cap="rnd">
              <a:solidFill>
                <a:srgbClr val="333399"/>
              </a:solidFill>
              <a:prstDash val="lgDash"/>
              <a:round/>
            </a:ln>
            <a:effectLst/>
          </c:spPr>
          <c:marker>
            <c:symbol val="none"/>
          </c:marker>
          <c:val>
            <c:numRef>
              <c:f>Analysis!$D$395:$K$395</c:f>
              <c:numCache>
                <c:formatCode>0.0%</c:formatCode>
                <c:ptCount val="8"/>
                <c:pt idx="0">
                  <c:v>9.2518063498788106E-2</c:v>
                </c:pt>
                <c:pt idx="1">
                  <c:v>0.11523843993953453</c:v>
                </c:pt>
                <c:pt idx="3">
                  <c:v>7.4444788946657736E-2</c:v>
                </c:pt>
                <c:pt idx="4">
                  <c:v>7.9387117621714909E-2</c:v>
                </c:pt>
                <c:pt idx="5">
                  <c:v>1.350615526185317E-2</c:v>
                </c:pt>
                <c:pt idx="6">
                  <c:v>0</c:v>
                </c:pt>
                <c:pt idx="7">
                  <c:v>0</c:v>
                </c:pt>
              </c:numCache>
            </c:numRef>
          </c:val>
          <c:smooth val="0"/>
          <c:extLst>
            <c:ext xmlns:c16="http://schemas.microsoft.com/office/drawing/2014/chart" uri="{C3380CC4-5D6E-409C-BE32-E72D297353CC}">
              <c16:uniqueId val="{00000000-6354-4269-8DC0-22197B73A378}"/>
            </c:ext>
          </c:extLst>
        </c:ser>
        <c:dLbls>
          <c:showLegendKey val="0"/>
          <c:showVal val="0"/>
          <c:showCatName val="0"/>
          <c:showSerName val="0"/>
          <c:showPercent val="0"/>
          <c:showBubbleSize val="0"/>
        </c:dLbls>
        <c:smooth val="0"/>
        <c:axId val="752482248"/>
        <c:axId val="752480608"/>
      </c:lineChart>
      <c:catAx>
        <c:axId val="75248224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52480608"/>
        <c:crosses val="autoZero"/>
        <c:auto val="1"/>
        <c:lblAlgn val="ctr"/>
        <c:lblOffset val="100"/>
        <c:noMultiLvlLbl val="0"/>
      </c:catAx>
      <c:valAx>
        <c:axId val="75248060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524822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Analysis!$D$416</c:f>
              <c:strCache>
                <c:ptCount val="1"/>
                <c:pt idx="0">
                  <c:v>2021</c:v>
                </c:pt>
              </c:strCache>
            </c:strRef>
          </c:tx>
          <c:spPr>
            <a:solidFill>
              <a:srgbClr val="000080"/>
            </a:solidFill>
            <a:ln w="25400">
              <a:noFill/>
            </a:ln>
            <a:effectLst/>
          </c:spPr>
          <c:invertIfNegative val="0"/>
          <c:cat>
            <c:strRef>
              <c:f>Analysis!$C$417:$C$419</c:f>
              <c:strCache>
                <c:ptCount val="3"/>
                <c:pt idx="0">
                  <c:v>MEGA</c:v>
                </c:pt>
                <c:pt idx="1">
                  <c:v>Televisa</c:v>
                </c:pt>
                <c:pt idx="2">
                  <c:v>AMX</c:v>
                </c:pt>
              </c:strCache>
            </c:strRef>
          </c:cat>
          <c:val>
            <c:numRef>
              <c:f>Analysis!$D$417:$D$419</c:f>
              <c:numCache>
                <c:formatCode>0.0%</c:formatCode>
                <c:ptCount val="3"/>
                <c:pt idx="0">
                  <c:v>8.0632806337203114E-3</c:v>
                </c:pt>
                <c:pt idx="1">
                  <c:v>0</c:v>
                </c:pt>
                <c:pt idx="2">
                  <c:v>0.10043245449428712</c:v>
                </c:pt>
              </c:numCache>
            </c:numRef>
          </c:val>
          <c:extLst>
            <c:ext xmlns:c16="http://schemas.microsoft.com/office/drawing/2014/chart" uri="{C3380CC4-5D6E-409C-BE32-E72D297353CC}">
              <c16:uniqueId val="{00000000-2423-4C17-BE51-FE28C4B3272C}"/>
            </c:ext>
          </c:extLst>
        </c:ser>
        <c:ser>
          <c:idx val="1"/>
          <c:order val="1"/>
          <c:tx>
            <c:strRef>
              <c:f>Analysis!$E$416</c:f>
              <c:strCache>
                <c:ptCount val="1"/>
                <c:pt idx="0">
                  <c:v>2022</c:v>
                </c:pt>
              </c:strCache>
            </c:strRef>
          </c:tx>
          <c:spPr>
            <a:solidFill>
              <a:srgbClr val="9999FF"/>
            </a:solidFill>
            <a:ln w="25400">
              <a:noFill/>
            </a:ln>
            <a:effectLst/>
          </c:spPr>
          <c:invertIfNegative val="0"/>
          <c:cat>
            <c:strRef>
              <c:f>Analysis!$C$417:$C$419</c:f>
              <c:strCache>
                <c:ptCount val="3"/>
                <c:pt idx="0">
                  <c:v>MEGA</c:v>
                </c:pt>
                <c:pt idx="1">
                  <c:v>Televisa</c:v>
                </c:pt>
                <c:pt idx="2">
                  <c:v>AMX</c:v>
                </c:pt>
              </c:strCache>
            </c:strRef>
          </c:cat>
          <c:val>
            <c:numRef>
              <c:f>Analysis!$E$417:$E$419</c:f>
              <c:numCache>
                <c:formatCode>0.0%</c:formatCode>
                <c:ptCount val="3"/>
                <c:pt idx="0">
                  <c:v>-4.4685164960417433E-2</c:v>
                </c:pt>
                <c:pt idx="1">
                  <c:v>0</c:v>
                </c:pt>
                <c:pt idx="2">
                  <c:v>0.11972878185907988</c:v>
                </c:pt>
              </c:numCache>
            </c:numRef>
          </c:val>
          <c:extLst>
            <c:ext xmlns:c16="http://schemas.microsoft.com/office/drawing/2014/chart" uri="{C3380CC4-5D6E-409C-BE32-E72D297353CC}">
              <c16:uniqueId val="{00000001-2423-4C17-BE51-FE28C4B3272C}"/>
            </c:ext>
          </c:extLst>
        </c:ser>
        <c:dLbls>
          <c:showLegendKey val="0"/>
          <c:showVal val="0"/>
          <c:showCatName val="0"/>
          <c:showSerName val="0"/>
          <c:showPercent val="0"/>
          <c:showBubbleSize val="0"/>
        </c:dLbls>
        <c:gapWidth val="219"/>
        <c:overlap val="-27"/>
        <c:axId val="1117507592"/>
        <c:axId val="1117502672"/>
      </c:barChart>
      <c:catAx>
        <c:axId val="1117507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502672"/>
        <c:crosses val="autoZero"/>
        <c:auto val="1"/>
        <c:lblAlgn val="ctr"/>
        <c:lblOffset val="100"/>
        <c:noMultiLvlLbl val="0"/>
      </c:catAx>
      <c:valAx>
        <c:axId val="111750267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5075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snaps'!$B$83</c:f>
              <c:strCache>
                <c:ptCount val="1"/>
                <c:pt idx="0">
                  <c:v>Core</c:v>
                </c:pt>
              </c:strCache>
            </c:strRef>
          </c:tx>
          <c:spPr>
            <a:ln w="25400" cap="rnd">
              <a:solidFill>
                <a:srgbClr val="263238"/>
              </a:solidFill>
              <a:prstDash val="solid"/>
              <a:round/>
            </a:ln>
            <a:effectLst/>
          </c:spPr>
          <c:marker>
            <c:symbol val="none"/>
          </c:marker>
          <c:dLbls>
            <c:delete val="1"/>
          </c:dLbls>
          <c:cat>
            <c:strRef>
              <c:f>'Earnings snaps'!$D$73:$X$73</c:f>
              <c:strCache>
                <c:ptCount val="21"/>
                <c:pt idx="0">
                  <c:v>Q1 19</c:v>
                </c:pt>
                <c:pt idx="1">
                  <c:v>Q2 19</c:v>
                </c:pt>
                <c:pt idx="2">
                  <c:v>Q3 19</c:v>
                </c:pt>
                <c:pt idx="3">
                  <c:v>Q4 19</c:v>
                </c:pt>
                <c:pt idx="4">
                  <c:v>Q1 20</c:v>
                </c:pt>
                <c:pt idx="5">
                  <c:v>Q2 20</c:v>
                </c:pt>
                <c:pt idx="6">
                  <c:v>Q3 20</c:v>
                </c:pt>
                <c:pt idx="7">
                  <c:v>Q4 20</c:v>
                </c:pt>
                <c:pt idx="8">
                  <c:v>Q1 21</c:v>
                </c:pt>
                <c:pt idx="9">
                  <c:v>Q2 21</c:v>
                </c:pt>
                <c:pt idx="10">
                  <c:v>Q3 21</c:v>
                </c:pt>
                <c:pt idx="11">
                  <c:v>Q4 21</c:v>
                </c:pt>
                <c:pt idx="12">
                  <c:v>Q1 22</c:v>
                </c:pt>
                <c:pt idx="13">
                  <c:v>Q2 22</c:v>
                </c:pt>
                <c:pt idx="14">
                  <c:v>Q3 22</c:v>
                </c:pt>
                <c:pt idx="15">
                  <c:v>Q4 22</c:v>
                </c:pt>
                <c:pt idx="16">
                  <c:v>Q1 23</c:v>
                </c:pt>
                <c:pt idx="17">
                  <c:v>Q2 23</c:v>
                </c:pt>
                <c:pt idx="18">
                  <c:v>Q3 23</c:v>
                </c:pt>
                <c:pt idx="19">
                  <c:v>Q4 23</c:v>
                </c:pt>
                <c:pt idx="20">
                  <c:v>Q1 24</c:v>
                </c:pt>
              </c:strCache>
            </c:strRef>
          </c:cat>
          <c:val>
            <c:numRef>
              <c:f>'Earnings snaps'!$C$83:$W$83</c:f>
              <c:numCache>
                <c:formatCode>0.0%</c:formatCode>
                <c:ptCount val="21"/>
                <c:pt idx="0">
                  <c:v>7.8761584473596491E-2</c:v>
                </c:pt>
                <c:pt idx="1">
                  <c:v>0.10589942046609591</c:v>
                </c:pt>
                <c:pt idx="2">
                  <c:v>7.6920707334438454E-2</c:v>
                </c:pt>
                <c:pt idx="3">
                  <c:v>7.837123786222655E-2</c:v>
                </c:pt>
                <c:pt idx="4">
                  <c:v>8.5221674876847286E-2</c:v>
                </c:pt>
                <c:pt idx="5">
                  <c:v>3.0664912063128824E-2</c:v>
                </c:pt>
                <c:pt idx="6">
                  <c:v>7.1767704728950221E-2</c:v>
                </c:pt>
                <c:pt idx="7">
                  <c:v>7.5770539007439686E-2</c:v>
                </c:pt>
                <c:pt idx="8">
                  <c:v>8.7866567548424257E-2</c:v>
                </c:pt>
                <c:pt idx="9">
                  <c:v>0.12148916291184331</c:v>
                </c:pt>
                <c:pt idx="10">
                  <c:v>9.7987070051890779E-2</c:v>
                </c:pt>
                <c:pt idx="11">
                  <c:v>0.1146576156923993</c:v>
                </c:pt>
                <c:pt idx="12">
                  <c:v>9.3221592856135072E-2</c:v>
                </c:pt>
                <c:pt idx="13">
                  <c:v>9.275740115239417E-2</c:v>
                </c:pt>
                <c:pt idx="14">
                  <c:v>6.4684167318125319E-2</c:v>
                </c:pt>
                <c:pt idx="15">
                  <c:v>5.2376956520599371E-2</c:v>
                </c:pt>
                <c:pt idx="16">
                  <c:v>7.2923940366890427E-2</c:v>
                </c:pt>
                <c:pt idx="17">
                  <c:v>9.4708799224996865E-2</c:v>
                </c:pt>
                <c:pt idx="18">
                  <c:v>0.13977077522163017</c:v>
                </c:pt>
                <c:pt idx="19">
                  <c:v>0.14526916918697741</c:v>
                </c:pt>
                <c:pt idx="20">
                  <c:v>0.13108332634455966</c:v>
                </c:pt>
              </c:numCache>
            </c:numRef>
          </c:val>
          <c:smooth val="0"/>
          <c:extLst>
            <c:ext xmlns:c16="http://schemas.microsoft.com/office/drawing/2014/chart" uri="{C3380CC4-5D6E-409C-BE32-E72D297353CC}">
              <c16:uniqueId val="{00000000-931E-4FFB-B92A-8679D75F5C04}"/>
            </c:ext>
          </c:extLst>
        </c:ser>
        <c:ser>
          <c:idx val="1"/>
          <c:order val="1"/>
          <c:tx>
            <c:strRef>
              <c:f>'Earnings snaps'!$B$84</c:f>
              <c:strCache>
                <c:ptCount val="1"/>
                <c:pt idx="0">
                  <c:v>Corporate</c:v>
                </c:pt>
              </c:strCache>
            </c:strRef>
          </c:tx>
          <c:spPr>
            <a:ln w="25400" cap="rnd">
              <a:solidFill>
                <a:srgbClr val="799098"/>
              </a:solidFill>
              <a:prstDash val="solid"/>
              <a:round/>
            </a:ln>
            <a:effectLst/>
          </c:spPr>
          <c:marker>
            <c:symbol val="none"/>
          </c:marker>
          <c:dLbls>
            <c:delete val="1"/>
          </c:dLbls>
          <c:cat>
            <c:strRef>
              <c:f>'Earnings snaps'!$D$73:$X$73</c:f>
              <c:strCache>
                <c:ptCount val="21"/>
                <c:pt idx="0">
                  <c:v>Q1 19</c:v>
                </c:pt>
                <c:pt idx="1">
                  <c:v>Q2 19</c:v>
                </c:pt>
                <c:pt idx="2">
                  <c:v>Q3 19</c:v>
                </c:pt>
                <c:pt idx="3">
                  <c:v>Q4 19</c:v>
                </c:pt>
                <c:pt idx="4">
                  <c:v>Q1 20</c:v>
                </c:pt>
                <c:pt idx="5">
                  <c:v>Q2 20</c:v>
                </c:pt>
                <c:pt idx="6">
                  <c:v>Q3 20</c:v>
                </c:pt>
                <c:pt idx="7">
                  <c:v>Q4 20</c:v>
                </c:pt>
                <c:pt idx="8">
                  <c:v>Q1 21</c:v>
                </c:pt>
                <c:pt idx="9">
                  <c:v>Q2 21</c:v>
                </c:pt>
                <c:pt idx="10">
                  <c:v>Q3 21</c:v>
                </c:pt>
                <c:pt idx="11">
                  <c:v>Q4 21</c:v>
                </c:pt>
                <c:pt idx="12">
                  <c:v>Q1 22</c:v>
                </c:pt>
                <c:pt idx="13">
                  <c:v>Q2 22</c:v>
                </c:pt>
                <c:pt idx="14">
                  <c:v>Q3 22</c:v>
                </c:pt>
                <c:pt idx="15">
                  <c:v>Q4 22</c:v>
                </c:pt>
                <c:pt idx="16">
                  <c:v>Q1 23</c:v>
                </c:pt>
                <c:pt idx="17">
                  <c:v>Q2 23</c:v>
                </c:pt>
                <c:pt idx="18">
                  <c:v>Q3 23</c:v>
                </c:pt>
                <c:pt idx="19">
                  <c:v>Q4 23</c:v>
                </c:pt>
                <c:pt idx="20">
                  <c:v>Q1 24</c:v>
                </c:pt>
              </c:strCache>
            </c:strRef>
          </c:cat>
          <c:val>
            <c:numRef>
              <c:f>'Earnings snaps'!$C$84:$W$84</c:f>
              <c:numCache>
                <c:formatCode>0.0%</c:formatCode>
                <c:ptCount val="21"/>
                <c:pt idx="0">
                  <c:v>0.18556958859572337</c:v>
                </c:pt>
                <c:pt idx="1">
                  <c:v>0.19420522168554455</c:v>
                </c:pt>
                <c:pt idx="2">
                  <c:v>0.29602713178294571</c:v>
                </c:pt>
                <c:pt idx="3">
                  <c:v>0.26349379384781457</c:v>
                </c:pt>
                <c:pt idx="4">
                  <c:v>1.2423794958337675E-2</c:v>
                </c:pt>
                <c:pt idx="5">
                  <c:v>-9.0788339698902099E-2</c:v>
                </c:pt>
                <c:pt idx="6">
                  <c:v>-8.8523364485981304E-2</c:v>
                </c:pt>
                <c:pt idx="7">
                  <c:v>-0.15511858175148885</c:v>
                </c:pt>
                <c:pt idx="8">
                  <c:v>3.3255233211685997E-2</c:v>
                </c:pt>
                <c:pt idx="9">
                  <c:v>5.9946067147737647E-2</c:v>
                </c:pt>
                <c:pt idx="10">
                  <c:v>7.0004511524895507E-2</c:v>
                </c:pt>
                <c:pt idx="11">
                  <c:v>0.14470482012373598</c:v>
                </c:pt>
                <c:pt idx="12">
                  <c:v>0.1484805404315388</c:v>
                </c:pt>
                <c:pt idx="13">
                  <c:v>0.14581765276430647</c:v>
                </c:pt>
                <c:pt idx="14">
                  <c:v>0.25104690317894418</c:v>
                </c:pt>
                <c:pt idx="15">
                  <c:v>0.37259751271905017</c:v>
                </c:pt>
                <c:pt idx="16">
                  <c:v>0.17055070702849595</c:v>
                </c:pt>
                <c:pt idx="17">
                  <c:v>0.14527933580397812</c:v>
                </c:pt>
                <c:pt idx="18">
                  <c:v>-4.0581064467823946E-3</c:v>
                </c:pt>
                <c:pt idx="19">
                  <c:v>-8.8565637065637137E-2</c:v>
                </c:pt>
                <c:pt idx="20">
                  <c:v>5.2245841430222484E-2</c:v>
                </c:pt>
              </c:numCache>
            </c:numRef>
          </c:val>
          <c:smooth val="0"/>
          <c:extLst>
            <c:ext xmlns:c16="http://schemas.microsoft.com/office/drawing/2014/chart" uri="{C3380CC4-5D6E-409C-BE32-E72D297353CC}">
              <c16:uniqueId val="{00000001-931E-4FFB-B92A-8679D75F5C04}"/>
            </c:ext>
          </c:extLst>
        </c:ser>
        <c:ser>
          <c:idx val="2"/>
          <c:order val="2"/>
          <c:tx>
            <c:strRef>
              <c:f>'Earnings snaps'!$B$85</c:f>
              <c:strCache>
                <c:ptCount val="1"/>
                <c:pt idx="0">
                  <c:v>Cable revenue</c:v>
                </c:pt>
              </c:strCache>
            </c:strRef>
          </c:tx>
          <c:spPr>
            <a:ln w="25400" cap="rnd">
              <a:solidFill>
                <a:srgbClr val="F9663E"/>
              </a:solidFill>
              <a:prstDash val="solid"/>
              <a:round/>
            </a:ln>
            <a:effectLst/>
          </c:spPr>
          <c:marker>
            <c:symbol val="none"/>
          </c:marker>
          <c:dLbls>
            <c:delete val="1"/>
          </c:dLbls>
          <c:cat>
            <c:strRef>
              <c:f>'Earnings snaps'!$D$73:$X$73</c:f>
              <c:strCache>
                <c:ptCount val="21"/>
                <c:pt idx="0">
                  <c:v>Q1 19</c:v>
                </c:pt>
                <c:pt idx="1">
                  <c:v>Q2 19</c:v>
                </c:pt>
                <c:pt idx="2">
                  <c:v>Q3 19</c:v>
                </c:pt>
                <c:pt idx="3">
                  <c:v>Q4 19</c:v>
                </c:pt>
                <c:pt idx="4">
                  <c:v>Q1 20</c:v>
                </c:pt>
                <c:pt idx="5">
                  <c:v>Q2 20</c:v>
                </c:pt>
                <c:pt idx="6">
                  <c:v>Q3 20</c:v>
                </c:pt>
                <c:pt idx="7">
                  <c:v>Q4 20</c:v>
                </c:pt>
                <c:pt idx="8">
                  <c:v>Q1 21</c:v>
                </c:pt>
                <c:pt idx="9">
                  <c:v>Q2 21</c:v>
                </c:pt>
                <c:pt idx="10">
                  <c:v>Q3 21</c:v>
                </c:pt>
                <c:pt idx="11">
                  <c:v>Q4 21</c:v>
                </c:pt>
                <c:pt idx="12">
                  <c:v>Q1 22</c:v>
                </c:pt>
                <c:pt idx="13">
                  <c:v>Q2 22</c:v>
                </c:pt>
                <c:pt idx="14">
                  <c:v>Q3 22</c:v>
                </c:pt>
                <c:pt idx="15">
                  <c:v>Q4 22</c:v>
                </c:pt>
                <c:pt idx="16">
                  <c:v>Q1 23</c:v>
                </c:pt>
                <c:pt idx="17">
                  <c:v>Q2 23</c:v>
                </c:pt>
                <c:pt idx="18">
                  <c:v>Q3 23</c:v>
                </c:pt>
                <c:pt idx="19">
                  <c:v>Q4 23</c:v>
                </c:pt>
                <c:pt idx="20">
                  <c:v>Q1 24</c:v>
                </c:pt>
              </c:strCache>
            </c:strRef>
          </c:cat>
          <c:val>
            <c:numRef>
              <c:f>'Earnings snaps'!$C$85:$W$85</c:f>
              <c:numCache>
                <c:formatCode>0.0%</c:formatCode>
                <c:ptCount val="21"/>
                <c:pt idx="0">
                  <c:v>9.2518063498788106E-2</c:v>
                </c:pt>
                <c:pt idx="1">
                  <c:v>0.11523843993953453</c:v>
                </c:pt>
                <c:pt idx="2">
                  <c:v>9.4150262390909623E-2</c:v>
                </c:pt>
                <c:pt idx="3">
                  <c:v>7.4444788946657736E-2</c:v>
                </c:pt>
                <c:pt idx="4">
                  <c:v>7.9387117621714909E-2</c:v>
                </c:pt>
                <c:pt idx="5">
                  <c:v>1.350615526185317E-2</c:v>
                </c:pt>
                <c:pt idx="6">
                  <c:v>6.7481874999999913E-2</c:v>
                </c:pt>
                <c:pt idx="7">
                  <c:v>8.5060236050259919E-2</c:v>
                </c:pt>
                <c:pt idx="8">
                  <c:v>8.9488805042994501E-2</c:v>
                </c:pt>
                <c:pt idx="9">
                  <c:v>0.11933043688411837</c:v>
                </c:pt>
                <c:pt idx="10">
                  <c:v>9.7694672021168438E-2</c:v>
                </c:pt>
                <c:pt idx="11">
                  <c:v>0.12241253664376783</c:v>
                </c:pt>
                <c:pt idx="12">
                  <c:v>0.10316272509113578</c:v>
                </c:pt>
                <c:pt idx="13">
                  <c:v>0.10106764069264051</c:v>
                </c:pt>
                <c:pt idx="14">
                  <c:v>9.0518041451565612E-2</c:v>
                </c:pt>
                <c:pt idx="15">
                  <c:v>6.6835881134052588E-2</c:v>
                </c:pt>
                <c:pt idx="16">
                  <c:v>8.2097888511479811E-2</c:v>
                </c:pt>
                <c:pt idx="17">
                  <c:v>0.10045330199814262</c:v>
                </c:pt>
                <c:pt idx="18">
                  <c:v>0.12617952559748669</c:v>
                </c:pt>
                <c:pt idx="19">
                  <c:v>0.1363249841471148</c:v>
                </c:pt>
                <c:pt idx="20">
                  <c:v>0.12489002836358964</c:v>
                </c:pt>
              </c:numCache>
            </c:numRef>
          </c:val>
          <c:smooth val="0"/>
          <c:extLst>
            <c:ext xmlns:c16="http://schemas.microsoft.com/office/drawing/2014/chart" uri="{C3380CC4-5D6E-409C-BE32-E72D297353CC}">
              <c16:uniqueId val="{00000002-931E-4FFB-B92A-8679D75F5C04}"/>
            </c:ext>
          </c:extLst>
        </c:ser>
        <c:dLbls>
          <c:dLblPos val="t"/>
          <c:showLegendKey val="0"/>
          <c:showVal val="1"/>
          <c:showCatName val="0"/>
          <c:showSerName val="0"/>
          <c:showPercent val="0"/>
          <c:showBubbleSize val="0"/>
        </c:dLbls>
        <c:smooth val="0"/>
        <c:axId val="222874896"/>
        <c:axId val="222897776"/>
      </c:lineChart>
      <c:catAx>
        <c:axId val="22287489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22897776"/>
        <c:crosses val="autoZero"/>
        <c:auto val="1"/>
        <c:lblAlgn val="ctr"/>
        <c:lblOffset val="100"/>
        <c:noMultiLvlLbl val="0"/>
      </c:catAx>
      <c:valAx>
        <c:axId val="222897776"/>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228748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Analysis!$C$486</c:f>
              <c:strCache>
                <c:ptCount val="1"/>
                <c:pt idx="0">
                  <c:v>Totalplay</c:v>
                </c:pt>
              </c:strCache>
            </c:strRef>
          </c:tx>
          <c:spPr>
            <a:solidFill>
              <a:srgbClr val="000080"/>
            </a:solidFill>
            <a:ln w="25400">
              <a:noFill/>
            </a:ln>
            <a:effectLst/>
          </c:spPr>
          <c:invertIfNegative val="0"/>
          <c:cat>
            <c:strRef>
              <c:f>Analysis!$D$485:$E$485</c:f>
              <c:strCache>
                <c:ptCount val="2"/>
                <c:pt idx="0">
                  <c:v>Today</c:v>
                </c:pt>
                <c:pt idx="1">
                  <c:v>2025</c:v>
                </c:pt>
              </c:strCache>
            </c:strRef>
          </c:cat>
          <c:val>
            <c:numRef>
              <c:f>Analysis!$D$486:$E$486</c:f>
              <c:numCache>
                <c:formatCode>#,##0</c:formatCode>
                <c:ptCount val="2"/>
                <c:pt idx="0">
                  <c:v>13100</c:v>
                </c:pt>
                <c:pt idx="1">
                  <c:v>20000</c:v>
                </c:pt>
              </c:numCache>
            </c:numRef>
          </c:val>
          <c:extLst>
            <c:ext xmlns:c16="http://schemas.microsoft.com/office/drawing/2014/chart" uri="{C3380CC4-5D6E-409C-BE32-E72D297353CC}">
              <c16:uniqueId val="{00000000-65E6-43C1-9348-1B3271DDB29A}"/>
            </c:ext>
          </c:extLst>
        </c:ser>
        <c:ser>
          <c:idx val="1"/>
          <c:order val="1"/>
          <c:tx>
            <c:strRef>
              <c:f>Analysis!$C$487</c:f>
              <c:strCache>
                <c:ptCount val="1"/>
                <c:pt idx="0">
                  <c:v>MEGA (Cable)</c:v>
                </c:pt>
              </c:strCache>
            </c:strRef>
          </c:tx>
          <c:spPr>
            <a:solidFill>
              <a:srgbClr val="9999FF"/>
            </a:solidFill>
            <a:ln w="25400">
              <a:noFill/>
            </a:ln>
            <a:effectLst/>
          </c:spPr>
          <c:invertIfNegative val="0"/>
          <c:cat>
            <c:strRef>
              <c:f>Analysis!$D$485:$E$485</c:f>
              <c:strCache>
                <c:ptCount val="2"/>
                <c:pt idx="0">
                  <c:v>Today</c:v>
                </c:pt>
                <c:pt idx="1">
                  <c:v>2025</c:v>
                </c:pt>
              </c:strCache>
            </c:strRef>
          </c:cat>
          <c:val>
            <c:numRef>
              <c:f>Analysis!$D$487:$E$487</c:f>
              <c:numCache>
                <c:formatCode>#,##0</c:formatCode>
                <c:ptCount val="2"/>
                <c:pt idx="0">
                  <c:v>9292.1260000000002</c:v>
                </c:pt>
                <c:pt idx="1">
                  <c:v>19000</c:v>
                </c:pt>
              </c:numCache>
            </c:numRef>
          </c:val>
          <c:extLst>
            <c:ext xmlns:c16="http://schemas.microsoft.com/office/drawing/2014/chart" uri="{C3380CC4-5D6E-409C-BE32-E72D297353CC}">
              <c16:uniqueId val="{00000001-65E6-43C1-9348-1B3271DDB29A}"/>
            </c:ext>
          </c:extLst>
        </c:ser>
        <c:ser>
          <c:idx val="2"/>
          <c:order val="2"/>
          <c:tx>
            <c:strRef>
              <c:f>Analysis!$C$488</c:f>
              <c:strCache>
                <c:ptCount val="1"/>
                <c:pt idx="0">
                  <c:v>TV (Retail)</c:v>
                </c:pt>
              </c:strCache>
            </c:strRef>
          </c:tx>
          <c:spPr>
            <a:solidFill>
              <a:srgbClr val="3366FF"/>
            </a:solidFill>
            <a:ln w="25400">
              <a:noFill/>
            </a:ln>
            <a:effectLst/>
          </c:spPr>
          <c:invertIfNegative val="0"/>
          <c:cat>
            <c:strRef>
              <c:f>Analysis!$D$485:$E$485</c:f>
              <c:strCache>
                <c:ptCount val="2"/>
                <c:pt idx="0">
                  <c:v>Today</c:v>
                </c:pt>
                <c:pt idx="1">
                  <c:v>2025</c:v>
                </c:pt>
              </c:strCache>
            </c:strRef>
          </c:cat>
          <c:val>
            <c:numRef>
              <c:f>Analysis!$D$488:$E$488</c:f>
              <c:numCache>
                <c:formatCode>#,##0</c:formatCode>
                <c:ptCount val="2"/>
                <c:pt idx="0">
                  <c:v>17300</c:v>
                </c:pt>
                <c:pt idx="1">
                  <c:v>18000</c:v>
                </c:pt>
              </c:numCache>
            </c:numRef>
          </c:val>
          <c:extLst>
            <c:ext xmlns:c16="http://schemas.microsoft.com/office/drawing/2014/chart" uri="{C3380CC4-5D6E-409C-BE32-E72D297353CC}">
              <c16:uniqueId val="{00000003-65E6-43C1-9348-1B3271DDB29A}"/>
            </c:ext>
          </c:extLst>
        </c:ser>
        <c:ser>
          <c:idx val="3"/>
          <c:order val="3"/>
          <c:tx>
            <c:strRef>
              <c:f>Analysis!$C$489</c:f>
              <c:strCache>
                <c:ptCount val="1"/>
                <c:pt idx="0">
                  <c:v>Telmex</c:v>
                </c:pt>
              </c:strCache>
            </c:strRef>
          </c:tx>
          <c:spPr>
            <a:solidFill>
              <a:srgbClr val="CCCCFF"/>
            </a:solidFill>
            <a:ln w="25400">
              <a:noFill/>
            </a:ln>
            <a:effectLst/>
          </c:spPr>
          <c:invertIfNegative val="0"/>
          <c:cat>
            <c:strRef>
              <c:f>Analysis!$D$485:$E$485</c:f>
              <c:strCache>
                <c:ptCount val="2"/>
                <c:pt idx="0">
                  <c:v>Today</c:v>
                </c:pt>
                <c:pt idx="1">
                  <c:v>2025</c:v>
                </c:pt>
              </c:strCache>
            </c:strRef>
          </c:cat>
          <c:val>
            <c:numRef>
              <c:f>Analysis!$D$489:$E$489</c:f>
              <c:numCache>
                <c:formatCode>#,##0</c:formatCode>
                <c:ptCount val="2"/>
                <c:pt idx="0">
                  <c:v>10000</c:v>
                </c:pt>
                <c:pt idx="1">
                  <c:v>12000</c:v>
                </c:pt>
              </c:numCache>
            </c:numRef>
          </c:val>
          <c:extLst>
            <c:ext xmlns:c16="http://schemas.microsoft.com/office/drawing/2014/chart" uri="{C3380CC4-5D6E-409C-BE32-E72D297353CC}">
              <c16:uniqueId val="{00000004-65E6-43C1-9348-1B3271DDB29A}"/>
            </c:ext>
          </c:extLst>
        </c:ser>
        <c:dLbls>
          <c:showLegendKey val="0"/>
          <c:showVal val="0"/>
          <c:showCatName val="0"/>
          <c:showSerName val="0"/>
          <c:showPercent val="0"/>
          <c:showBubbleSize val="0"/>
        </c:dLbls>
        <c:gapWidth val="150"/>
        <c:overlap val="100"/>
        <c:axId val="933339791"/>
        <c:axId val="933340207"/>
      </c:barChart>
      <c:catAx>
        <c:axId val="933339791"/>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33340207"/>
        <c:crosses val="autoZero"/>
        <c:auto val="1"/>
        <c:lblAlgn val="ctr"/>
        <c:lblOffset val="100"/>
        <c:noMultiLvlLbl val="0"/>
      </c:catAx>
      <c:valAx>
        <c:axId val="933340207"/>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3333979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Analysis!$C$190</c:f>
              <c:strCache>
                <c:ptCount val="1"/>
                <c:pt idx="0">
                  <c:v>MEGA</c:v>
                </c:pt>
              </c:strCache>
            </c:strRef>
          </c:tx>
          <c:spPr>
            <a:ln w="25400" cap="rnd">
              <a:solidFill>
                <a:srgbClr val="333399"/>
              </a:solidFill>
              <a:prstDash val="solid"/>
              <a:round/>
            </a:ln>
            <a:effectLst/>
          </c:spPr>
          <c:marker>
            <c:symbol val="none"/>
          </c:marker>
          <c:cat>
            <c:numRef>
              <c:f>Analysis!$G$189:$O$189</c:f>
              <c:numCache>
                <c:formatCode>General</c:formatCode>
                <c:ptCount val="9"/>
                <c:pt idx="0">
                  <c:v>0</c:v>
                </c:pt>
                <c:pt idx="1">
                  <c:v>0</c:v>
                </c:pt>
                <c:pt idx="2">
                  <c:v>0</c:v>
                </c:pt>
                <c:pt idx="3">
                  <c:v>0</c:v>
                </c:pt>
                <c:pt idx="4">
                  <c:v>0</c:v>
                </c:pt>
                <c:pt idx="5">
                  <c:v>0</c:v>
                </c:pt>
                <c:pt idx="6">
                  <c:v>0</c:v>
                </c:pt>
                <c:pt idx="7">
                  <c:v>0</c:v>
                </c:pt>
                <c:pt idx="8">
                  <c:v>0</c:v>
                </c:pt>
              </c:numCache>
            </c:numRef>
          </c:cat>
          <c:val>
            <c:numRef>
              <c:f>Analysis!$G$197:$O$197</c:f>
              <c:numCache>
                <c:formatCode>#,##0</c:formatCode>
                <c:ptCount val="9"/>
                <c:pt idx="0">
                  <c:v>253.62162162162161</c:v>
                </c:pt>
                <c:pt idx="1">
                  <c:v>299.64182291666668</c:v>
                </c:pt>
                <c:pt idx="2">
                  <c:v>339.48051948051949</c:v>
                </c:pt>
                <c:pt idx="3">
                  <c:v>404.05</c:v>
                </c:pt>
                <c:pt idx="4">
                  <c:v>466.67157991254754</c:v>
                </c:pt>
                <c:pt idx="5">
                  <c:v>588.85572139303474</c:v>
                </c:pt>
                <c:pt idx="6">
                  <c:v>730.34404963338977</c:v>
                </c:pt>
                <c:pt idx="7">
                  <c:v>642.25266921052344</c:v>
                </c:pt>
                <c:pt idx="8">
                  <c:v>593.38103154389478</c:v>
                </c:pt>
              </c:numCache>
            </c:numRef>
          </c:val>
          <c:smooth val="0"/>
          <c:extLst>
            <c:ext xmlns:c16="http://schemas.microsoft.com/office/drawing/2014/chart" uri="{C3380CC4-5D6E-409C-BE32-E72D297353CC}">
              <c16:uniqueId val="{00000000-5085-4CAF-8AAF-4F87FC7A2967}"/>
            </c:ext>
          </c:extLst>
        </c:ser>
        <c:ser>
          <c:idx val="1"/>
          <c:order val="1"/>
          <c:tx>
            <c:strRef>
              <c:f>Analysis!$C$191</c:f>
              <c:strCache>
                <c:ptCount val="1"/>
                <c:pt idx="0">
                  <c:v>TV</c:v>
                </c:pt>
              </c:strCache>
            </c:strRef>
          </c:tx>
          <c:spPr>
            <a:ln w="25400" cap="rnd">
              <a:solidFill>
                <a:srgbClr val="99CCFF"/>
              </a:solidFill>
              <a:prstDash val="solid"/>
              <a:round/>
            </a:ln>
            <a:effectLst/>
          </c:spPr>
          <c:marker>
            <c:symbol val="none"/>
          </c:marker>
          <c:cat>
            <c:numRef>
              <c:f>Analysis!$G$189:$O$189</c:f>
              <c:numCache>
                <c:formatCode>General</c:formatCode>
                <c:ptCount val="9"/>
                <c:pt idx="0">
                  <c:v>0</c:v>
                </c:pt>
                <c:pt idx="1">
                  <c:v>0</c:v>
                </c:pt>
                <c:pt idx="2">
                  <c:v>0</c:v>
                </c:pt>
                <c:pt idx="3">
                  <c:v>0</c:v>
                </c:pt>
                <c:pt idx="4">
                  <c:v>0</c:v>
                </c:pt>
                <c:pt idx="5">
                  <c:v>0</c:v>
                </c:pt>
                <c:pt idx="6">
                  <c:v>0</c:v>
                </c:pt>
                <c:pt idx="7">
                  <c:v>0</c:v>
                </c:pt>
                <c:pt idx="8">
                  <c:v>0</c:v>
                </c:pt>
              </c:numCache>
            </c:numRef>
          </c:cat>
          <c:val>
            <c:numRef>
              <c:f>Analysis!$G$198:$O$198</c:f>
              <c:numCache>
                <c:formatCode>#,##0</c:formatCode>
                <c:ptCount val="9"/>
                <c:pt idx="0">
                  <c:v>571.80162162162162</c:v>
                </c:pt>
                <c:pt idx="1">
                  <c:v>666.73177083333337</c:v>
                </c:pt>
                <c:pt idx="2">
                  <c:v>646.5472987012987</c:v>
                </c:pt>
                <c:pt idx="3">
                  <c:v>565.25744562500017</c:v>
                </c:pt>
                <c:pt idx="4">
                  <c:v>577.81636911852445</c:v>
                </c:pt>
                <c:pt idx="5">
                  <c:v>603.55321573217941</c:v>
                </c:pt>
                <c:pt idx="6">
                  <c:v>738.96972403351106</c:v>
                </c:pt>
                <c:pt idx="7">
                  <c:v>832.35810962842845</c:v>
                </c:pt>
                <c:pt idx="8">
                  <c:v>898.94675839870274</c:v>
                </c:pt>
              </c:numCache>
            </c:numRef>
          </c:val>
          <c:smooth val="0"/>
          <c:extLst>
            <c:ext xmlns:c16="http://schemas.microsoft.com/office/drawing/2014/chart" uri="{C3380CC4-5D6E-409C-BE32-E72D297353CC}">
              <c16:uniqueId val="{00000001-5085-4CAF-8AAF-4F87FC7A2967}"/>
            </c:ext>
          </c:extLst>
        </c:ser>
        <c:dLbls>
          <c:showLegendKey val="0"/>
          <c:showVal val="0"/>
          <c:showCatName val="0"/>
          <c:showSerName val="0"/>
          <c:showPercent val="0"/>
          <c:showBubbleSize val="0"/>
        </c:dLbls>
        <c:smooth val="0"/>
        <c:axId val="112546944"/>
        <c:axId val="112548480"/>
      </c:lineChart>
      <c:catAx>
        <c:axId val="11254694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112548480"/>
        <c:crosses val="autoZero"/>
        <c:auto val="1"/>
        <c:lblAlgn val="ctr"/>
        <c:lblOffset val="100"/>
        <c:noMultiLvlLbl val="0"/>
      </c:catAx>
      <c:valAx>
        <c:axId val="112548480"/>
        <c:scaling>
          <c:orientation val="minMax"/>
        </c:scaling>
        <c:delete val="0"/>
        <c:axPos val="l"/>
        <c:majorGridlines>
          <c:spPr>
            <a:ln w="3175" cap="flat" cmpd="sng" algn="ctr">
              <a:solidFill>
                <a:srgbClr val="C0C0C0"/>
              </a:solidFill>
              <a:prstDash val="solid"/>
              <a:round/>
            </a:ln>
            <a:effectLst/>
          </c:spPr>
        </c:majorGridlines>
        <c:numFmt formatCode="General"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crossAx val="1125469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numRef>
              <c:f>Analysis!$F$825:$L$825</c:f>
              <c:numCache>
                <c:formatCode>General</c:formatCode>
                <c:ptCount val="7"/>
                <c:pt idx="0">
                  <c:v>2024</c:v>
                </c:pt>
                <c:pt idx="1">
                  <c:v>2025</c:v>
                </c:pt>
                <c:pt idx="2">
                  <c:v>2026</c:v>
                </c:pt>
                <c:pt idx="3">
                  <c:v>2027</c:v>
                </c:pt>
                <c:pt idx="4">
                  <c:v>2028</c:v>
                </c:pt>
                <c:pt idx="5">
                  <c:v>2029</c:v>
                </c:pt>
                <c:pt idx="6">
                  <c:v>2030</c:v>
                </c:pt>
              </c:numCache>
            </c:numRef>
          </c:cat>
          <c:val>
            <c:numRef>
              <c:f>Analysis!$F$837:$L$837</c:f>
              <c:numCache>
                <c:formatCode>0.0%</c:formatCode>
                <c:ptCount val="7"/>
                <c:pt idx="0">
                  <c:v>0.30048177259479969</c:v>
                </c:pt>
                <c:pt idx="1">
                  <c:v>4.7380340107083807E-3</c:v>
                </c:pt>
                <c:pt idx="2">
                  <c:v>9.9273998297515043E-2</c:v>
                </c:pt>
                <c:pt idx="3">
                  <c:v>0.14262742337304268</c:v>
                </c:pt>
                <c:pt idx="4">
                  <c:v>9.2042553160959661E-2</c:v>
                </c:pt>
                <c:pt idx="5">
                  <c:v>9.2359679856675481E-2</c:v>
                </c:pt>
                <c:pt idx="6">
                  <c:v>9.2645315388549143E-2</c:v>
                </c:pt>
              </c:numCache>
            </c:numRef>
          </c:val>
          <c:extLst>
            <c:ext xmlns:c16="http://schemas.microsoft.com/office/drawing/2014/chart" uri="{C3380CC4-5D6E-409C-BE32-E72D297353CC}">
              <c16:uniqueId val="{00000000-3AC5-4849-A112-711007D9B67B}"/>
            </c:ext>
          </c:extLst>
        </c:ser>
        <c:dLbls>
          <c:showLegendKey val="0"/>
          <c:showVal val="0"/>
          <c:showCatName val="0"/>
          <c:showSerName val="0"/>
          <c:showPercent val="0"/>
          <c:showBubbleSize val="0"/>
        </c:dLbls>
        <c:gapWidth val="219"/>
        <c:overlap val="-27"/>
        <c:axId val="474483343"/>
        <c:axId val="474481263"/>
      </c:barChart>
      <c:catAx>
        <c:axId val="474483343"/>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74481263"/>
        <c:crosses val="autoZero"/>
        <c:auto val="1"/>
        <c:lblAlgn val="ctr"/>
        <c:lblOffset val="100"/>
        <c:noMultiLvlLbl val="0"/>
      </c:catAx>
      <c:valAx>
        <c:axId val="474481263"/>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47448334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Analysis!$C$843:$C$848</c:f>
              <c:strCache>
                <c:ptCount val="6"/>
                <c:pt idx="0">
                  <c:v>Vivo (Br)</c:v>
                </c:pt>
                <c:pt idx="1">
                  <c:v>Oi (Br)</c:v>
                </c:pt>
                <c:pt idx="2">
                  <c:v>Megacable (Mex)</c:v>
                </c:pt>
                <c:pt idx="3">
                  <c:v>Izzy (Mex)</c:v>
                </c:pt>
                <c:pt idx="4">
                  <c:v>Millicom (pan-LatAm, HFC)</c:v>
                </c:pt>
                <c:pt idx="5">
                  <c:v>Entel (Chile)</c:v>
                </c:pt>
              </c:strCache>
            </c:strRef>
          </c:cat>
          <c:val>
            <c:numRef>
              <c:f>Analysis!$D$843:$D$848</c:f>
              <c:numCache>
                <c:formatCode>0</c:formatCode>
                <c:ptCount val="6"/>
                <c:pt idx="0">
                  <c:v>29.09090909090909</c:v>
                </c:pt>
                <c:pt idx="1">
                  <c:v>40.909090909090907</c:v>
                </c:pt>
                <c:pt idx="2">
                  <c:v>50</c:v>
                </c:pt>
                <c:pt idx="3">
                  <c:v>75</c:v>
                </c:pt>
                <c:pt idx="4">
                  <c:v>100</c:v>
                </c:pt>
                <c:pt idx="5">
                  <c:v>121.95121951219512</c:v>
                </c:pt>
              </c:numCache>
            </c:numRef>
          </c:val>
          <c:extLst>
            <c:ext xmlns:c16="http://schemas.microsoft.com/office/drawing/2014/chart" uri="{C3380CC4-5D6E-409C-BE32-E72D297353CC}">
              <c16:uniqueId val="{00000000-135A-44EA-987C-BAD6905549DC}"/>
            </c:ext>
          </c:extLst>
        </c:ser>
        <c:ser>
          <c:idx val="1"/>
          <c:order val="1"/>
          <c:spPr>
            <a:solidFill>
              <a:srgbClr val="9999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Analysis!$C$843:$C$848</c:f>
              <c:strCache>
                <c:ptCount val="6"/>
                <c:pt idx="0">
                  <c:v>Vivo (Br)</c:v>
                </c:pt>
                <c:pt idx="1">
                  <c:v>Oi (Br)</c:v>
                </c:pt>
                <c:pt idx="2">
                  <c:v>Megacable (Mex)</c:v>
                </c:pt>
                <c:pt idx="3">
                  <c:v>Izzy (Mex)</c:v>
                </c:pt>
                <c:pt idx="4">
                  <c:v>Millicom (pan-LatAm, HFC)</c:v>
                </c:pt>
                <c:pt idx="5">
                  <c:v>Entel (Chile)</c:v>
                </c:pt>
              </c:strCache>
            </c:strRef>
          </c:cat>
          <c:val>
            <c:numRef>
              <c:f>Analysis!$E$843:$E$848</c:f>
              <c:numCache>
                <c:formatCode>0</c:formatCode>
                <c:ptCount val="6"/>
                <c:pt idx="0">
                  <c:v>145.45454545454547</c:v>
                </c:pt>
                <c:pt idx="1">
                  <c:v>98.181818181818187</c:v>
                </c:pt>
                <c:pt idx="2">
                  <c:v>150</c:v>
                </c:pt>
                <c:pt idx="3">
                  <c:v>150</c:v>
                </c:pt>
                <c:pt idx="4">
                  <c:v>150</c:v>
                </c:pt>
                <c:pt idx="5">
                  <c:v>243.90243902439025</c:v>
                </c:pt>
              </c:numCache>
            </c:numRef>
          </c:val>
          <c:extLst>
            <c:ext xmlns:c16="http://schemas.microsoft.com/office/drawing/2014/chart" uri="{C3380CC4-5D6E-409C-BE32-E72D297353CC}">
              <c16:uniqueId val="{00000001-135A-44EA-987C-BAD6905549DC}"/>
            </c:ext>
          </c:extLst>
        </c:ser>
        <c:dLbls>
          <c:showLegendKey val="0"/>
          <c:showVal val="0"/>
          <c:showCatName val="0"/>
          <c:showSerName val="0"/>
          <c:showPercent val="0"/>
          <c:showBubbleSize val="0"/>
        </c:dLbls>
        <c:gapWidth val="219"/>
        <c:overlap val="-27"/>
        <c:axId val="389940816"/>
        <c:axId val="389938320"/>
      </c:barChart>
      <c:catAx>
        <c:axId val="3899408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89938320"/>
        <c:crosses val="autoZero"/>
        <c:auto val="1"/>
        <c:lblAlgn val="ctr"/>
        <c:lblOffset val="100"/>
        <c:noMultiLvlLbl val="0"/>
      </c:catAx>
      <c:valAx>
        <c:axId val="389938320"/>
        <c:scaling>
          <c:orientation val="minMax"/>
          <c:max val="250"/>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8994081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2-697F-4F68-9E7D-FE8701008B51}"/>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697F-4F68-9E7D-FE8701008B51}"/>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4-697F-4F68-9E7D-FE8701008B51}"/>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5-697F-4F68-9E7D-FE8701008B51}"/>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6-697F-4F68-9E7D-FE8701008B5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Analysis!$W$910:$AA$910</c:f>
              <c:strCache>
                <c:ptCount val="5"/>
                <c:pt idx="0">
                  <c:v>MEGA</c:v>
                </c:pt>
                <c:pt idx="1">
                  <c:v>Total Play</c:v>
                </c:pt>
                <c:pt idx="2">
                  <c:v>Telmex DSL</c:v>
                </c:pt>
                <c:pt idx="3">
                  <c:v>Telmex FTTH</c:v>
                </c:pt>
                <c:pt idx="4">
                  <c:v>Televisa</c:v>
                </c:pt>
              </c:strCache>
            </c:strRef>
          </c:cat>
          <c:val>
            <c:numRef>
              <c:f>Analysis!$W$943:$AA$943</c:f>
              <c:numCache>
                <c:formatCode>0%</c:formatCode>
                <c:ptCount val="5"/>
                <c:pt idx="0">
                  <c:v>0.17027880492066835</c:v>
                </c:pt>
                <c:pt idx="1">
                  <c:v>0.12356902080880548</c:v>
                </c:pt>
                <c:pt idx="2">
                  <c:v>0.30060425899048016</c:v>
                </c:pt>
                <c:pt idx="3">
                  <c:v>0.18499476623206593</c:v>
                </c:pt>
                <c:pt idx="4">
                  <c:v>0.22055314904798007</c:v>
                </c:pt>
              </c:numCache>
            </c:numRef>
          </c:val>
          <c:extLst>
            <c:ext xmlns:c16="http://schemas.microsoft.com/office/drawing/2014/chart" uri="{C3380CC4-5D6E-409C-BE32-E72D297353CC}">
              <c16:uniqueId val="{00000000-697F-4F68-9E7D-FE8701008B5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64DE-4D00-850A-BF0F33E8258C}"/>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64DE-4D00-850A-BF0F33E8258C}"/>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64DE-4D00-850A-BF0F33E8258C}"/>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64DE-4D00-850A-BF0F33E8258C}"/>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64DE-4D00-850A-BF0F33E8258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Analysis!$W$910:$AA$910</c:f>
              <c:strCache>
                <c:ptCount val="5"/>
                <c:pt idx="0">
                  <c:v>MEGA</c:v>
                </c:pt>
                <c:pt idx="1">
                  <c:v>Total Play</c:v>
                </c:pt>
                <c:pt idx="2">
                  <c:v>Telmex DSL</c:v>
                </c:pt>
                <c:pt idx="3">
                  <c:v>Telmex FTTH</c:v>
                </c:pt>
                <c:pt idx="4">
                  <c:v>Televisa</c:v>
                </c:pt>
              </c:strCache>
            </c:strRef>
          </c:cat>
          <c:val>
            <c:numRef>
              <c:f>Analysis!$W$943:$AA$943</c:f>
              <c:numCache>
                <c:formatCode>0%</c:formatCode>
                <c:ptCount val="5"/>
                <c:pt idx="0">
                  <c:v>0.17027880492066835</c:v>
                </c:pt>
                <c:pt idx="1">
                  <c:v>0.12356902080880548</c:v>
                </c:pt>
                <c:pt idx="2">
                  <c:v>0.30060425899048016</c:v>
                </c:pt>
                <c:pt idx="3">
                  <c:v>0.18499476623206593</c:v>
                </c:pt>
                <c:pt idx="4">
                  <c:v>0.22055314904798007</c:v>
                </c:pt>
              </c:numCache>
            </c:numRef>
          </c:val>
          <c:extLst>
            <c:ext xmlns:c16="http://schemas.microsoft.com/office/drawing/2014/chart" uri="{C3380CC4-5D6E-409C-BE32-E72D297353CC}">
              <c16:uniqueId val="{0000000A-64DE-4D00-850A-BF0F33E8258C}"/>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Analysis!$T$950:$T$953</c:f>
              <c:strCache>
                <c:ptCount val="4"/>
                <c:pt idx="0">
                  <c:v>MEGA</c:v>
                </c:pt>
                <c:pt idx="1">
                  <c:v>Telmex DSL</c:v>
                </c:pt>
                <c:pt idx="2">
                  <c:v>Telmex FTTH</c:v>
                </c:pt>
                <c:pt idx="3">
                  <c:v>Televisa</c:v>
                </c:pt>
              </c:strCache>
            </c:strRef>
          </c:cat>
          <c:val>
            <c:numRef>
              <c:f>Analysis!$U$950:$U$953</c:f>
              <c:numCache>
                <c:formatCode>0%</c:formatCode>
                <c:ptCount val="4"/>
                <c:pt idx="0">
                  <c:v>0.4508755027310854</c:v>
                </c:pt>
                <c:pt idx="1">
                  <c:v>0.55336374478841155</c:v>
                </c:pt>
                <c:pt idx="2">
                  <c:v>0.66597848128549242</c:v>
                </c:pt>
                <c:pt idx="3">
                  <c:v>0.68948563834892018</c:v>
                </c:pt>
              </c:numCache>
            </c:numRef>
          </c:val>
          <c:extLst>
            <c:ext xmlns:c16="http://schemas.microsoft.com/office/drawing/2014/chart" uri="{C3380CC4-5D6E-409C-BE32-E72D297353CC}">
              <c16:uniqueId val="{00000000-DF82-47C6-BB61-F82A8E3EAE12}"/>
            </c:ext>
          </c:extLst>
        </c:ser>
        <c:dLbls>
          <c:showLegendKey val="0"/>
          <c:showVal val="0"/>
          <c:showCatName val="0"/>
          <c:showSerName val="0"/>
          <c:showPercent val="0"/>
          <c:showBubbleSize val="0"/>
        </c:dLbls>
        <c:gapWidth val="219"/>
        <c:overlap val="-27"/>
        <c:axId val="1319221439"/>
        <c:axId val="1319223103"/>
      </c:barChart>
      <c:catAx>
        <c:axId val="131922143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19223103"/>
        <c:crosses val="autoZero"/>
        <c:auto val="1"/>
        <c:lblAlgn val="ctr"/>
        <c:lblOffset val="100"/>
        <c:noMultiLvlLbl val="0"/>
      </c:catAx>
      <c:valAx>
        <c:axId val="1319223103"/>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1922143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'Market BB quarts'!$B$3</c:f>
              <c:strCache>
                <c:ptCount val="1"/>
                <c:pt idx="0">
                  <c:v>TotalPlay (Residential)</c:v>
                </c:pt>
              </c:strCache>
            </c:strRef>
          </c:tx>
          <c:spPr>
            <a:ln w="25400" cap="rnd">
              <a:solidFill>
                <a:srgbClr val="263238"/>
              </a:solidFill>
              <a:prstDash val="solid"/>
              <a:round/>
            </a:ln>
            <a:effectLst/>
          </c:spPr>
          <c:marker>
            <c:symbol val="none"/>
          </c:marker>
          <c:cat>
            <c:strRef>
              <c:f>'Market BB quarts'!$V$2:$AA$2</c:f>
              <c:strCache>
                <c:ptCount val="6"/>
                <c:pt idx="0">
                  <c:v>Q1 21</c:v>
                </c:pt>
                <c:pt idx="1">
                  <c:v>Q2 21</c:v>
                </c:pt>
                <c:pt idx="2">
                  <c:v>Q3 21</c:v>
                </c:pt>
                <c:pt idx="3">
                  <c:v>Q4 21</c:v>
                </c:pt>
                <c:pt idx="4">
                  <c:v>Q1 22</c:v>
                </c:pt>
                <c:pt idx="5">
                  <c:v>Q2 22</c:v>
                </c:pt>
              </c:strCache>
            </c:strRef>
          </c:cat>
          <c:val>
            <c:numRef>
              <c:f>'Market BB quarts'!$V$3:$AA$3</c:f>
              <c:numCache>
                <c:formatCode>0%</c:formatCode>
                <c:ptCount val="6"/>
                <c:pt idx="0">
                  <c:v>0.67371474504595796</c:v>
                </c:pt>
                <c:pt idx="1">
                  <c:v>0.60921095456432051</c:v>
                </c:pt>
                <c:pt idx="2">
                  <c:v>0.51494426900795709</c:v>
                </c:pt>
                <c:pt idx="3">
                  <c:v>0.42640186915887845</c:v>
                </c:pt>
                <c:pt idx="4">
                  <c:v>0.44080183754437252</c:v>
                </c:pt>
                <c:pt idx="5">
                  <c:v>0.39863065804488396</c:v>
                </c:pt>
              </c:numCache>
            </c:numRef>
          </c:val>
          <c:smooth val="0"/>
          <c:extLst>
            <c:ext xmlns:c16="http://schemas.microsoft.com/office/drawing/2014/chart" uri="{C3380CC4-5D6E-409C-BE32-E72D297353CC}">
              <c16:uniqueId val="{00000000-AA9F-4220-8BB6-4B8468A3A278}"/>
            </c:ext>
          </c:extLst>
        </c:ser>
        <c:ser>
          <c:idx val="1"/>
          <c:order val="1"/>
          <c:tx>
            <c:strRef>
              <c:f>'Market BB quarts'!$B$4</c:f>
              <c:strCache>
                <c:ptCount val="1"/>
                <c:pt idx="0">
                  <c:v>MEGA (Cable)</c:v>
                </c:pt>
              </c:strCache>
            </c:strRef>
          </c:tx>
          <c:spPr>
            <a:ln w="25400" cap="rnd">
              <a:solidFill>
                <a:srgbClr val="799098"/>
              </a:solidFill>
              <a:prstDash val="solid"/>
              <a:round/>
            </a:ln>
            <a:effectLst/>
          </c:spPr>
          <c:marker>
            <c:symbol val="none"/>
          </c:marker>
          <c:cat>
            <c:strRef>
              <c:f>'Market BB quarts'!$V$2:$AA$2</c:f>
              <c:strCache>
                <c:ptCount val="6"/>
                <c:pt idx="0">
                  <c:v>Q1 21</c:v>
                </c:pt>
                <c:pt idx="1">
                  <c:v>Q2 21</c:v>
                </c:pt>
                <c:pt idx="2">
                  <c:v>Q3 21</c:v>
                </c:pt>
                <c:pt idx="3">
                  <c:v>Q4 21</c:v>
                </c:pt>
                <c:pt idx="4">
                  <c:v>Q1 22</c:v>
                </c:pt>
                <c:pt idx="5">
                  <c:v>Q2 22</c:v>
                </c:pt>
              </c:strCache>
            </c:strRef>
          </c:cat>
          <c:val>
            <c:numRef>
              <c:f>'Market BB quarts'!$V$4:$AA$4</c:f>
              <c:numCache>
                <c:formatCode>0%</c:formatCode>
                <c:ptCount val="6"/>
                <c:pt idx="0">
                  <c:v>8.9488805042994501E-2</c:v>
                </c:pt>
                <c:pt idx="1">
                  <c:v>0.11933043688411837</c:v>
                </c:pt>
                <c:pt idx="2">
                  <c:v>9.7694672021168438E-2</c:v>
                </c:pt>
                <c:pt idx="3">
                  <c:v>0.12241253664376783</c:v>
                </c:pt>
                <c:pt idx="4">
                  <c:v>0.10316272509113578</c:v>
                </c:pt>
                <c:pt idx="5">
                  <c:v>0.10106764069264051</c:v>
                </c:pt>
              </c:numCache>
            </c:numRef>
          </c:val>
          <c:smooth val="0"/>
          <c:extLst>
            <c:ext xmlns:c16="http://schemas.microsoft.com/office/drawing/2014/chart" uri="{C3380CC4-5D6E-409C-BE32-E72D297353CC}">
              <c16:uniqueId val="{00000001-AA9F-4220-8BB6-4B8468A3A278}"/>
            </c:ext>
          </c:extLst>
        </c:ser>
        <c:ser>
          <c:idx val="2"/>
          <c:order val="2"/>
          <c:tx>
            <c:strRef>
              <c:f>'Market BB quarts'!$B$5</c:f>
              <c:strCache>
                <c:ptCount val="1"/>
                <c:pt idx="0">
                  <c:v>TV (Retail)</c:v>
                </c:pt>
              </c:strCache>
            </c:strRef>
          </c:tx>
          <c:spPr>
            <a:ln w="25400" cap="rnd">
              <a:solidFill>
                <a:srgbClr val="F9663E"/>
              </a:solidFill>
              <a:prstDash val="solid"/>
              <a:round/>
            </a:ln>
            <a:effectLst/>
          </c:spPr>
          <c:marker>
            <c:symbol val="none"/>
          </c:marker>
          <c:cat>
            <c:strRef>
              <c:f>'Market BB quarts'!$V$2:$AA$2</c:f>
              <c:strCache>
                <c:ptCount val="6"/>
                <c:pt idx="0">
                  <c:v>Q1 21</c:v>
                </c:pt>
                <c:pt idx="1">
                  <c:v>Q2 21</c:v>
                </c:pt>
                <c:pt idx="2">
                  <c:v>Q3 21</c:v>
                </c:pt>
                <c:pt idx="3">
                  <c:v>Q4 21</c:v>
                </c:pt>
                <c:pt idx="4">
                  <c:v>Q1 22</c:v>
                </c:pt>
                <c:pt idx="5">
                  <c:v>Q2 22</c:v>
                </c:pt>
              </c:strCache>
            </c:strRef>
          </c:cat>
          <c:val>
            <c:numRef>
              <c:f>'Market BB quarts'!$V$5:$AA$5</c:f>
              <c:numCache>
                <c:formatCode>0%</c:formatCode>
                <c:ptCount val="6"/>
                <c:pt idx="0">
                  <c:v>7.2673226732267393E-2</c:v>
                </c:pt>
                <c:pt idx="1">
                  <c:v>6.4054789001913637E-2</c:v>
                </c:pt>
                <c:pt idx="2">
                  <c:v>5.8277109611811762E-2</c:v>
                </c:pt>
                <c:pt idx="3">
                  <c:v>4.8198377875282583E-2</c:v>
                </c:pt>
                <c:pt idx="4">
                  <c:v>3.3979933110367844E-2</c:v>
                </c:pt>
                <c:pt idx="5">
                  <c:v>3.7917652626597187E-2</c:v>
                </c:pt>
              </c:numCache>
            </c:numRef>
          </c:val>
          <c:smooth val="0"/>
          <c:extLst>
            <c:ext xmlns:c16="http://schemas.microsoft.com/office/drawing/2014/chart" uri="{C3380CC4-5D6E-409C-BE32-E72D297353CC}">
              <c16:uniqueId val="{00000002-AA9F-4220-8BB6-4B8468A3A278}"/>
            </c:ext>
          </c:extLst>
        </c:ser>
        <c:ser>
          <c:idx val="3"/>
          <c:order val="3"/>
          <c:tx>
            <c:strRef>
              <c:f>'Market BB quarts'!$B$6</c:f>
              <c:strCache>
                <c:ptCount val="1"/>
                <c:pt idx="0">
                  <c:v>Telmex</c:v>
                </c:pt>
              </c:strCache>
            </c:strRef>
          </c:tx>
          <c:spPr>
            <a:ln w="25400" cap="rnd">
              <a:solidFill>
                <a:srgbClr val="C7FE02"/>
              </a:solidFill>
              <a:prstDash val="solid"/>
              <a:round/>
            </a:ln>
            <a:effectLst/>
          </c:spPr>
          <c:marker>
            <c:symbol val="none"/>
          </c:marker>
          <c:cat>
            <c:strRef>
              <c:f>'Market BB quarts'!$V$2:$AA$2</c:f>
              <c:strCache>
                <c:ptCount val="6"/>
                <c:pt idx="0">
                  <c:v>Q1 21</c:v>
                </c:pt>
                <c:pt idx="1">
                  <c:v>Q2 21</c:v>
                </c:pt>
                <c:pt idx="2">
                  <c:v>Q3 21</c:v>
                </c:pt>
                <c:pt idx="3">
                  <c:v>Q4 21</c:v>
                </c:pt>
                <c:pt idx="4">
                  <c:v>Q1 22</c:v>
                </c:pt>
                <c:pt idx="5">
                  <c:v>Q2 22</c:v>
                </c:pt>
              </c:strCache>
            </c:strRef>
          </c:cat>
          <c:val>
            <c:numRef>
              <c:f>'Market BB quarts'!$V$6:$AA$6</c:f>
              <c:numCache>
                <c:formatCode>0%</c:formatCode>
                <c:ptCount val="6"/>
                <c:pt idx="0">
                  <c:v>-2.6254988447804717E-4</c:v>
                </c:pt>
                <c:pt idx="1">
                  <c:v>-4.300849680058727E-3</c:v>
                </c:pt>
                <c:pt idx="2">
                  <c:v>1.9341320582388688E-2</c:v>
                </c:pt>
                <c:pt idx="3">
                  <c:v>1.3271996615905168E-2</c:v>
                </c:pt>
                <c:pt idx="4">
                  <c:v>-3.1724355270760007E-2</c:v>
                </c:pt>
                <c:pt idx="5">
                  <c:v>-2.5495153813737903E-2</c:v>
                </c:pt>
              </c:numCache>
            </c:numRef>
          </c:val>
          <c:smooth val="0"/>
          <c:extLst>
            <c:ext xmlns:c16="http://schemas.microsoft.com/office/drawing/2014/chart" uri="{C3380CC4-5D6E-409C-BE32-E72D297353CC}">
              <c16:uniqueId val="{00000003-AA9F-4220-8BB6-4B8468A3A278}"/>
            </c:ext>
          </c:extLst>
        </c:ser>
        <c:ser>
          <c:idx val="4"/>
          <c:order val="4"/>
          <c:tx>
            <c:strRef>
              <c:f>'Market BB quarts'!$B$7</c:f>
              <c:strCache>
                <c:ptCount val="1"/>
                <c:pt idx="0">
                  <c:v>Total</c:v>
                </c:pt>
              </c:strCache>
            </c:strRef>
          </c:tx>
          <c:spPr>
            <a:ln w="25400" cap="rnd">
              <a:solidFill>
                <a:srgbClr val="00C994"/>
              </a:solidFill>
              <a:prstDash val="solid"/>
              <a:round/>
            </a:ln>
            <a:effectLst/>
          </c:spPr>
          <c:marker>
            <c:symbol val="none"/>
          </c:marker>
          <c:cat>
            <c:strRef>
              <c:f>'Market BB quarts'!$V$2:$AA$2</c:f>
              <c:strCache>
                <c:ptCount val="6"/>
                <c:pt idx="0">
                  <c:v>Q1 21</c:v>
                </c:pt>
                <c:pt idx="1">
                  <c:v>Q2 21</c:v>
                </c:pt>
                <c:pt idx="2">
                  <c:v>Q3 21</c:v>
                </c:pt>
                <c:pt idx="3">
                  <c:v>Q4 21</c:v>
                </c:pt>
                <c:pt idx="4">
                  <c:v>Q1 22</c:v>
                </c:pt>
                <c:pt idx="5">
                  <c:v>Q2 22</c:v>
                </c:pt>
              </c:strCache>
            </c:strRef>
          </c:cat>
          <c:val>
            <c:numRef>
              <c:f>'Market BB quarts'!$V$7:$AA$7</c:f>
              <c:numCache>
                <c:formatCode>0%</c:formatCode>
                <c:ptCount val="6"/>
                <c:pt idx="0">
                  <c:v>8.399052514853711E-2</c:v>
                </c:pt>
                <c:pt idx="1">
                  <c:v>8.4255417874936178E-2</c:v>
                </c:pt>
                <c:pt idx="2">
                  <c:v>8.9294893061929059E-2</c:v>
                </c:pt>
                <c:pt idx="3">
                  <c:v>8.2801151668369766E-2</c:v>
                </c:pt>
                <c:pt idx="4">
                  <c:v>6.1022366226519908E-2</c:v>
                </c:pt>
                <c:pt idx="5">
                  <c:v>6.3763450719932724E-2</c:v>
                </c:pt>
              </c:numCache>
            </c:numRef>
          </c:val>
          <c:smooth val="0"/>
          <c:extLst>
            <c:ext xmlns:c16="http://schemas.microsoft.com/office/drawing/2014/chart" uri="{C3380CC4-5D6E-409C-BE32-E72D297353CC}">
              <c16:uniqueId val="{00000004-AA9F-4220-8BB6-4B8468A3A278}"/>
            </c:ext>
          </c:extLst>
        </c:ser>
        <c:dLbls>
          <c:showLegendKey val="0"/>
          <c:showVal val="0"/>
          <c:showCatName val="0"/>
          <c:showSerName val="0"/>
          <c:showPercent val="0"/>
          <c:showBubbleSize val="0"/>
        </c:dLbls>
        <c:smooth val="0"/>
        <c:axId val="23546975"/>
        <c:axId val="23535743"/>
      </c:lineChart>
      <c:catAx>
        <c:axId val="2354697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3535743"/>
        <c:crosses val="autoZero"/>
        <c:auto val="1"/>
        <c:lblAlgn val="ctr"/>
        <c:lblOffset val="100"/>
        <c:noMultiLvlLbl val="0"/>
      </c:catAx>
      <c:valAx>
        <c:axId val="23535743"/>
        <c:scaling>
          <c:orientation val="minMax"/>
        </c:scaling>
        <c:delete val="1"/>
        <c:axPos val="l"/>
        <c:numFmt formatCode="0%" sourceLinked="1"/>
        <c:majorTickMark val="out"/>
        <c:minorTickMark val="none"/>
        <c:tickLblPos val="nextTo"/>
        <c:crossAx val="2354697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Analysis!$C$477</c:f>
              <c:strCache>
                <c:ptCount val="1"/>
                <c:pt idx="0">
                  <c:v>Totalplay</c:v>
                </c:pt>
              </c:strCache>
            </c:strRef>
          </c:tx>
          <c:spPr>
            <a:solidFill>
              <a:srgbClr val="000080"/>
            </a:solidFill>
            <a:ln w="25400">
              <a:noFill/>
            </a:ln>
            <a:effectLst/>
          </c:spPr>
          <c:invertIfNegative val="0"/>
          <c:cat>
            <c:strRef>
              <c:f>'Market BB quarts'!$D$2:$K$2</c:f>
              <c:strCache>
                <c:ptCount val="1"/>
                <c:pt idx="0">
                  <c:v>Q1 22</c:v>
                </c:pt>
              </c:strCache>
            </c:strRef>
          </c:cat>
          <c:val>
            <c:numRef>
              <c:f>Analysis!$E$477:$L$477</c:f>
              <c:numCache>
                <c:formatCode>#,##0</c:formatCode>
                <c:ptCount val="8"/>
                <c:pt idx="0">
                  <c:v>254.07012666048809</c:v>
                </c:pt>
                <c:pt idx="1">
                  <c:v>277.43589743589746</c:v>
                </c:pt>
                <c:pt idx="2">
                  <c:v>289</c:v>
                </c:pt>
                <c:pt idx="3">
                  <c:v>251</c:v>
                </c:pt>
                <c:pt idx="4">
                  <c:v>234</c:v>
                </c:pt>
                <c:pt idx="5">
                  <c:v>279</c:v>
                </c:pt>
                <c:pt idx="6">
                  <c:v>250</c:v>
                </c:pt>
                <c:pt idx="7">
                  <c:v>274</c:v>
                </c:pt>
              </c:numCache>
            </c:numRef>
          </c:val>
          <c:extLst>
            <c:ext xmlns:c16="http://schemas.microsoft.com/office/drawing/2014/chart" uri="{C3380CC4-5D6E-409C-BE32-E72D297353CC}">
              <c16:uniqueId val="{00000000-9FC4-4228-AE83-D60F1972CFFD}"/>
            </c:ext>
          </c:extLst>
        </c:ser>
        <c:ser>
          <c:idx val="1"/>
          <c:order val="1"/>
          <c:tx>
            <c:strRef>
              <c:f>Analysis!$C$478</c:f>
              <c:strCache>
                <c:ptCount val="1"/>
                <c:pt idx="0">
                  <c:v>MEGA (Cable)</c:v>
                </c:pt>
              </c:strCache>
            </c:strRef>
          </c:tx>
          <c:spPr>
            <a:solidFill>
              <a:srgbClr val="9999FF"/>
            </a:solidFill>
            <a:ln w="25400">
              <a:noFill/>
            </a:ln>
            <a:effectLst/>
          </c:spPr>
          <c:invertIfNegative val="0"/>
          <c:cat>
            <c:strRef>
              <c:f>'Market BB quarts'!$D$2:$K$2</c:f>
              <c:strCache>
                <c:ptCount val="1"/>
                <c:pt idx="0">
                  <c:v>Q1 22</c:v>
                </c:pt>
              </c:strCache>
            </c:strRef>
          </c:cat>
          <c:val>
            <c:numRef>
              <c:f>Analysis!$E$478:$L$478</c:f>
              <c:numCache>
                <c:formatCode>#,##0</c:formatCode>
                <c:ptCount val="8"/>
                <c:pt idx="0">
                  <c:v>83.019000000000233</c:v>
                </c:pt>
                <c:pt idx="1">
                  <c:v>184.5949999999998</c:v>
                </c:pt>
                <c:pt idx="2">
                  <c:v>96.329000000000178</c:v>
                </c:pt>
                <c:pt idx="3">
                  <c:v>79.415999999999713</c:v>
                </c:pt>
                <c:pt idx="4">
                  <c:v>58.160000000000309</c:v>
                </c:pt>
                <c:pt idx="5">
                  <c:v>105.01199999999972</c:v>
                </c:pt>
                <c:pt idx="6">
                  <c:v>80.981000000000222</c:v>
                </c:pt>
                <c:pt idx="7">
                  <c:v>59.403999999999996</c:v>
                </c:pt>
              </c:numCache>
            </c:numRef>
          </c:val>
          <c:extLst>
            <c:ext xmlns:c16="http://schemas.microsoft.com/office/drawing/2014/chart" uri="{C3380CC4-5D6E-409C-BE32-E72D297353CC}">
              <c16:uniqueId val="{00000001-9FC4-4228-AE83-D60F1972CFFD}"/>
            </c:ext>
          </c:extLst>
        </c:ser>
        <c:ser>
          <c:idx val="2"/>
          <c:order val="2"/>
          <c:tx>
            <c:strRef>
              <c:f>Analysis!$C$479</c:f>
              <c:strCache>
                <c:ptCount val="1"/>
                <c:pt idx="0">
                  <c:v>TV (Retail)</c:v>
                </c:pt>
              </c:strCache>
            </c:strRef>
          </c:tx>
          <c:spPr>
            <a:solidFill>
              <a:srgbClr val="3366FF"/>
            </a:solidFill>
            <a:ln w="25400">
              <a:noFill/>
            </a:ln>
            <a:effectLst/>
          </c:spPr>
          <c:invertIfNegative val="0"/>
          <c:cat>
            <c:strRef>
              <c:f>'Market BB quarts'!$D$2:$K$2</c:f>
              <c:strCache>
                <c:ptCount val="1"/>
                <c:pt idx="0">
                  <c:v>Q1 22</c:v>
                </c:pt>
              </c:strCache>
            </c:strRef>
          </c:cat>
          <c:val>
            <c:numRef>
              <c:f>Analysis!$E$479:$L$479</c:f>
              <c:numCache>
                <c:formatCode>#,##0</c:formatCode>
                <c:ptCount val="8"/>
                <c:pt idx="0">
                  <c:v>252</c:v>
                </c:pt>
                <c:pt idx="1">
                  <c:v>234</c:v>
                </c:pt>
                <c:pt idx="2">
                  <c:v>128.80057500770636</c:v>
                </c:pt>
                <c:pt idx="3">
                  <c:v>103.19942499229364</c:v>
                </c:pt>
                <c:pt idx="4">
                  <c:v>31</c:v>
                </c:pt>
                <c:pt idx="5">
                  <c:v>25</c:v>
                </c:pt>
                <c:pt idx="6">
                  <c:v>58.101999999999862</c:v>
                </c:pt>
                <c:pt idx="7">
                  <c:v>82.923999999999978</c:v>
                </c:pt>
              </c:numCache>
            </c:numRef>
          </c:val>
          <c:extLst>
            <c:ext xmlns:c16="http://schemas.microsoft.com/office/drawing/2014/chart" uri="{C3380CC4-5D6E-409C-BE32-E72D297353CC}">
              <c16:uniqueId val="{00000002-9FC4-4228-AE83-D60F1972CFFD}"/>
            </c:ext>
          </c:extLst>
        </c:ser>
        <c:ser>
          <c:idx val="3"/>
          <c:order val="3"/>
          <c:tx>
            <c:strRef>
              <c:f>Analysis!$C$480</c:f>
              <c:strCache>
                <c:ptCount val="1"/>
                <c:pt idx="0">
                  <c:v>Telmex</c:v>
                </c:pt>
              </c:strCache>
            </c:strRef>
          </c:tx>
          <c:spPr>
            <a:solidFill>
              <a:srgbClr val="CCCCFF"/>
            </a:solidFill>
            <a:ln w="25400">
              <a:noFill/>
            </a:ln>
            <a:effectLst/>
          </c:spPr>
          <c:invertIfNegative val="0"/>
          <c:cat>
            <c:strRef>
              <c:f>'Market BB quarts'!$D$2:$K$2</c:f>
              <c:strCache>
                <c:ptCount val="1"/>
                <c:pt idx="0">
                  <c:v>Q1 22</c:v>
                </c:pt>
              </c:strCache>
            </c:strRef>
          </c:cat>
          <c:val>
            <c:numRef>
              <c:f>Analysis!$E$480:$L$480</c:f>
              <c:numCache>
                <c:formatCode>#,##0</c:formatCode>
                <c:ptCount val="8"/>
                <c:pt idx="0">
                  <c:v>63</c:v>
                </c:pt>
                <c:pt idx="1">
                  <c:v>117</c:v>
                </c:pt>
                <c:pt idx="2">
                  <c:v>33</c:v>
                </c:pt>
                <c:pt idx="3">
                  <c:v>-19</c:v>
                </c:pt>
                <c:pt idx="4">
                  <c:v>-38</c:v>
                </c:pt>
                <c:pt idx="5">
                  <c:v>94</c:v>
                </c:pt>
                <c:pt idx="6">
                  <c:v>-11</c:v>
                </c:pt>
                <c:pt idx="7">
                  <c:v>63</c:v>
                </c:pt>
              </c:numCache>
            </c:numRef>
          </c:val>
          <c:extLst>
            <c:ext xmlns:c16="http://schemas.microsoft.com/office/drawing/2014/chart" uri="{C3380CC4-5D6E-409C-BE32-E72D297353CC}">
              <c16:uniqueId val="{00000003-9FC4-4228-AE83-D60F1972CFFD}"/>
            </c:ext>
          </c:extLst>
        </c:ser>
        <c:dLbls>
          <c:showLegendKey val="0"/>
          <c:showVal val="0"/>
          <c:showCatName val="0"/>
          <c:showSerName val="0"/>
          <c:showPercent val="0"/>
          <c:showBubbleSize val="0"/>
        </c:dLbls>
        <c:gapWidth val="219"/>
        <c:overlap val="-27"/>
        <c:axId val="1623347824"/>
        <c:axId val="1623355728"/>
      </c:barChart>
      <c:catAx>
        <c:axId val="162334782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23355728"/>
        <c:crosses val="autoZero"/>
        <c:auto val="1"/>
        <c:lblAlgn val="ctr"/>
        <c:lblOffset val="100"/>
        <c:noMultiLvlLbl val="0"/>
      </c:catAx>
      <c:valAx>
        <c:axId val="162335572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233478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Analysis!$C$598</c:f>
              <c:strCache>
                <c:ptCount val="1"/>
                <c:pt idx="0">
                  <c:v>Base case capex</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Analysis!$F$595:$I$595</c:f>
              <c:numCache>
                <c:formatCode>General</c:formatCode>
                <c:ptCount val="4"/>
                <c:pt idx="0">
                  <c:v>2023</c:v>
                </c:pt>
                <c:pt idx="1">
                  <c:v>2024</c:v>
                </c:pt>
                <c:pt idx="2">
                  <c:v>2025</c:v>
                </c:pt>
                <c:pt idx="3">
                  <c:v>2026</c:v>
                </c:pt>
              </c:numCache>
            </c:numRef>
          </c:cat>
          <c:val>
            <c:numRef>
              <c:f>Analysis!$F$599:$I$599</c:f>
              <c:numCache>
                <c:formatCode>0%</c:formatCode>
                <c:ptCount val="4"/>
                <c:pt idx="0">
                  <c:v>0.43350404780094365</c:v>
                </c:pt>
                <c:pt idx="1">
                  <c:v>0.33</c:v>
                </c:pt>
                <c:pt idx="2">
                  <c:v>0.28000000000000003</c:v>
                </c:pt>
                <c:pt idx="3">
                  <c:v>0.25</c:v>
                </c:pt>
              </c:numCache>
            </c:numRef>
          </c:val>
          <c:smooth val="0"/>
          <c:extLst>
            <c:ext xmlns:c16="http://schemas.microsoft.com/office/drawing/2014/chart" uri="{C3380CC4-5D6E-409C-BE32-E72D297353CC}">
              <c16:uniqueId val="{00000000-A6B2-4ADE-B024-42E6C26A473A}"/>
            </c:ext>
          </c:extLst>
        </c:ser>
        <c:ser>
          <c:idx val="1"/>
          <c:order val="1"/>
          <c:tx>
            <c:strRef>
              <c:f>Analysis!$C$604</c:f>
              <c:strCache>
                <c:ptCount val="1"/>
                <c:pt idx="0">
                  <c:v>Normalised capex</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Analysis!$F$595:$I$595</c:f>
              <c:numCache>
                <c:formatCode>General</c:formatCode>
                <c:ptCount val="4"/>
                <c:pt idx="0">
                  <c:v>2023</c:v>
                </c:pt>
                <c:pt idx="1">
                  <c:v>2024</c:v>
                </c:pt>
                <c:pt idx="2">
                  <c:v>2025</c:v>
                </c:pt>
                <c:pt idx="3">
                  <c:v>2026</c:v>
                </c:pt>
              </c:numCache>
            </c:numRef>
          </c:cat>
          <c:val>
            <c:numRef>
              <c:f>Analysis!$F$603:$I$603</c:f>
              <c:numCache>
                <c:formatCode>0%</c:formatCode>
                <c:ptCount val="4"/>
                <c:pt idx="0">
                  <c:v>0.22500000000000001</c:v>
                </c:pt>
                <c:pt idx="1">
                  <c:v>0.22500000000000001</c:v>
                </c:pt>
                <c:pt idx="2">
                  <c:v>0.22500000000000001</c:v>
                </c:pt>
                <c:pt idx="3">
                  <c:v>0.22500000000000001</c:v>
                </c:pt>
              </c:numCache>
            </c:numRef>
          </c:val>
          <c:smooth val="0"/>
          <c:extLst>
            <c:ext xmlns:c16="http://schemas.microsoft.com/office/drawing/2014/chart" uri="{C3380CC4-5D6E-409C-BE32-E72D297353CC}">
              <c16:uniqueId val="{00000001-A6B2-4ADE-B024-42E6C26A473A}"/>
            </c:ext>
          </c:extLst>
        </c:ser>
        <c:dLbls>
          <c:showLegendKey val="0"/>
          <c:showVal val="0"/>
          <c:showCatName val="0"/>
          <c:showSerName val="0"/>
          <c:showPercent val="0"/>
          <c:showBubbleSize val="0"/>
        </c:dLbls>
        <c:smooth val="0"/>
        <c:axId val="1681059712"/>
        <c:axId val="1681070528"/>
      </c:lineChart>
      <c:catAx>
        <c:axId val="168105971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681070528"/>
        <c:crosses val="autoZero"/>
        <c:auto val="1"/>
        <c:lblAlgn val="ctr"/>
        <c:lblOffset val="100"/>
        <c:noMultiLvlLbl val="0"/>
      </c:catAx>
      <c:valAx>
        <c:axId val="1681070528"/>
        <c:scaling>
          <c:orientation val="minMax"/>
        </c:scaling>
        <c:delete val="1"/>
        <c:axPos val="l"/>
        <c:numFmt formatCode="0%" sourceLinked="1"/>
        <c:majorTickMark val="out"/>
        <c:minorTickMark val="none"/>
        <c:tickLblPos val="nextTo"/>
        <c:crossAx val="16810597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snaps'!$B$95</c:f>
              <c:strCache>
                <c:ptCount val="1"/>
                <c:pt idx="0">
                  <c:v>Gross adds</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cat>
            <c:strRef>
              <c:f>'Earnings snaps'!$D$94:$W$94</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snaps'!$D$95:$W$95</c:f>
              <c:numCache>
                <c:formatCode>0</c:formatCode>
                <c:ptCount val="20"/>
                <c:pt idx="0">
                  <c:v>308.60460000000029</c:v>
                </c:pt>
                <c:pt idx="1">
                  <c:v>297.96589199999983</c:v>
                </c:pt>
                <c:pt idx="2">
                  <c:v>242.25100000000018</c:v>
                </c:pt>
                <c:pt idx="3">
                  <c:v>225.3177959999997</c:v>
                </c:pt>
                <c:pt idx="4">
                  <c:v>234.04528800000023</c:v>
                </c:pt>
                <c:pt idx="5">
                  <c:v>329.91799999999978</c:v>
                </c:pt>
                <c:pt idx="6">
                  <c:v>260.20076000000017</c:v>
                </c:pt>
                <c:pt idx="7">
                  <c:v>279.50446799999969</c:v>
                </c:pt>
                <c:pt idx="8">
                  <c:v>273.54440000000028</c:v>
                </c:pt>
                <c:pt idx="9">
                  <c:v>323.88599999999974</c:v>
                </c:pt>
                <c:pt idx="10">
                  <c:v>306.1557200000002</c:v>
                </c:pt>
                <c:pt idx="11">
                  <c:v>300.93925899999999</c:v>
                </c:pt>
                <c:pt idx="12">
                  <c:v>334.53505699999988</c:v>
                </c:pt>
                <c:pt idx="13">
                  <c:v>370.61777500000017</c:v>
                </c:pt>
                <c:pt idx="14">
                  <c:v>329.39773199999962</c:v>
                </c:pt>
                <c:pt idx="15">
                  <c:v>383.16302000000024</c:v>
                </c:pt>
                <c:pt idx="16">
                  <c:v>407.56640499999986</c:v>
                </c:pt>
                <c:pt idx="17">
                  <c:v>397.38105100000041</c:v>
                </c:pt>
                <c:pt idx="18">
                  <c:v>402.49061599999936</c:v>
                </c:pt>
                <c:pt idx="19">
                  <c:v>406.2938079999999</c:v>
                </c:pt>
              </c:numCache>
            </c:numRef>
          </c:val>
          <c:extLst>
            <c:ext xmlns:c16="http://schemas.microsoft.com/office/drawing/2014/chart" uri="{C3380CC4-5D6E-409C-BE32-E72D297353CC}">
              <c16:uniqueId val="{00000000-7457-4CF2-91B4-3654776DB8D8}"/>
            </c:ext>
          </c:extLst>
        </c:ser>
        <c:dLbls>
          <c:showLegendKey val="0"/>
          <c:showVal val="0"/>
          <c:showCatName val="0"/>
          <c:showSerName val="0"/>
          <c:showPercent val="0"/>
          <c:showBubbleSize val="0"/>
        </c:dLbls>
        <c:gapWidth val="150"/>
        <c:axId val="1703756751"/>
        <c:axId val="1703756335"/>
      </c:barChart>
      <c:lineChart>
        <c:grouping val="standard"/>
        <c:varyColors val="0"/>
        <c:ser>
          <c:idx val="1"/>
          <c:order val="1"/>
          <c:tx>
            <c:strRef>
              <c:f>'Earnings snaps'!$B$96</c:f>
              <c:strCache>
                <c:ptCount val="1"/>
                <c:pt idx="0">
                  <c:v>Churn</c:v>
                </c:pt>
              </c:strCache>
            </c:strRef>
          </c:tx>
          <c:spPr>
            <a:ln w="25400" cap="rnd">
              <a:solidFill>
                <a:srgbClr val="799098"/>
              </a:solidFill>
              <a:prstDash val="solid"/>
              <a:round/>
            </a:ln>
            <a:effectLst/>
          </c:spPr>
          <c:marker>
            <c:symbol val="none"/>
          </c:marker>
          <c:cat>
            <c:strRef>
              <c:f>'Earnings snaps'!$D$94:$W$94</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snaps'!$D$96:$W$96</c:f>
              <c:numCache>
                <c:formatCode>0.0%</c:formatCode>
                <c:ptCount val="20"/>
                <c:pt idx="0">
                  <c:v>2.7E-2</c:v>
                </c:pt>
                <c:pt idx="1">
                  <c:v>2.8000000000000001E-2</c:v>
                </c:pt>
                <c:pt idx="2">
                  <c:v>2.3E-2</c:v>
                </c:pt>
                <c:pt idx="3">
                  <c:v>1.9E-2</c:v>
                </c:pt>
                <c:pt idx="4">
                  <c:v>1.6E-2</c:v>
                </c:pt>
                <c:pt idx="5">
                  <c:v>1.4999999999999999E-2</c:v>
                </c:pt>
                <c:pt idx="6">
                  <c:v>1.6E-2</c:v>
                </c:pt>
                <c:pt idx="7">
                  <c:v>1.9E-2</c:v>
                </c:pt>
                <c:pt idx="8">
                  <c:v>0.02</c:v>
                </c:pt>
                <c:pt idx="9">
                  <c:v>0.02</c:v>
                </c:pt>
                <c:pt idx="10">
                  <c:v>0.02</c:v>
                </c:pt>
                <c:pt idx="11">
                  <c:v>2.1000000000000001E-2</c:v>
                </c:pt>
                <c:pt idx="12">
                  <c:v>2.7E-2</c:v>
                </c:pt>
                <c:pt idx="13">
                  <c:v>2.3E-2</c:v>
                </c:pt>
                <c:pt idx="14">
                  <c:v>1.7000000000000001E-2</c:v>
                </c:pt>
                <c:pt idx="15">
                  <c:v>1.9E-2</c:v>
                </c:pt>
                <c:pt idx="16">
                  <c:v>1.9E-2</c:v>
                </c:pt>
                <c:pt idx="17">
                  <c:v>2.1000000000000001E-2</c:v>
                </c:pt>
                <c:pt idx="18">
                  <c:v>1.7999999999999999E-2</c:v>
                </c:pt>
                <c:pt idx="19">
                  <c:v>1.7999999999999999E-2</c:v>
                </c:pt>
              </c:numCache>
            </c:numRef>
          </c:val>
          <c:smooth val="0"/>
          <c:extLst>
            <c:ext xmlns:c16="http://schemas.microsoft.com/office/drawing/2014/chart" uri="{C3380CC4-5D6E-409C-BE32-E72D297353CC}">
              <c16:uniqueId val="{00000001-7457-4CF2-91B4-3654776DB8D8}"/>
            </c:ext>
          </c:extLst>
        </c:ser>
        <c:dLbls>
          <c:showLegendKey val="0"/>
          <c:showVal val="0"/>
          <c:showCatName val="0"/>
          <c:showSerName val="0"/>
          <c:showPercent val="0"/>
          <c:showBubbleSize val="0"/>
        </c:dLbls>
        <c:marker val="1"/>
        <c:smooth val="0"/>
        <c:axId val="1703758415"/>
        <c:axId val="1703755503"/>
      </c:lineChart>
      <c:catAx>
        <c:axId val="1703756751"/>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6335"/>
        <c:crosses val="autoZero"/>
        <c:auto val="1"/>
        <c:lblAlgn val="ctr"/>
        <c:lblOffset val="100"/>
        <c:noMultiLvlLbl val="0"/>
      </c:catAx>
      <c:valAx>
        <c:axId val="1703756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6751"/>
        <c:crosses val="autoZero"/>
        <c:crossBetween val="between"/>
      </c:valAx>
      <c:valAx>
        <c:axId val="17037555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8415"/>
        <c:crosses val="max"/>
        <c:crossBetween val="between"/>
      </c:valAx>
      <c:catAx>
        <c:axId val="1703758415"/>
        <c:scaling>
          <c:orientation val="minMax"/>
        </c:scaling>
        <c:delete val="1"/>
        <c:axPos val="b"/>
        <c:numFmt formatCode="General" sourceLinked="1"/>
        <c:majorTickMark val="none"/>
        <c:minorTickMark val="none"/>
        <c:tickLblPos val="nextTo"/>
        <c:crossAx val="1703755503"/>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Analysis!$C$612</c:f>
              <c:strCache>
                <c:ptCount val="1"/>
                <c:pt idx="0">
                  <c:v>MEGA</c:v>
                </c:pt>
              </c:strCache>
            </c:strRef>
          </c:tx>
          <c:spPr>
            <a:ln w="25400" cap="rnd">
              <a:solidFill>
                <a:srgbClr val="263238"/>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Analysis!$D$612:$K$612</c:f>
              <c:numCache>
                <c:formatCode>0.0%</c:formatCode>
                <c:ptCount val="8"/>
                <c:pt idx="0">
                  <c:v>0.44592407770331571</c:v>
                </c:pt>
                <c:pt idx="1">
                  <c:v>0.45496431252884467</c:v>
                </c:pt>
                <c:pt idx="2">
                  <c:v>0.46365487563887503</c:v>
                </c:pt>
                <c:pt idx="3">
                  <c:v>0.47298782317584032</c:v>
                </c:pt>
                <c:pt idx="4">
                  <c:v>0.47284057893930931</c:v>
                </c:pt>
                <c:pt idx="5">
                  <c:v>0.4725599860355254</c:v>
                </c:pt>
                <c:pt idx="6">
                  <c:v>0.47220498039162667</c:v>
                </c:pt>
                <c:pt idx="7">
                  <c:v>0.47180967034162957</c:v>
                </c:pt>
              </c:numCache>
            </c:numRef>
          </c:val>
          <c:smooth val="0"/>
          <c:extLst>
            <c:ext xmlns:c16="http://schemas.microsoft.com/office/drawing/2014/chart" uri="{C3380CC4-5D6E-409C-BE32-E72D297353CC}">
              <c16:uniqueId val="{00000000-86A4-438C-845E-2E256045D26F}"/>
            </c:ext>
          </c:extLst>
        </c:ser>
        <c:ser>
          <c:idx val="1"/>
          <c:order val="1"/>
          <c:tx>
            <c:strRef>
              <c:f>Analysis!$C$613</c:f>
              <c:strCache>
                <c:ptCount val="1"/>
                <c:pt idx="0">
                  <c:v>TV</c:v>
                </c:pt>
              </c:strCache>
            </c:strRef>
          </c:tx>
          <c:spPr>
            <a:ln w="25400" cap="rnd">
              <a:solidFill>
                <a:srgbClr val="F9663E"/>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Analysis!$D$613:$K$613</c:f>
              <c:numCache>
                <c:formatCode>0.0%</c:formatCode>
                <c:ptCount val="8"/>
                <c:pt idx="0">
                  <c:v>0.38150000000000001</c:v>
                </c:pt>
                <c:pt idx="1">
                  <c:v>0.3805</c:v>
                </c:pt>
                <c:pt idx="2">
                  <c:v>0.3795</c:v>
                </c:pt>
                <c:pt idx="3">
                  <c:v>0.3785</c:v>
                </c:pt>
                <c:pt idx="4">
                  <c:v>0.3775</c:v>
                </c:pt>
                <c:pt idx="5">
                  <c:v>0.3775</c:v>
                </c:pt>
                <c:pt idx="6">
                  <c:v>0.3775</c:v>
                </c:pt>
                <c:pt idx="7">
                  <c:v>0.3775</c:v>
                </c:pt>
              </c:numCache>
            </c:numRef>
          </c:val>
          <c:smooth val="0"/>
          <c:extLst>
            <c:ext xmlns:c16="http://schemas.microsoft.com/office/drawing/2014/chart" uri="{C3380CC4-5D6E-409C-BE32-E72D297353CC}">
              <c16:uniqueId val="{00000001-86A4-438C-845E-2E256045D26F}"/>
            </c:ext>
          </c:extLst>
        </c:ser>
        <c:ser>
          <c:idx val="2"/>
          <c:order val="2"/>
          <c:tx>
            <c:strRef>
              <c:f>Analysis!$C$614</c:f>
              <c:strCache>
                <c:ptCount val="1"/>
                <c:pt idx="0">
                  <c:v>New Co </c:v>
                </c:pt>
              </c:strCache>
            </c:strRef>
          </c:tx>
          <c:spPr>
            <a:ln w="25400" cap="rnd">
              <a:solidFill>
                <a:srgbClr val="009999"/>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Analysis!$D$614:$K$614</c:f>
              <c:numCache>
                <c:formatCode>0.0%</c:formatCode>
                <c:ptCount val="8"/>
                <c:pt idx="0">
                  <c:v>0.42778895345211426</c:v>
                </c:pt>
                <c:pt idx="1">
                  <c:v>0.43641743104872216</c:v>
                </c:pt>
                <c:pt idx="2">
                  <c:v>0.46152219788984011</c:v>
                </c:pt>
                <c:pt idx="3">
                  <c:v>0.47891772541269101</c:v>
                </c:pt>
                <c:pt idx="4">
                  <c:v>0.47991772541269101</c:v>
                </c:pt>
                <c:pt idx="5">
                  <c:v>0.48091772541269101</c:v>
                </c:pt>
                <c:pt idx="6">
                  <c:v>0.48191772541269101</c:v>
                </c:pt>
                <c:pt idx="7">
                  <c:v>0.48291772541269101</c:v>
                </c:pt>
              </c:numCache>
            </c:numRef>
          </c:val>
          <c:smooth val="0"/>
          <c:extLst>
            <c:ext xmlns:c16="http://schemas.microsoft.com/office/drawing/2014/chart" uri="{C3380CC4-5D6E-409C-BE32-E72D297353CC}">
              <c16:uniqueId val="{00000002-86A4-438C-845E-2E256045D26F}"/>
            </c:ext>
          </c:extLst>
        </c:ser>
        <c:dLbls>
          <c:showLegendKey val="0"/>
          <c:showVal val="0"/>
          <c:showCatName val="0"/>
          <c:showSerName val="0"/>
          <c:showPercent val="0"/>
          <c:showBubbleSize val="0"/>
        </c:dLbls>
        <c:smooth val="0"/>
        <c:axId val="1261317808"/>
        <c:axId val="1424695888"/>
      </c:lineChart>
      <c:catAx>
        <c:axId val="126131780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24695888"/>
        <c:crosses val="autoZero"/>
        <c:auto val="1"/>
        <c:lblAlgn val="ctr"/>
        <c:lblOffset val="100"/>
        <c:noMultiLvlLbl val="0"/>
      </c:catAx>
      <c:valAx>
        <c:axId val="1424695888"/>
        <c:scaling>
          <c:orientation val="minMax"/>
          <c:min val="0.30000000000000004"/>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613178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Analysis!$C$617</c:f>
              <c:strCache>
                <c:ptCount val="1"/>
                <c:pt idx="0">
                  <c:v>MEGA</c:v>
                </c:pt>
              </c:strCache>
            </c:strRef>
          </c:tx>
          <c:spPr>
            <a:ln w="25400" cap="rnd">
              <a:solidFill>
                <a:srgbClr val="263238"/>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Analysis!$D$617:$K$617</c:f>
              <c:numCache>
                <c:formatCode>0.0%</c:formatCode>
                <c:ptCount val="8"/>
                <c:pt idx="0">
                  <c:v>0.43350404780094365</c:v>
                </c:pt>
                <c:pt idx="1">
                  <c:v>0.33</c:v>
                </c:pt>
                <c:pt idx="2">
                  <c:v>0.28000000000000003</c:v>
                </c:pt>
                <c:pt idx="3">
                  <c:v>0.25</c:v>
                </c:pt>
                <c:pt idx="4">
                  <c:v>0.23</c:v>
                </c:pt>
                <c:pt idx="5">
                  <c:v>0.23</c:v>
                </c:pt>
                <c:pt idx="6">
                  <c:v>0.22999999999999998</c:v>
                </c:pt>
                <c:pt idx="7">
                  <c:v>0.23000000000000004</c:v>
                </c:pt>
              </c:numCache>
            </c:numRef>
          </c:val>
          <c:smooth val="0"/>
          <c:extLst>
            <c:ext xmlns:c16="http://schemas.microsoft.com/office/drawing/2014/chart" uri="{C3380CC4-5D6E-409C-BE32-E72D297353CC}">
              <c16:uniqueId val="{00000000-AB16-4D0C-B23F-8B870AFA0CE4}"/>
            </c:ext>
          </c:extLst>
        </c:ser>
        <c:ser>
          <c:idx val="1"/>
          <c:order val="1"/>
          <c:tx>
            <c:strRef>
              <c:f>Analysis!$C$618</c:f>
              <c:strCache>
                <c:ptCount val="1"/>
                <c:pt idx="0">
                  <c:v>TV</c:v>
                </c:pt>
              </c:strCache>
            </c:strRef>
          </c:tx>
          <c:spPr>
            <a:ln w="25400" cap="rnd">
              <a:solidFill>
                <a:srgbClr val="F9663E"/>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Analysis!$D$618:$K$618</c:f>
              <c:numCache>
                <c:formatCode>0.0%</c:formatCode>
                <c:ptCount val="8"/>
                <c:pt idx="0">
                  <c:v>0.22500000000000003</c:v>
                </c:pt>
                <c:pt idx="1">
                  <c:v>0.22</c:v>
                </c:pt>
                <c:pt idx="2">
                  <c:v>0.22</c:v>
                </c:pt>
                <c:pt idx="3">
                  <c:v>0.22</c:v>
                </c:pt>
                <c:pt idx="4">
                  <c:v>0.22</c:v>
                </c:pt>
                <c:pt idx="5">
                  <c:v>0.22</c:v>
                </c:pt>
                <c:pt idx="6">
                  <c:v>0.22</c:v>
                </c:pt>
                <c:pt idx="7">
                  <c:v>0.22</c:v>
                </c:pt>
              </c:numCache>
            </c:numRef>
          </c:val>
          <c:smooth val="0"/>
          <c:extLst>
            <c:ext xmlns:c16="http://schemas.microsoft.com/office/drawing/2014/chart" uri="{C3380CC4-5D6E-409C-BE32-E72D297353CC}">
              <c16:uniqueId val="{00000001-AB16-4D0C-B23F-8B870AFA0CE4}"/>
            </c:ext>
          </c:extLst>
        </c:ser>
        <c:ser>
          <c:idx val="2"/>
          <c:order val="2"/>
          <c:tx>
            <c:strRef>
              <c:f>Analysis!$C$619</c:f>
              <c:strCache>
                <c:ptCount val="1"/>
                <c:pt idx="0">
                  <c:v>New Co </c:v>
                </c:pt>
              </c:strCache>
            </c:strRef>
          </c:tx>
          <c:spPr>
            <a:ln w="25400" cap="rnd">
              <a:solidFill>
                <a:srgbClr val="009999"/>
              </a:solidFill>
              <a:prstDash val="solid"/>
              <a:round/>
            </a:ln>
            <a:effectLst/>
          </c:spPr>
          <c:marker>
            <c:symbol val="none"/>
          </c:marker>
          <c:cat>
            <c:numRef>
              <c:f>Analysis!$D$611:$K$611</c:f>
              <c:numCache>
                <c:formatCode>General</c:formatCode>
                <c:ptCount val="8"/>
                <c:pt idx="0">
                  <c:v>2023</c:v>
                </c:pt>
                <c:pt idx="1">
                  <c:v>2024</c:v>
                </c:pt>
                <c:pt idx="2">
                  <c:v>2025</c:v>
                </c:pt>
                <c:pt idx="3">
                  <c:v>2026</c:v>
                </c:pt>
                <c:pt idx="4">
                  <c:v>2027</c:v>
                </c:pt>
                <c:pt idx="5">
                  <c:v>2028</c:v>
                </c:pt>
                <c:pt idx="6">
                  <c:v>2029</c:v>
                </c:pt>
                <c:pt idx="7">
                  <c:v>2030</c:v>
                </c:pt>
              </c:numCache>
            </c:numRef>
          </c:cat>
          <c:val>
            <c:numRef>
              <c:f>Analysis!$D$619:$K$619</c:f>
              <c:numCache>
                <c:formatCode>0.0%</c:formatCode>
                <c:ptCount val="8"/>
                <c:pt idx="0">
                  <c:v>0.30382857110202438</c:v>
                </c:pt>
                <c:pt idx="1">
                  <c:v>0.25</c:v>
                </c:pt>
                <c:pt idx="2">
                  <c:v>0.23</c:v>
                </c:pt>
                <c:pt idx="3">
                  <c:v>0.22</c:v>
                </c:pt>
                <c:pt idx="4">
                  <c:v>0.22</c:v>
                </c:pt>
                <c:pt idx="5">
                  <c:v>0.22</c:v>
                </c:pt>
                <c:pt idx="6">
                  <c:v>0.21</c:v>
                </c:pt>
                <c:pt idx="7">
                  <c:v>0.2</c:v>
                </c:pt>
              </c:numCache>
            </c:numRef>
          </c:val>
          <c:smooth val="0"/>
          <c:extLst>
            <c:ext xmlns:c16="http://schemas.microsoft.com/office/drawing/2014/chart" uri="{C3380CC4-5D6E-409C-BE32-E72D297353CC}">
              <c16:uniqueId val="{00000002-AB16-4D0C-B23F-8B870AFA0CE4}"/>
            </c:ext>
          </c:extLst>
        </c:ser>
        <c:dLbls>
          <c:showLegendKey val="0"/>
          <c:showVal val="0"/>
          <c:showCatName val="0"/>
          <c:showSerName val="0"/>
          <c:showPercent val="0"/>
          <c:showBubbleSize val="0"/>
        </c:dLbls>
        <c:smooth val="0"/>
        <c:axId val="1261317808"/>
        <c:axId val="1424695888"/>
      </c:lineChart>
      <c:catAx>
        <c:axId val="126131780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24695888"/>
        <c:crosses val="autoZero"/>
        <c:auto val="1"/>
        <c:lblAlgn val="ctr"/>
        <c:lblOffset val="100"/>
        <c:noMultiLvlLbl val="0"/>
      </c:catAx>
      <c:valAx>
        <c:axId val="1424695888"/>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613178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Analysis!$C$656:$C$659</c:f>
              <c:strCache>
                <c:ptCount val="4"/>
                <c:pt idx="0">
                  <c:v>Current share price</c:v>
                </c:pt>
                <c:pt idx="1">
                  <c:v>Standalone TP</c:v>
                </c:pt>
                <c:pt idx="2">
                  <c:v>TP with full merger benefits</c:v>
                </c:pt>
                <c:pt idx="3">
                  <c:v>TP 33% deal probability</c:v>
                </c:pt>
              </c:strCache>
            </c:strRef>
          </c:cat>
          <c:val>
            <c:numRef>
              <c:f>Analysis!$D$656:$D$659</c:f>
              <c:numCache>
                <c:formatCode>General</c:formatCode>
                <c:ptCount val="4"/>
                <c:pt idx="0" formatCode="0">
                  <c:v>39.47</c:v>
                </c:pt>
                <c:pt idx="1">
                  <c:v>45</c:v>
                </c:pt>
                <c:pt idx="2">
                  <c:v>74</c:v>
                </c:pt>
                <c:pt idx="3" formatCode="0">
                  <c:v>54.666666666666664</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Analysis!$C$662:$C$665</c:f>
              <c:strCache>
                <c:ptCount val="4"/>
                <c:pt idx="0">
                  <c:v>Current share price</c:v>
                </c:pt>
                <c:pt idx="1">
                  <c:v>Standalone TP</c:v>
                </c:pt>
                <c:pt idx="2">
                  <c:v>TP with full merger benefits</c:v>
                </c:pt>
                <c:pt idx="3">
                  <c:v>TP 33% deal probability</c:v>
                </c:pt>
              </c:strCache>
            </c:strRef>
          </c:cat>
          <c:val>
            <c:numRef>
              <c:f>Analysis!$D$662:$D$665</c:f>
              <c:numCache>
                <c:formatCode>General</c:formatCode>
                <c:ptCount val="4"/>
                <c:pt idx="0" formatCode="0.0">
                  <c:v>2.6</c:v>
                </c:pt>
                <c:pt idx="1">
                  <c:v>3.1</c:v>
                </c:pt>
                <c:pt idx="2">
                  <c:v>4.9000000000000004</c:v>
                </c:pt>
                <c:pt idx="3" formatCode="0.0">
                  <c:v>3.7</c:v>
                </c:pt>
              </c:numCache>
            </c:numRef>
          </c:val>
          <c:extLst>
            <c:ext xmlns:c16="http://schemas.microsoft.com/office/drawing/2014/chart" uri="{C3380CC4-5D6E-409C-BE32-E72D297353CC}">
              <c16:uniqueId val="{00000000-DA8D-42D0-A60F-28286D03EF64}"/>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Analysis!$C$686</c:f>
              <c:strCache>
                <c:ptCount val="1"/>
                <c:pt idx="0">
                  <c:v>Capex passed</c:v>
                </c:pt>
              </c:strCache>
            </c:strRef>
          </c:tx>
          <c:spPr>
            <a:solidFill>
              <a:srgbClr val="799098"/>
            </a:solidFill>
            <a:ln>
              <a:noFill/>
            </a:ln>
            <a:effectLst/>
            <a:extLst>
              <a:ext uri="{91240B29-F687-4F45-9708-019B960494DF}">
                <a14:hiddenLine xmlns:a14="http://schemas.microsoft.com/office/drawing/2010/main">
                  <a:noFill/>
                </a14:hiddenLine>
              </a:ext>
            </a:extLst>
          </c:spPr>
          <c:cat>
            <c:strRef>
              <c:f>Analysis!$H$669:$V$669</c:f>
              <c:strCache>
                <c:ptCount val="15"/>
                <c:pt idx="0">
                  <c:v>Q1 22</c:v>
                </c:pt>
                <c:pt idx="1">
                  <c:v>Q2 22</c:v>
                </c:pt>
                <c:pt idx="2">
                  <c:v>Q3 22</c:v>
                </c:pt>
                <c:pt idx="3">
                  <c:v>Q4 22</c:v>
                </c:pt>
                <c:pt idx="4">
                  <c:v>Q1 23</c:v>
                </c:pt>
                <c:pt idx="5">
                  <c:v>Q2 23</c:v>
                </c:pt>
                <c:pt idx="6">
                  <c:v>Q3 23</c:v>
                </c:pt>
                <c:pt idx="7">
                  <c:v>Q4 23</c:v>
                </c:pt>
                <c:pt idx="8">
                  <c:v>Q1 24</c:v>
                </c:pt>
                <c:pt idx="9">
                  <c:v>Q2 24e</c:v>
                </c:pt>
                <c:pt idx="10">
                  <c:v>Q3 24e</c:v>
                </c:pt>
                <c:pt idx="11">
                  <c:v>Q4 24e</c:v>
                </c:pt>
                <c:pt idx="12">
                  <c:v>Q1 25e</c:v>
                </c:pt>
                <c:pt idx="13">
                  <c:v>Q2 25e</c:v>
                </c:pt>
                <c:pt idx="14">
                  <c:v>Q3 25e</c:v>
                </c:pt>
              </c:strCache>
            </c:strRef>
          </c:cat>
          <c:val>
            <c:numRef>
              <c:f>Analysis!$H$686:$W$686</c:f>
              <c:numCache>
                <c:formatCode>0</c:formatCode>
                <c:ptCount val="16"/>
                <c:pt idx="0">
                  <c:v>10.240334999999993</c:v>
                </c:pt>
                <c:pt idx="1">
                  <c:v>36.397424999999998</c:v>
                </c:pt>
                <c:pt idx="2">
                  <c:v>37.515003999999948</c:v>
                </c:pt>
                <c:pt idx="3">
                  <c:v>80.491320000000101</c:v>
                </c:pt>
                <c:pt idx="4">
                  <c:v>73.261439999999894</c:v>
                </c:pt>
                <c:pt idx="5">
                  <c:v>74.160394000000082</c:v>
                </c:pt>
                <c:pt idx="6">
                  <c:v>82.642349999999951</c:v>
                </c:pt>
                <c:pt idx="7">
                  <c:v>66.398174999999938</c:v>
                </c:pt>
                <c:pt idx="8">
                  <c:v>38.51332500000003</c:v>
                </c:pt>
                <c:pt idx="9">
                  <c:v>30</c:v>
                </c:pt>
                <c:pt idx="10">
                  <c:v>26.249999999999861</c:v>
                </c:pt>
                <c:pt idx="11">
                  <c:v>17.736675000000105</c:v>
                </c:pt>
                <c:pt idx="12">
                  <c:v>26.25</c:v>
                </c:pt>
                <c:pt idx="13">
                  <c:v>26.25</c:v>
                </c:pt>
                <c:pt idx="14">
                  <c:v>11.25</c:v>
                </c:pt>
                <c:pt idx="15">
                  <c:v>11.25</c:v>
                </c:pt>
              </c:numCache>
            </c:numRef>
          </c:val>
          <c:extLst>
            <c:ext xmlns:c16="http://schemas.microsoft.com/office/drawing/2014/chart" uri="{C3380CC4-5D6E-409C-BE32-E72D297353CC}">
              <c16:uniqueId val="{00000000-1605-44E4-8BBD-A4452650BE0B}"/>
            </c:ext>
          </c:extLst>
        </c:ser>
        <c:ser>
          <c:idx val="2"/>
          <c:order val="1"/>
          <c:tx>
            <c:strRef>
              <c:f>Analysis!$C$687</c:f>
              <c:strCache>
                <c:ptCount val="1"/>
                <c:pt idx="0">
                  <c:v>Capex connect</c:v>
                </c:pt>
              </c:strCache>
            </c:strRef>
          </c:tx>
          <c:spPr>
            <a:solidFill>
              <a:srgbClr val="00CC99"/>
            </a:solidFill>
            <a:ln w="25400">
              <a:noFill/>
            </a:ln>
            <a:effectLst/>
          </c:spPr>
          <c:cat>
            <c:strRef>
              <c:f>Analysis!$H$669:$V$669</c:f>
              <c:strCache>
                <c:ptCount val="15"/>
                <c:pt idx="0">
                  <c:v>Q1 22</c:v>
                </c:pt>
                <c:pt idx="1">
                  <c:v>Q2 22</c:v>
                </c:pt>
                <c:pt idx="2">
                  <c:v>Q3 22</c:v>
                </c:pt>
                <c:pt idx="3">
                  <c:v>Q4 22</c:v>
                </c:pt>
                <c:pt idx="4">
                  <c:v>Q1 23</c:v>
                </c:pt>
                <c:pt idx="5">
                  <c:v>Q2 23</c:v>
                </c:pt>
                <c:pt idx="6">
                  <c:v>Q3 23</c:v>
                </c:pt>
                <c:pt idx="7">
                  <c:v>Q4 23</c:v>
                </c:pt>
                <c:pt idx="8">
                  <c:v>Q1 24</c:v>
                </c:pt>
                <c:pt idx="9">
                  <c:v>Q2 24e</c:v>
                </c:pt>
                <c:pt idx="10">
                  <c:v>Q3 24e</c:v>
                </c:pt>
                <c:pt idx="11">
                  <c:v>Q4 24e</c:v>
                </c:pt>
                <c:pt idx="12">
                  <c:v>Q1 25e</c:v>
                </c:pt>
                <c:pt idx="13">
                  <c:v>Q2 25e</c:v>
                </c:pt>
                <c:pt idx="14">
                  <c:v>Q3 25e</c:v>
                </c:pt>
              </c:strCache>
            </c:strRef>
          </c:cat>
          <c:val>
            <c:numRef>
              <c:f>Analysis!$H$687:$W$687</c:f>
              <c:numCache>
                <c:formatCode>0</c:formatCode>
                <c:ptCount val="16"/>
                <c:pt idx="0">
                  <c:v>35.365267079999995</c:v>
                </c:pt>
                <c:pt idx="1">
                  <c:v>29.994551999999985</c:v>
                </c:pt>
                <c:pt idx="2">
                  <c:v>40.175051076000017</c:v>
                </c:pt>
                <c:pt idx="3">
                  <c:v>42.784246547999956</c:v>
                </c:pt>
                <c:pt idx="4">
                  <c:v>44.908442478000033</c:v>
                </c:pt>
                <c:pt idx="5">
                  <c:v>45.856569599999986</c:v>
                </c:pt>
                <c:pt idx="6">
                  <c:v>40.265428500000048</c:v>
                </c:pt>
                <c:pt idx="7">
                  <c:v>45.474704999999929</c:v>
                </c:pt>
                <c:pt idx="8">
                  <c:v>45.949488749999993</c:v>
                </c:pt>
                <c:pt idx="9">
                  <c:v>45.77721975</c:v>
                </c:pt>
                <c:pt idx="10">
                  <c:v>44.880327000000008</c:v>
                </c:pt>
                <c:pt idx="11">
                  <c:v>48.03335100000001</c:v>
                </c:pt>
                <c:pt idx="12">
                  <c:v>46.954453500000007</c:v>
                </c:pt>
                <c:pt idx="13">
                  <c:v>47.899453499999993</c:v>
                </c:pt>
                <c:pt idx="14">
                  <c:v>48.743203499999993</c:v>
                </c:pt>
                <c:pt idx="15">
                  <c:v>44.087975999999998</c:v>
                </c:pt>
              </c:numCache>
            </c:numRef>
          </c:val>
          <c:extLst>
            <c:ext xmlns:c16="http://schemas.microsoft.com/office/drawing/2014/chart" uri="{C3380CC4-5D6E-409C-BE32-E72D297353CC}">
              <c16:uniqueId val="{00000002-1605-44E4-8BBD-A4452650BE0B}"/>
            </c:ext>
          </c:extLst>
        </c:ser>
        <c:ser>
          <c:idx val="1"/>
          <c:order val="2"/>
          <c:tx>
            <c:strRef>
              <c:f>Analysis!$C$694</c:f>
              <c:strCache>
                <c:ptCount val="1"/>
                <c:pt idx="0">
                  <c:v>Implied "Other" capex, $</c:v>
                </c:pt>
              </c:strCache>
            </c:strRef>
          </c:tx>
          <c:spPr>
            <a:solidFill>
              <a:srgbClr val="4A626E"/>
            </a:solidFill>
            <a:ln>
              <a:noFill/>
            </a:ln>
            <a:effectLst/>
            <a:extLst>
              <a:ext uri="{91240B29-F687-4F45-9708-019B960494DF}">
                <a14:hiddenLine xmlns:a14="http://schemas.microsoft.com/office/drawing/2010/main">
                  <a:noFill/>
                </a14:hiddenLine>
              </a:ext>
            </a:extLst>
          </c:spPr>
          <c:cat>
            <c:strRef>
              <c:f>Analysis!$H$669:$V$669</c:f>
              <c:strCache>
                <c:ptCount val="15"/>
                <c:pt idx="0">
                  <c:v>Q1 22</c:v>
                </c:pt>
                <c:pt idx="1">
                  <c:v>Q2 22</c:v>
                </c:pt>
                <c:pt idx="2">
                  <c:v>Q3 22</c:v>
                </c:pt>
                <c:pt idx="3">
                  <c:v>Q4 22</c:v>
                </c:pt>
                <c:pt idx="4">
                  <c:v>Q1 23</c:v>
                </c:pt>
                <c:pt idx="5">
                  <c:v>Q2 23</c:v>
                </c:pt>
                <c:pt idx="6">
                  <c:v>Q3 23</c:v>
                </c:pt>
                <c:pt idx="7">
                  <c:v>Q4 23</c:v>
                </c:pt>
                <c:pt idx="8">
                  <c:v>Q1 24</c:v>
                </c:pt>
                <c:pt idx="9">
                  <c:v>Q2 24e</c:v>
                </c:pt>
                <c:pt idx="10">
                  <c:v>Q3 24e</c:v>
                </c:pt>
                <c:pt idx="11">
                  <c:v>Q4 24e</c:v>
                </c:pt>
                <c:pt idx="12">
                  <c:v>Q1 25e</c:v>
                </c:pt>
                <c:pt idx="13">
                  <c:v>Q2 25e</c:v>
                </c:pt>
                <c:pt idx="14">
                  <c:v>Q3 25e</c:v>
                </c:pt>
              </c:strCache>
            </c:strRef>
          </c:cat>
          <c:val>
            <c:numRef>
              <c:f>Analysis!$H$694:$W$694</c:f>
              <c:numCache>
                <c:formatCode>0</c:formatCode>
                <c:ptCount val="16"/>
                <c:pt idx="0">
                  <c:v>68.530752452393159</c:v>
                </c:pt>
                <c:pt idx="1">
                  <c:v>73.198229657102601</c:v>
                </c:pt>
                <c:pt idx="2">
                  <c:v>57.953491797989102</c:v>
                </c:pt>
                <c:pt idx="3">
                  <c:v>77.7916874078999</c:v>
                </c:pt>
                <c:pt idx="4">
                  <c:v>1.6565677457915697</c:v>
                </c:pt>
                <c:pt idx="5">
                  <c:v>45.766727550162685</c:v>
                </c:pt>
                <c:pt idx="6">
                  <c:v>99.348731161637659</c:v>
                </c:pt>
                <c:pt idx="7">
                  <c:v>115.43594131764972</c:v>
                </c:pt>
                <c:pt idx="8">
                  <c:v>53.33822356282122</c:v>
                </c:pt>
                <c:pt idx="9">
                  <c:v>88.132255388444975</c:v>
                </c:pt>
                <c:pt idx="10">
                  <c:v>104.48696779119119</c:v>
                </c:pt>
                <c:pt idx="11">
                  <c:v>96.049332679527538</c:v>
                </c:pt>
                <c:pt idx="12">
                  <c:v>43.873743027460684</c:v>
                </c:pt>
                <c:pt idx="13">
                  <c:v>89.760021638444982</c:v>
                </c:pt>
                <c:pt idx="14">
                  <c:v>103.91627163844498</c:v>
                </c:pt>
                <c:pt idx="15">
                  <c:v>90.276715923138852</c:v>
                </c:pt>
              </c:numCache>
            </c:numRef>
          </c:val>
          <c:extLst>
            <c:ext xmlns:c16="http://schemas.microsoft.com/office/drawing/2014/chart" uri="{C3380CC4-5D6E-409C-BE32-E72D297353CC}">
              <c16:uniqueId val="{00000001-1605-44E4-8BBD-A4452650BE0B}"/>
            </c:ext>
          </c:extLst>
        </c:ser>
        <c:dLbls>
          <c:showLegendKey val="0"/>
          <c:showVal val="0"/>
          <c:showCatName val="0"/>
          <c:showSerName val="0"/>
          <c:showPercent val="0"/>
          <c:showBubbleSize val="0"/>
        </c:dLbls>
        <c:axId val="1892457919"/>
        <c:axId val="101988447"/>
      </c:areaChart>
      <c:lineChart>
        <c:grouping val="standard"/>
        <c:varyColors val="0"/>
        <c:ser>
          <c:idx val="3"/>
          <c:order val="3"/>
          <c:tx>
            <c:strRef>
              <c:f>Analysis!$C$699</c:f>
              <c:strCache>
                <c:ptCount val="1"/>
                <c:pt idx="0">
                  <c:v>Group as % sales (12m rolling average)</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Analysis!$H$669:$V$669</c:f>
              <c:strCache>
                <c:ptCount val="15"/>
                <c:pt idx="0">
                  <c:v>Q1 22</c:v>
                </c:pt>
                <c:pt idx="1">
                  <c:v>Q2 22</c:v>
                </c:pt>
                <c:pt idx="2">
                  <c:v>Q3 22</c:v>
                </c:pt>
                <c:pt idx="3">
                  <c:v>Q4 22</c:v>
                </c:pt>
                <c:pt idx="4">
                  <c:v>Q1 23</c:v>
                </c:pt>
                <c:pt idx="5">
                  <c:v>Q2 23</c:v>
                </c:pt>
                <c:pt idx="6">
                  <c:v>Q3 23</c:v>
                </c:pt>
                <c:pt idx="7">
                  <c:v>Q4 23</c:v>
                </c:pt>
                <c:pt idx="8">
                  <c:v>Q1 24</c:v>
                </c:pt>
                <c:pt idx="9">
                  <c:v>Q2 24e</c:v>
                </c:pt>
                <c:pt idx="10">
                  <c:v>Q3 24e</c:v>
                </c:pt>
                <c:pt idx="11">
                  <c:v>Q4 24e</c:v>
                </c:pt>
                <c:pt idx="12">
                  <c:v>Q1 25e</c:v>
                </c:pt>
                <c:pt idx="13">
                  <c:v>Q2 25e</c:v>
                </c:pt>
                <c:pt idx="14">
                  <c:v>Q3 25e</c:v>
                </c:pt>
              </c:strCache>
            </c:strRef>
          </c:cat>
          <c:val>
            <c:numRef>
              <c:f>Analysis!$H$699:$W$699</c:f>
              <c:numCache>
                <c:formatCode>0%</c:formatCode>
                <c:ptCount val="16"/>
                <c:pt idx="0">
                  <c:v>0.39338580184389521</c:v>
                </c:pt>
                <c:pt idx="1">
                  <c:v>0.41349752385624805</c:v>
                </c:pt>
                <c:pt idx="2">
                  <c:v>0.41751036244232281</c:v>
                </c:pt>
                <c:pt idx="3">
                  <c:v>0.4358436791293715</c:v>
                </c:pt>
                <c:pt idx="4">
                  <c:v>0.42279484498230818</c:v>
                </c:pt>
                <c:pt idx="5">
                  <c:v>0.41721112637833591</c:v>
                </c:pt>
                <c:pt idx="6">
                  <c:v>0.44238646016529853</c:v>
                </c:pt>
                <c:pt idx="7">
                  <c:v>0.43350404780094365</c:v>
                </c:pt>
                <c:pt idx="8">
                  <c:v>0.42562678413201599</c:v>
                </c:pt>
                <c:pt idx="9">
                  <c:v>0.41067460684127777</c:v>
                </c:pt>
                <c:pt idx="10">
                  <c:v>0.37523718827952329</c:v>
                </c:pt>
                <c:pt idx="11">
                  <c:v>0.33</c:v>
                </c:pt>
                <c:pt idx="12">
                  <c:v>0.31930052760336625</c:v>
                </c:pt>
                <c:pt idx="13">
                  <c:v>0.31930052760336625</c:v>
                </c:pt>
                <c:pt idx="14">
                  <c:v>0.31325562794425116</c:v>
                </c:pt>
                <c:pt idx="15">
                  <c:v>0.28000000000000003</c:v>
                </c:pt>
              </c:numCache>
            </c:numRef>
          </c:val>
          <c:smooth val="0"/>
          <c:extLst>
            <c:ext xmlns:c16="http://schemas.microsoft.com/office/drawing/2014/chart" uri="{C3380CC4-5D6E-409C-BE32-E72D297353CC}">
              <c16:uniqueId val="{00000003-1605-44E4-8BBD-A4452650BE0B}"/>
            </c:ext>
          </c:extLst>
        </c:ser>
        <c:dLbls>
          <c:showLegendKey val="0"/>
          <c:showVal val="0"/>
          <c:showCatName val="0"/>
          <c:showSerName val="0"/>
          <c:showPercent val="0"/>
          <c:showBubbleSize val="0"/>
        </c:dLbls>
        <c:marker val="1"/>
        <c:smooth val="0"/>
        <c:axId val="1892536159"/>
        <c:axId val="101993903"/>
      </c:lineChart>
      <c:catAx>
        <c:axId val="1892457919"/>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1988447"/>
        <c:crosses val="autoZero"/>
        <c:auto val="1"/>
        <c:lblAlgn val="ctr"/>
        <c:lblOffset val="100"/>
        <c:noMultiLvlLbl val="0"/>
      </c:catAx>
      <c:valAx>
        <c:axId val="101988447"/>
        <c:scaling>
          <c:orientation val="minMax"/>
        </c:scaling>
        <c:delete val="0"/>
        <c:axPos val="l"/>
        <c:numFmt formatCode="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892457919"/>
        <c:crosses val="autoZero"/>
        <c:crossBetween val="between"/>
      </c:valAx>
      <c:valAx>
        <c:axId val="10199390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892536159"/>
        <c:crosses val="max"/>
        <c:crossBetween val="between"/>
      </c:valAx>
      <c:catAx>
        <c:axId val="1892536159"/>
        <c:scaling>
          <c:orientation val="minMax"/>
        </c:scaling>
        <c:delete val="1"/>
        <c:axPos val="b"/>
        <c:numFmt formatCode="General" sourceLinked="1"/>
        <c:majorTickMark val="out"/>
        <c:minorTickMark val="none"/>
        <c:tickLblPos val="nextTo"/>
        <c:crossAx val="101993903"/>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'Market BB quarts'!$C$378:$U$378</c:f>
              <c:numCache>
                <c:formatCode>0%</c:formatCode>
                <c:ptCount val="11"/>
                <c:pt idx="0">
                  <c:v>0.36103292677478444</c:v>
                </c:pt>
                <c:pt idx="1">
                  <c:v>0.38428890963708695</c:v>
                </c:pt>
                <c:pt idx="2">
                  <c:v>0.4358592560527671</c:v>
                </c:pt>
                <c:pt idx="3">
                  <c:v>0.43350404780094365</c:v>
                </c:pt>
                <c:pt idx="4">
                  <c:v>0.33</c:v>
                </c:pt>
                <c:pt idx="5">
                  <c:v>0.28000000000000003</c:v>
                </c:pt>
                <c:pt idx="6">
                  <c:v>0.25</c:v>
                </c:pt>
                <c:pt idx="7">
                  <c:v>0.23</c:v>
                </c:pt>
                <c:pt idx="8">
                  <c:v>0.23</c:v>
                </c:pt>
                <c:pt idx="9">
                  <c:v>0.22999999999999998</c:v>
                </c:pt>
                <c:pt idx="10">
                  <c:v>0.23000000000000004</c:v>
                </c:pt>
              </c:numCache>
            </c:numRef>
          </c:val>
          <c:extLst>
            <c:ext xmlns:c16="http://schemas.microsoft.com/office/drawing/2014/chart" uri="{C3380CC4-5D6E-409C-BE32-E72D297353CC}">
              <c16:uniqueId val="{00000000-56CE-4FC2-BA80-AD0EC92DD933}"/>
            </c:ext>
          </c:extLst>
        </c:ser>
        <c:dLbls>
          <c:showLegendKey val="0"/>
          <c:showVal val="0"/>
          <c:showCatName val="0"/>
          <c:showSerName val="0"/>
          <c:showPercent val="0"/>
          <c:showBubbleSize val="0"/>
        </c:dLbls>
        <c:gapWidth val="219"/>
        <c:overlap val="-27"/>
        <c:axId val="588446639"/>
        <c:axId val="496269983"/>
      </c:barChart>
      <c:catAx>
        <c:axId val="58844663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269983"/>
        <c:crosses val="autoZero"/>
        <c:auto val="1"/>
        <c:lblAlgn val="ctr"/>
        <c:lblOffset val="100"/>
        <c:noMultiLvlLbl val="0"/>
      </c:catAx>
      <c:valAx>
        <c:axId val="496269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446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Analysis!$C$598</c:f>
              <c:strCache>
                <c:ptCount val="1"/>
                <c:pt idx="0">
                  <c:v>Base case capex</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Analysis!$F$595:$I$595</c:f>
              <c:numCache>
                <c:formatCode>General</c:formatCode>
                <c:ptCount val="4"/>
                <c:pt idx="0">
                  <c:v>2023</c:v>
                </c:pt>
                <c:pt idx="1">
                  <c:v>2024</c:v>
                </c:pt>
                <c:pt idx="2">
                  <c:v>2025</c:v>
                </c:pt>
                <c:pt idx="3">
                  <c:v>2026</c:v>
                </c:pt>
              </c:numCache>
            </c:numRef>
          </c:cat>
          <c:val>
            <c:numRef>
              <c:f>Analysis!$F$598:$I$598</c:f>
              <c:numCache>
                <c:formatCode>#,##0</c:formatCode>
                <c:ptCount val="4"/>
                <c:pt idx="0">
                  <c:v>12949</c:v>
                </c:pt>
                <c:pt idx="1">
                  <c:v>10918.295376578899</c:v>
                </c:pt>
                <c:pt idx="2">
                  <c:v>10087.477536246211</c:v>
                </c:pt>
                <c:pt idx="3">
                  <c:v>9687.2157358793829</c:v>
                </c:pt>
              </c:numCache>
            </c:numRef>
          </c:val>
          <c:extLst>
            <c:ext xmlns:c16="http://schemas.microsoft.com/office/drawing/2014/chart" uri="{C3380CC4-5D6E-409C-BE32-E72D297353CC}">
              <c16:uniqueId val="{00000000-FF8D-41B0-9C5A-6E1A6A8975EF}"/>
            </c:ext>
          </c:extLst>
        </c:ser>
        <c:ser>
          <c:idx val="1"/>
          <c:order val="1"/>
          <c:tx>
            <c:strRef>
              <c:f>Analysis!$C$604</c:f>
              <c:strCache>
                <c:ptCount val="1"/>
                <c:pt idx="0">
                  <c:v>Normalised capex</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Analysis!$F$595:$I$595</c:f>
              <c:numCache>
                <c:formatCode>General</c:formatCode>
                <c:ptCount val="4"/>
                <c:pt idx="0">
                  <c:v>2023</c:v>
                </c:pt>
                <c:pt idx="1">
                  <c:v>2024</c:v>
                </c:pt>
                <c:pt idx="2">
                  <c:v>2025</c:v>
                </c:pt>
                <c:pt idx="3">
                  <c:v>2026</c:v>
                </c:pt>
              </c:numCache>
            </c:numRef>
          </c:cat>
          <c:val>
            <c:numRef>
              <c:f>Analysis!$F$604:$I$604</c:f>
              <c:numCache>
                <c:formatCode>#,##0</c:formatCode>
                <c:ptCount val="4"/>
                <c:pt idx="0">
                  <c:v>6720.8715000000002</c:v>
                </c:pt>
                <c:pt idx="1">
                  <c:v>6855.2889300000006</c:v>
                </c:pt>
                <c:pt idx="2">
                  <c:v>6992.3947086000007</c:v>
                </c:pt>
                <c:pt idx="3">
                  <c:v>7132.2426027720012</c:v>
                </c:pt>
              </c:numCache>
            </c:numRef>
          </c:val>
          <c:extLst>
            <c:ext xmlns:c16="http://schemas.microsoft.com/office/drawing/2014/chart" uri="{C3380CC4-5D6E-409C-BE32-E72D297353CC}">
              <c16:uniqueId val="{00000001-FF8D-41B0-9C5A-6E1A6A8975EF}"/>
            </c:ext>
          </c:extLst>
        </c:ser>
        <c:dLbls>
          <c:showLegendKey val="0"/>
          <c:showVal val="0"/>
          <c:showCatName val="0"/>
          <c:showSerName val="0"/>
          <c:showPercent val="0"/>
          <c:showBubbleSize val="0"/>
        </c:dLbls>
        <c:gapWidth val="30"/>
        <c:overlap val="-27"/>
        <c:axId val="1681059712"/>
        <c:axId val="1681070528"/>
      </c:barChart>
      <c:catAx>
        <c:axId val="168105971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681070528"/>
        <c:crosses val="autoZero"/>
        <c:auto val="1"/>
        <c:lblAlgn val="ctr"/>
        <c:lblOffset val="100"/>
        <c:noMultiLvlLbl val="0"/>
      </c:catAx>
      <c:valAx>
        <c:axId val="1681070528"/>
        <c:scaling>
          <c:orientation val="minMax"/>
        </c:scaling>
        <c:delete val="1"/>
        <c:axPos val="l"/>
        <c:numFmt formatCode="#,##0" sourceLinked="1"/>
        <c:majorTickMark val="out"/>
        <c:minorTickMark val="none"/>
        <c:tickLblPos val="nextTo"/>
        <c:crossAx val="16810597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snaps'!$B$95</c:f>
              <c:strCache>
                <c:ptCount val="1"/>
                <c:pt idx="0">
                  <c:v>Gross adds</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cat>
            <c:strRef>
              <c:f>'Earnings snaps'!$D$94:$W$94</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snaps'!$D$91:$W$91</c:f>
              <c:numCache>
                <c:formatCode>0</c:formatCode>
                <c:ptCount val="20"/>
                <c:pt idx="0">
                  <c:v>289.29219999999998</c:v>
                </c:pt>
                <c:pt idx="1">
                  <c:v>286.36680699999988</c:v>
                </c:pt>
                <c:pt idx="2">
                  <c:v>232.92599999999979</c:v>
                </c:pt>
                <c:pt idx="3">
                  <c:v>211.86727400000038</c:v>
                </c:pt>
                <c:pt idx="4">
                  <c:v>202.50616199999993</c:v>
                </c:pt>
                <c:pt idx="5">
                  <c:v>266.40340000000015</c:v>
                </c:pt>
                <c:pt idx="6">
                  <c:v>212.52565599999974</c:v>
                </c:pt>
                <c:pt idx="7">
                  <c:v>197.66499699999989</c:v>
                </c:pt>
                <c:pt idx="8">
                  <c:v>248.52662200000017</c:v>
                </c:pt>
                <c:pt idx="9">
                  <c:v>296.79599999999999</c:v>
                </c:pt>
                <c:pt idx="10">
                  <c:v>255.6948040000002</c:v>
                </c:pt>
                <c:pt idx="11">
                  <c:v>246.42557999999991</c:v>
                </c:pt>
                <c:pt idx="12">
                  <c:v>277.75584400000002</c:v>
                </c:pt>
                <c:pt idx="13">
                  <c:v>303.84041600000006</c:v>
                </c:pt>
                <c:pt idx="14">
                  <c:v>277.40515199999965</c:v>
                </c:pt>
                <c:pt idx="15">
                  <c:v>306.83389999999997</c:v>
                </c:pt>
                <c:pt idx="16">
                  <c:v>309.64672000000019</c:v>
                </c:pt>
                <c:pt idx="17">
                  <c:v>308.40523599999995</c:v>
                </c:pt>
                <c:pt idx="18">
                  <c:v>281.87047600000017</c:v>
                </c:pt>
                <c:pt idx="19">
                  <c:v>261.43666999999971</c:v>
                </c:pt>
              </c:numCache>
            </c:numRef>
          </c:val>
          <c:extLst>
            <c:ext xmlns:c16="http://schemas.microsoft.com/office/drawing/2014/chart" uri="{C3380CC4-5D6E-409C-BE32-E72D297353CC}">
              <c16:uniqueId val="{00000000-0E72-4D50-BE53-10D3F749E922}"/>
            </c:ext>
          </c:extLst>
        </c:ser>
        <c:dLbls>
          <c:showLegendKey val="0"/>
          <c:showVal val="0"/>
          <c:showCatName val="0"/>
          <c:showSerName val="0"/>
          <c:showPercent val="0"/>
          <c:showBubbleSize val="0"/>
        </c:dLbls>
        <c:gapWidth val="150"/>
        <c:axId val="1703756751"/>
        <c:axId val="1703756335"/>
      </c:barChart>
      <c:lineChart>
        <c:grouping val="standard"/>
        <c:varyColors val="0"/>
        <c:ser>
          <c:idx val="1"/>
          <c:order val="1"/>
          <c:tx>
            <c:strRef>
              <c:f>'Earnings snaps'!$B$96</c:f>
              <c:strCache>
                <c:ptCount val="1"/>
                <c:pt idx="0">
                  <c:v>Churn</c:v>
                </c:pt>
              </c:strCache>
            </c:strRef>
          </c:tx>
          <c:spPr>
            <a:ln w="25400" cap="rnd">
              <a:solidFill>
                <a:srgbClr val="799098"/>
              </a:solidFill>
              <a:prstDash val="solid"/>
              <a:round/>
            </a:ln>
            <a:effectLst/>
          </c:spPr>
          <c:marker>
            <c:symbol val="none"/>
          </c:marker>
          <c:cat>
            <c:strRef>
              <c:f>'Earnings snaps'!$D$94:$W$94</c:f>
              <c:strCache>
                <c:ptCount val="20"/>
                <c:pt idx="0">
                  <c:v>Q2 19</c:v>
                </c:pt>
                <c:pt idx="1">
                  <c:v>Q3 19</c:v>
                </c:pt>
                <c:pt idx="2">
                  <c:v>Q4 19</c:v>
                </c:pt>
                <c:pt idx="3">
                  <c:v>Q1 20</c:v>
                </c:pt>
                <c:pt idx="4">
                  <c:v>Q2 20</c:v>
                </c:pt>
                <c:pt idx="5">
                  <c:v>Q3 20</c:v>
                </c:pt>
                <c:pt idx="6">
                  <c:v>Q4 20</c:v>
                </c:pt>
                <c:pt idx="7">
                  <c:v>Q1 21</c:v>
                </c:pt>
                <c:pt idx="8">
                  <c:v>Q2 21</c:v>
                </c:pt>
                <c:pt idx="9">
                  <c:v>Q3 21</c:v>
                </c:pt>
                <c:pt idx="10">
                  <c:v>Q4 21</c:v>
                </c:pt>
                <c:pt idx="11">
                  <c:v>Q1 22</c:v>
                </c:pt>
                <c:pt idx="12">
                  <c:v>Q2 22</c:v>
                </c:pt>
                <c:pt idx="13">
                  <c:v>Q3 22</c:v>
                </c:pt>
                <c:pt idx="14">
                  <c:v>Q4 22</c:v>
                </c:pt>
                <c:pt idx="15">
                  <c:v>Q1 23</c:v>
                </c:pt>
                <c:pt idx="16">
                  <c:v>Q2 23</c:v>
                </c:pt>
                <c:pt idx="17">
                  <c:v>Q3 23</c:v>
                </c:pt>
                <c:pt idx="18">
                  <c:v>Q4 23</c:v>
                </c:pt>
                <c:pt idx="19">
                  <c:v>Q1 24</c:v>
                </c:pt>
              </c:strCache>
            </c:strRef>
          </c:cat>
          <c:val>
            <c:numRef>
              <c:f>'Earnings snaps'!$D$92:$W$92</c:f>
              <c:numCache>
                <c:formatCode>0.0%</c:formatCode>
                <c:ptCount val="20"/>
                <c:pt idx="0">
                  <c:v>2.8000000000000001E-2</c:v>
                </c:pt>
                <c:pt idx="1">
                  <c:v>2.9000000000000001E-2</c:v>
                </c:pt>
                <c:pt idx="2">
                  <c:v>2.4E-2</c:v>
                </c:pt>
                <c:pt idx="3">
                  <c:v>2.1000000000000001E-2</c:v>
                </c:pt>
                <c:pt idx="4">
                  <c:v>1.7999999999999999E-2</c:v>
                </c:pt>
                <c:pt idx="5">
                  <c:v>1.7000000000000001E-2</c:v>
                </c:pt>
                <c:pt idx="6">
                  <c:v>1.6E-2</c:v>
                </c:pt>
                <c:pt idx="7">
                  <c:v>1.7000000000000001E-2</c:v>
                </c:pt>
                <c:pt idx="8">
                  <c:v>2.1999999999999999E-2</c:v>
                </c:pt>
                <c:pt idx="9">
                  <c:v>2.3E-2</c:v>
                </c:pt>
                <c:pt idx="10">
                  <c:v>2.1999999999999999E-2</c:v>
                </c:pt>
                <c:pt idx="11">
                  <c:v>2.3E-2</c:v>
                </c:pt>
                <c:pt idx="12">
                  <c:v>2.5999999999999999E-2</c:v>
                </c:pt>
                <c:pt idx="13">
                  <c:v>2.4E-2</c:v>
                </c:pt>
                <c:pt idx="14">
                  <c:v>1.7999999999999999E-2</c:v>
                </c:pt>
                <c:pt idx="15">
                  <c:v>0.02</c:v>
                </c:pt>
                <c:pt idx="16">
                  <c:v>0.02</c:v>
                </c:pt>
                <c:pt idx="17">
                  <c:v>2.3E-2</c:v>
                </c:pt>
                <c:pt idx="18">
                  <c:v>2.1999999999999999E-2</c:v>
                </c:pt>
                <c:pt idx="19">
                  <c:v>2.1000000000000001E-2</c:v>
                </c:pt>
              </c:numCache>
            </c:numRef>
          </c:val>
          <c:smooth val="0"/>
          <c:extLst>
            <c:ext xmlns:c16="http://schemas.microsoft.com/office/drawing/2014/chart" uri="{C3380CC4-5D6E-409C-BE32-E72D297353CC}">
              <c16:uniqueId val="{00000001-0E72-4D50-BE53-10D3F749E922}"/>
            </c:ext>
          </c:extLst>
        </c:ser>
        <c:dLbls>
          <c:showLegendKey val="0"/>
          <c:showVal val="0"/>
          <c:showCatName val="0"/>
          <c:showSerName val="0"/>
          <c:showPercent val="0"/>
          <c:showBubbleSize val="0"/>
        </c:dLbls>
        <c:marker val="1"/>
        <c:smooth val="0"/>
        <c:axId val="1703758415"/>
        <c:axId val="1703755503"/>
      </c:lineChart>
      <c:catAx>
        <c:axId val="1703756751"/>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6335"/>
        <c:crosses val="autoZero"/>
        <c:auto val="1"/>
        <c:lblAlgn val="ctr"/>
        <c:lblOffset val="100"/>
        <c:noMultiLvlLbl val="0"/>
      </c:catAx>
      <c:valAx>
        <c:axId val="1703756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6751"/>
        <c:crosses val="autoZero"/>
        <c:crossBetween val="between"/>
      </c:valAx>
      <c:valAx>
        <c:axId val="17037555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703758415"/>
        <c:crosses val="max"/>
        <c:crossBetween val="between"/>
      </c:valAx>
      <c:catAx>
        <c:axId val="1703758415"/>
        <c:scaling>
          <c:orientation val="minMax"/>
        </c:scaling>
        <c:delete val="1"/>
        <c:axPos val="b"/>
        <c:numFmt formatCode="General" sourceLinked="1"/>
        <c:majorTickMark val="none"/>
        <c:minorTickMark val="none"/>
        <c:tickLblPos val="nextTo"/>
        <c:crossAx val="1703755503"/>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snaps'!$B$67</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snaps'!$C$66:$U$66</c:f>
              <c:strCache>
                <c:ptCount val="19"/>
                <c:pt idx="0">
                  <c:v>Q1 19</c:v>
                </c:pt>
                <c:pt idx="1">
                  <c:v>Q2 19</c:v>
                </c:pt>
                <c:pt idx="2">
                  <c:v>Q3 19</c:v>
                </c:pt>
                <c:pt idx="3">
                  <c:v>Q4 19</c:v>
                </c:pt>
                <c:pt idx="4">
                  <c:v>Q1 20</c:v>
                </c:pt>
                <c:pt idx="5">
                  <c:v>Q2 20</c:v>
                </c:pt>
                <c:pt idx="6">
                  <c:v>Q3 20</c:v>
                </c:pt>
                <c:pt idx="7">
                  <c:v>Q4 20</c:v>
                </c:pt>
                <c:pt idx="8">
                  <c:v>Q1 21</c:v>
                </c:pt>
                <c:pt idx="9">
                  <c:v>Q2 21</c:v>
                </c:pt>
                <c:pt idx="10">
                  <c:v>Q3 21</c:v>
                </c:pt>
                <c:pt idx="11">
                  <c:v>Q4 21</c:v>
                </c:pt>
                <c:pt idx="12">
                  <c:v>Q1 22</c:v>
                </c:pt>
                <c:pt idx="13">
                  <c:v>Q2 22</c:v>
                </c:pt>
                <c:pt idx="14">
                  <c:v>Q3 22</c:v>
                </c:pt>
                <c:pt idx="15">
                  <c:v>Q4 22</c:v>
                </c:pt>
                <c:pt idx="16">
                  <c:v>Q1 23</c:v>
                </c:pt>
                <c:pt idx="17">
                  <c:v>Q2 23</c:v>
                </c:pt>
                <c:pt idx="18">
                  <c:v>Q3 23</c:v>
                </c:pt>
              </c:strCache>
            </c:strRef>
          </c:cat>
          <c:val>
            <c:numRef>
              <c:f>'Earnings snaps'!$C$67:$U$67</c:f>
              <c:numCache>
                <c:formatCode>0.0%</c:formatCode>
                <c:ptCount val="19"/>
                <c:pt idx="0">
                  <c:v>5.6865464632454898E-2</c:v>
                </c:pt>
                <c:pt idx="1">
                  <c:v>9.1506335053965326E-2</c:v>
                </c:pt>
                <c:pt idx="2">
                  <c:v>8.1974848625989916E-2</c:v>
                </c:pt>
                <c:pt idx="3">
                  <c:v>8.3523505248744856E-2</c:v>
                </c:pt>
                <c:pt idx="4">
                  <c:v>5.7742782152230943E-2</c:v>
                </c:pt>
                <c:pt idx="5">
                  <c:v>4.2992261392948983E-3</c:v>
                </c:pt>
                <c:pt idx="6">
                  <c:v>-3.0133448127421802E-3</c:v>
                </c:pt>
                <c:pt idx="7">
                  <c:v>-3.5383319292333626E-2</c:v>
                </c:pt>
                <c:pt idx="8">
                  <c:v>-5.5004135649296959E-2</c:v>
                </c:pt>
                <c:pt idx="9">
                  <c:v>-3.210616438356162E-2</c:v>
                </c:pt>
                <c:pt idx="10">
                  <c:v>-3.3246977547495615E-2</c:v>
                </c:pt>
                <c:pt idx="11">
                  <c:v>1.1790393013100475E-2</c:v>
                </c:pt>
                <c:pt idx="12">
                  <c:v>2.1881838074397919E-3</c:v>
                </c:pt>
                <c:pt idx="13">
                  <c:v>2.0344980097302123E-2</c:v>
                </c:pt>
                <c:pt idx="14">
                  <c:v>2.4117909781152358E-2</c:v>
                </c:pt>
                <c:pt idx="15">
                  <c:v>4.747518342684609E-3</c:v>
                </c:pt>
                <c:pt idx="16">
                  <c:v>2.1397379912663883E-2</c:v>
                </c:pt>
                <c:pt idx="17">
                  <c:v>8.6692674469006636E-3</c:v>
                </c:pt>
                <c:pt idx="18">
                  <c:v>1.3519406890536434E-2</c:v>
                </c:pt>
              </c:numCache>
            </c:numRef>
          </c:val>
          <c:smooth val="0"/>
          <c:extLst>
            <c:ext xmlns:c16="http://schemas.microsoft.com/office/drawing/2014/chart" uri="{C3380CC4-5D6E-409C-BE32-E72D297353CC}">
              <c16:uniqueId val="{00000000-10F6-4E17-B8DE-E0406CC4EF2F}"/>
            </c:ext>
          </c:extLst>
        </c:ser>
        <c:ser>
          <c:idx val="1"/>
          <c:order val="1"/>
          <c:tx>
            <c:strRef>
              <c:f>'Earnings snaps'!$B$68</c:f>
              <c:strCache>
                <c:ptCount val="1"/>
                <c:pt idx="0">
                  <c:v>Internet</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snaps'!$C$66:$U$66</c:f>
              <c:strCache>
                <c:ptCount val="19"/>
                <c:pt idx="0">
                  <c:v>Q1 19</c:v>
                </c:pt>
                <c:pt idx="1">
                  <c:v>Q2 19</c:v>
                </c:pt>
                <c:pt idx="2">
                  <c:v>Q3 19</c:v>
                </c:pt>
                <c:pt idx="3">
                  <c:v>Q4 19</c:v>
                </c:pt>
                <c:pt idx="4">
                  <c:v>Q1 20</c:v>
                </c:pt>
                <c:pt idx="5">
                  <c:v>Q2 20</c:v>
                </c:pt>
                <c:pt idx="6">
                  <c:v>Q3 20</c:v>
                </c:pt>
                <c:pt idx="7">
                  <c:v>Q4 20</c:v>
                </c:pt>
                <c:pt idx="8">
                  <c:v>Q1 21</c:v>
                </c:pt>
                <c:pt idx="9">
                  <c:v>Q2 21</c:v>
                </c:pt>
                <c:pt idx="10">
                  <c:v>Q3 21</c:v>
                </c:pt>
                <c:pt idx="11">
                  <c:v>Q4 21</c:v>
                </c:pt>
                <c:pt idx="12">
                  <c:v>Q1 22</c:v>
                </c:pt>
                <c:pt idx="13">
                  <c:v>Q2 22</c:v>
                </c:pt>
                <c:pt idx="14">
                  <c:v>Q3 22</c:v>
                </c:pt>
                <c:pt idx="15">
                  <c:v>Q4 22</c:v>
                </c:pt>
                <c:pt idx="16">
                  <c:v>Q1 23</c:v>
                </c:pt>
                <c:pt idx="17">
                  <c:v>Q2 23</c:v>
                </c:pt>
                <c:pt idx="18">
                  <c:v>Q3 23</c:v>
                </c:pt>
              </c:strCache>
            </c:strRef>
          </c:cat>
          <c:val>
            <c:numRef>
              <c:f>'Earnings snaps'!$C$68:$U$68</c:f>
              <c:numCache>
                <c:formatCode>0.0%</c:formatCode>
                <c:ptCount val="19"/>
                <c:pt idx="0">
                  <c:v>5.4975261132494957E-4</c:v>
                </c:pt>
                <c:pt idx="1">
                  <c:v>1.8962632459564865E-2</c:v>
                </c:pt>
                <c:pt idx="2">
                  <c:v>2.0763187429854169E-2</c:v>
                </c:pt>
                <c:pt idx="3">
                  <c:v>2.8921023359288034E-2</c:v>
                </c:pt>
                <c:pt idx="4">
                  <c:v>2.3076923076922995E-2</c:v>
                </c:pt>
                <c:pt idx="5">
                  <c:v>-4.3787629994526123E-3</c:v>
                </c:pt>
                <c:pt idx="6">
                  <c:v>-4.9477735019242131E-3</c:v>
                </c:pt>
                <c:pt idx="7">
                  <c:v>-1.5675675675675738E-2</c:v>
                </c:pt>
                <c:pt idx="8">
                  <c:v>-3.759398496240518E-3</c:v>
                </c:pt>
                <c:pt idx="9">
                  <c:v>2.8037383177569986E-2</c:v>
                </c:pt>
                <c:pt idx="10">
                  <c:v>2.5966850828729182E-2</c:v>
                </c:pt>
                <c:pt idx="11">
                  <c:v>3.0203185063152116E-2</c:v>
                </c:pt>
                <c:pt idx="12">
                  <c:v>1.563342318059302E-2</c:v>
                </c:pt>
                <c:pt idx="13">
                  <c:v>3.7433155080213831E-2</c:v>
                </c:pt>
                <c:pt idx="14">
                  <c:v>1.1308562197092309E-2</c:v>
                </c:pt>
                <c:pt idx="15">
                  <c:v>3.1982942430703876E-3</c:v>
                </c:pt>
                <c:pt idx="16">
                  <c:v>4.7770700636942109E-3</c:v>
                </c:pt>
                <c:pt idx="17">
                  <c:v>-8.7628865979381132E-3</c:v>
                </c:pt>
                <c:pt idx="18">
                  <c:v>2.9818956336528091E-2</c:v>
                </c:pt>
              </c:numCache>
            </c:numRef>
          </c:val>
          <c:smooth val="0"/>
          <c:extLst>
            <c:ext xmlns:c16="http://schemas.microsoft.com/office/drawing/2014/chart" uri="{C3380CC4-5D6E-409C-BE32-E72D297353CC}">
              <c16:uniqueId val="{00000001-10F6-4E17-B8DE-E0406CC4EF2F}"/>
            </c:ext>
          </c:extLst>
        </c:ser>
        <c:dLbls>
          <c:showLegendKey val="0"/>
          <c:showVal val="0"/>
          <c:showCatName val="0"/>
          <c:showSerName val="0"/>
          <c:showPercent val="0"/>
          <c:showBubbleSize val="0"/>
        </c:dLbls>
        <c:smooth val="0"/>
        <c:axId val="1611764031"/>
        <c:axId val="1611753631"/>
      </c:lineChart>
      <c:catAx>
        <c:axId val="1611764031"/>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611753631"/>
        <c:crosses val="autoZero"/>
        <c:auto val="1"/>
        <c:lblAlgn val="ctr"/>
        <c:lblOffset val="100"/>
        <c:noMultiLvlLbl val="0"/>
      </c:catAx>
      <c:valAx>
        <c:axId val="1611753631"/>
        <c:scaling>
          <c:orientation val="minMax"/>
        </c:scaling>
        <c:delete val="1"/>
        <c:axPos val="l"/>
        <c:numFmt formatCode="0.0%" sourceLinked="1"/>
        <c:majorTickMark val="out"/>
        <c:minorTickMark val="none"/>
        <c:tickLblPos val="nextTo"/>
        <c:crossAx val="161176403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956E6A7-7960-48FD-9570-5F1DDB8A00AC}" type="doc">
      <dgm:prSet loTypeId="urn:microsoft.com/office/officeart/2005/8/layout/venn1" loCatId="relationship" qsTypeId="urn:microsoft.com/office/officeart/2005/8/quickstyle/simple1" qsCatId="simple" csTypeId="urn:microsoft.com/office/officeart/2005/8/colors/accent1_2" csCatId="accent1" phldr="1"/>
      <dgm:spPr/>
    </dgm:pt>
    <dgm:pt modelId="{76EDB396-132F-4C1E-994C-D593BB93E3A5}">
      <dgm:prSet phldrT="[Text]"/>
      <dgm:spPr/>
      <dgm:t>
        <a:bodyPr/>
        <a:lstStyle/>
        <a:p>
          <a:r>
            <a:rPr lang="en-GB"/>
            <a:t>Megacable</a:t>
          </a:r>
        </a:p>
      </dgm:t>
    </dgm:pt>
    <dgm:pt modelId="{C196D270-4A1D-4143-A305-90C75166FB93}" type="parTrans" cxnId="{37EBD4D0-CB52-43C5-A3EC-E46EBAB63BB5}">
      <dgm:prSet/>
      <dgm:spPr/>
      <dgm:t>
        <a:bodyPr/>
        <a:lstStyle/>
        <a:p>
          <a:endParaRPr lang="en-GB"/>
        </a:p>
      </dgm:t>
    </dgm:pt>
    <dgm:pt modelId="{E1608D89-FFF5-41C5-A7CE-3688A19A47DE}" type="sibTrans" cxnId="{37EBD4D0-CB52-43C5-A3EC-E46EBAB63BB5}">
      <dgm:prSet/>
      <dgm:spPr/>
      <dgm:t>
        <a:bodyPr/>
        <a:lstStyle/>
        <a:p>
          <a:endParaRPr lang="en-GB"/>
        </a:p>
      </dgm:t>
    </dgm:pt>
    <dgm:pt modelId="{4F424889-2CE2-4971-BE5E-9EC9D3BCD45F}">
      <dgm:prSet phldrT="[Text]"/>
      <dgm:spPr/>
      <dgm:t>
        <a:bodyPr/>
        <a:lstStyle/>
        <a:p>
          <a:r>
            <a:rPr lang="en-GB"/>
            <a:t>Izzy</a:t>
          </a:r>
        </a:p>
      </dgm:t>
    </dgm:pt>
    <dgm:pt modelId="{578A9A58-FC4A-44C9-BEAB-96DCA55853A7}" type="parTrans" cxnId="{F8C52347-F932-4F75-A362-435F7E107D33}">
      <dgm:prSet/>
      <dgm:spPr/>
      <dgm:t>
        <a:bodyPr/>
        <a:lstStyle/>
        <a:p>
          <a:endParaRPr lang="en-GB"/>
        </a:p>
      </dgm:t>
    </dgm:pt>
    <dgm:pt modelId="{B340E1E6-0F67-40C3-9B6D-F8D12BFA0ADA}" type="sibTrans" cxnId="{F8C52347-F932-4F75-A362-435F7E107D33}">
      <dgm:prSet/>
      <dgm:spPr/>
      <dgm:t>
        <a:bodyPr/>
        <a:lstStyle/>
        <a:p>
          <a:endParaRPr lang="en-GB"/>
        </a:p>
      </dgm:t>
    </dgm:pt>
    <dgm:pt modelId="{FF76776E-EAE2-49B0-8E3E-08E82BC0EB05}" type="pres">
      <dgm:prSet presAssocID="{9956E6A7-7960-48FD-9570-5F1DDB8A00AC}" presName="compositeShape" presStyleCnt="0">
        <dgm:presLayoutVars>
          <dgm:chMax val="7"/>
          <dgm:dir/>
          <dgm:resizeHandles val="exact"/>
        </dgm:presLayoutVars>
      </dgm:prSet>
      <dgm:spPr/>
    </dgm:pt>
    <dgm:pt modelId="{8C20E4EA-9F9B-4CC5-9CB2-AA9491D3358E}" type="pres">
      <dgm:prSet presAssocID="{76EDB396-132F-4C1E-994C-D593BB93E3A5}" presName="circ1" presStyleLbl="vennNode1" presStyleIdx="0" presStyleCnt="2" custScaleX="91726" custScaleY="78078"/>
      <dgm:spPr/>
    </dgm:pt>
    <dgm:pt modelId="{065E1C70-6711-484F-BDD0-2FEBDD17056F}" type="pres">
      <dgm:prSet presAssocID="{76EDB396-132F-4C1E-994C-D593BB93E3A5}" presName="circ1Tx" presStyleLbl="revTx" presStyleIdx="0" presStyleCnt="0">
        <dgm:presLayoutVars>
          <dgm:chMax val="0"/>
          <dgm:chPref val="0"/>
          <dgm:bulletEnabled val="1"/>
        </dgm:presLayoutVars>
      </dgm:prSet>
      <dgm:spPr/>
    </dgm:pt>
    <dgm:pt modelId="{8F3E0E68-B631-4B68-ADE4-3C2DE1C1E5D0}" type="pres">
      <dgm:prSet presAssocID="{4F424889-2CE2-4971-BE5E-9EC9D3BCD45F}" presName="circ2" presStyleLbl="vennNode1" presStyleIdx="1" presStyleCnt="2"/>
      <dgm:spPr/>
    </dgm:pt>
    <dgm:pt modelId="{13F7CE0A-12D4-46D9-B260-054BE9D40406}" type="pres">
      <dgm:prSet presAssocID="{4F424889-2CE2-4971-BE5E-9EC9D3BCD45F}" presName="circ2Tx" presStyleLbl="revTx" presStyleIdx="0" presStyleCnt="0">
        <dgm:presLayoutVars>
          <dgm:chMax val="0"/>
          <dgm:chPref val="0"/>
          <dgm:bulletEnabled val="1"/>
        </dgm:presLayoutVars>
      </dgm:prSet>
      <dgm:spPr/>
    </dgm:pt>
  </dgm:ptLst>
  <dgm:cxnLst>
    <dgm:cxn modelId="{D2D8DE06-A647-456D-9B2F-927BBB116AD3}" type="presOf" srcId="{9956E6A7-7960-48FD-9570-5F1DDB8A00AC}" destId="{FF76776E-EAE2-49B0-8E3E-08E82BC0EB05}" srcOrd="0" destOrd="0" presId="urn:microsoft.com/office/officeart/2005/8/layout/venn1"/>
    <dgm:cxn modelId="{D236A72C-8C87-45BD-BBB5-E44E61FADD39}" type="presOf" srcId="{4F424889-2CE2-4971-BE5E-9EC9D3BCD45F}" destId="{8F3E0E68-B631-4B68-ADE4-3C2DE1C1E5D0}" srcOrd="0" destOrd="0" presId="urn:microsoft.com/office/officeart/2005/8/layout/venn1"/>
    <dgm:cxn modelId="{F8C52347-F932-4F75-A362-435F7E107D33}" srcId="{9956E6A7-7960-48FD-9570-5F1DDB8A00AC}" destId="{4F424889-2CE2-4971-BE5E-9EC9D3BCD45F}" srcOrd="1" destOrd="0" parTransId="{578A9A58-FC4A-44C9-BEAB-96DCA55853A7}" sibTransId="{B340E1E6-0F67-40C3-9B6D-F8D12BFA0ADA}"/>
    <dgm:cxn modelId="{9491316C-1112-4B2C-8D7C-33BBD6A036E9}" type="presOf" srcId="{4F424889-2CE2-4971-BE5E-9EC9D3BCD45F}" destId="{13F7CE0A-12D4-46D9-B260-054BE9D40406}" srcOrd="1" destOrd="0" presId="urn:microsoft.com/office/officeart/2005/8/layout/venn1"/>
    <dgm:cxn modelId="{45014789-5C43-462C-97ED-DBD2EFECC064}" type="presOf" srcId="{76EDB396-132F-4C1E-994C-D593BB93E3A5}" destId="{8C20E4EA-9F9B-4CC5-9CB2-AA9491D3358E}" srcOrd="0" destOrd="0" presId="urn:microsoft.com/office/officeart/2005/8/layout/venn1"/>
    <dgm:cxn modelId="{37EBD4D0-CB52-43C5-A3EC-E46EBAB63BB5}" srcId="{9956E6A7-7960-48FD-9570-5F1DDB8A00AC}" destId="{76EDB396-132F-4C1E-994C-D593BB93E3A5}" srcOrd="0" destOrd="0" parTransId="{C196D270-4A1D-4143-A305-90C75166FB93}" sibTransId="{E1608D89-FFF5-41C5-A7CE-3688A19A47DE}"/>
    <dgm:cxn modelId="{23D200D8-9C4B-4B11-A739-C6D05A609DF9}" type="presOf" srcId="{76EDB396-132F-4C1E-994C-D593BB93E3A5}" destId="{065E1C70-6711-484F-BDD0-2FEBDD17056F}" srcOrd="1" destOrd="0" presId="urn:microsoft.com/office/officeart/2005/8/layout/venn1"/>
    <dgm:cxn modelId="{21E9B088-F80F-4220-8023-8143DB9AE466}" type="presParOf" srcId="{FF76776E-EAE2-49B0-8E3E-08E82BC0EB05}" destId="{8C20E4EA-9F9B-4CC5-9CB2-AA9491D3358E}" srcOrd="0" destOrd="0" presId="urn:microsoft.com/office/officeart/2005/8/layout/venn1"/>
    <dgm:cxn modelId="{21AD476E-7B44-4C88-B8D9-9A7DEA2A27A4}" type="presParOf" srcId="{FF76776E-EAE2-49B0-8E3E-08E82BC0EB05}" destId="{065E1C70-6711-484F-BDD0-2FEBDD17056F}" srcOrd="1" destOrd="0" presId="urn:microsoft.com/office/officeart/2005/8/layout/venn1"/>
    <dgm:cxn modelId="{6BF91416-1906-423A-88CC-8872AAB55FE0}" type="presParOf" srcId="{FF76776E-EAE2-49B0-8E3E-08E82BC0EB05}" destId="{8F3E0E68-B631-4B68-ADE4-3C2DE1C1E5D0}" srcOrd="2" destOrd="0" presId="urn:microsoft.com/office/officeart/2005/8/layout/venn1"/>
    <dgm:cxn modelId="{F549B7C9-7FB5-493C-927C-8DA56CE37396}" type="presParOf" srcId="{FF76776E-EAE2-49B0-8E3E-08E82BC0EB05}" destId="{13F7CE0A-12D4-46D9-B260-054BE9D40406}" srcOrd="3" destOrd="0" presId="urn:microsoft.com/office/officeart/2005/8/layout/venn1"/>
  </dgm:cxnLst>
  <dgm:bg/>
  <dgm:whole/>
  <dgm:extLst>
    <a:ext uri="http://schemas.microsoft.com/office/drawing/2008/diagram">
      <dsp:dataModelExt xmlns:dsp="http://schemas.microsoft.com/office/drawing/2008/diagram" relId="rId2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20E4EA-9F9B-4CC5-9CB2-AA9491D3358E}">
      <dsp:nvSpPr>
        <dsp:cNvPr id="0" name=""/>
        <dsp:cNvSpPr/>
      </dsp:nvSpPr>
      <dsp:spPr>
        <a:xfrm>
          <a:off x="147474" y="377514"/>
          <a:ext cx="2209405" cy="1880665"/>
        </a:xfrm>
        <a:prstGeom prst="ellipse">
          <a:avLst/>
        </a:prstGeom>
        <a:solidFill>
          <a:schemeClr val="accent1">
            <a:alpha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r>
            <a:rPr lang="en-GB" sz="2200" kern="1200"/>
            <a:t>Megacable</a:t>
          </a:r>
        </a:p>
      </dsp:txBody>
      <dsp:txXfrm>
        <a:off x="455994" y="599285"/>
        <a:ext cx="1273891" cy="1437123"/>
      </dsp:txXfrm>
    </dsp:sp>
    <dsp:sp modelId="{8F3E0E68-B631-4B68-ADE4-3C2DE1C1E5D0}">
      <dsp:nvSpPr>
        <dsp:cNvPr id="0" name=""/>
        <dsp:cNvSpPr/>
      </dsp:nvSpPr>
      <dsp:spPr>
        <a:xfrm>
          <a:off x="1783826" y="113496"/>
          <a:ext cx="2408701" cy="2408701"/>
        </a:xfrm>
        <a:prstGeom prst="ellipse">
          <a:avLst/>
        </a:prstGeom>
        <a:solidFill>
          <a:schemeClr val="accent1">
            <a:alpha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r>
            <a:rPr lang="en-GB" sz="2200" kern="1200"/>
            <a:t>Izzy</a:t>
          </a:r>
        </a:p>
      </dsp:txBody>
      <dsp:txXfrm>
        <a:off x="2467377" y="397534"/>
        <a:ext cx="1388800" cy="1840625"/>
      </dsp:txXfrm>
    </dsp:sp>
  </dsp:spTree>
</dsp:drawing>
</file>

<file path=xl/diagrams/layout1.xml><?xml version="1.0" encoding="utf-8"?>
<dgm:layoutDef xmlns:dgm="http://schemas.openxmlformats.org/drawingml/2006/diagram" xmlns:a="http://schemas.openxmlformats.org/drawingml/2006/main" uniqueId="urn:microsoft.com/office/officeart/2005/8/layout/venn1">
  <dgm:title val=""/>
  <dgm:desc val=""/>
  <dgm:catLst>
    <dgm:cat type="relationship" pri="28000"/>
    <dgm:cat type="convert" pri="19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Lst>
      <dgm:cxnLst>
        <dgm:cxn modelId="7" srcId="0" destId="1" srcOrd="0" destOrd="0"/>
        <dgm:cxn modelId="8" srcId="0" destId="2" srcOrd="1" destOrd="0"/>
        <dgm:cxn modelId="9" srcId="0" destId="3" srcOrd="2" destOrd="0"/>
        <dgm:cxn modelId="10" srcId="0" destId="4" srcOrd="3" destOrd="0"/>
      </dgm:cxnLst>
      <dgm:bg/>
      <dgm:whole/>
    </dgm:dataModel>
  </dgm:clrData>
  <dgm:layoutNode name="compositeShape">
    <dgm:varLst>
      <dgm:chMax val="7"/>
      <dgm:dir/>
      <dgm:resizeHandles val="exact"/>
    </dgm:varLst>
    <dgm:choose name="Name0">
      <dgm:if name="Name1" axis="ch" ptType="node" func="cnt" op="equ" val="1">
        <dgm:alg type="composite">
          <dgm:param type="ar" val="1"/>
        </dgm:alg>
      </dgm:if>
      <dgm:if name="Name2" axis="ch" ptType="node" func="cnt" op="equ" val="2">
        <dgm:alg type="composite">
          <dgm:param type="ar" val="1.792"/>
        </dgm:alg>
      </dgm:if>
      <dgm:if name="Name3" axis="ch" ptType="node" func="cnt" op="equ" val="3">
        <dgm:alg type="composite">
          <dgm:param type="ar" val="1"/>
        </dgm:alg>
      </dgm:if>
      <dgm:if name="Name4" axis="ch" ptType="node" func="cnt" op="equ" val="4">
        <dgm:alg type="composite">
          <dgm:param type="ar" val="1"/>
        </dgm:alg>
      </dgm:if>
      <dgm:if name="Name5" axis="ch" ptType="node" func="cnt" op="equ" val="5">
        <dgm:alg type="composite">
          <dgm:param type="ar" val="1.4"/>
        </dgm:alg>
      </dgm:if>
      <dgm:if name="Name6" axis="ch" ptType="node" func="cnt" op="equ" val="6">
        <dgm:alg type="composite">
          <dgm:param type="ar" val="1.285"/>
        </dgm:alg>
      </dgm:if>
      <dgm:if name="Name7" axis="ch" ptType="node" func="cnt" op="equ" val="7">
        <dgm:alg type="composite">
          <dgm:param type="ar" val="1.359"/>
        </dgm:alg>
      </dgm:if>
      <dgm:else name="Name8">
        <dgm:alg type="composite">
          <dgm:param type="ar" val="1.359"/>
        </dgm:alg>
      </dgm:else>
    </dgm:choose>
    <dgm:shape xmlns:r="http://schemas.openxmlformats.org/officeDocument/2006/relationships" r:blip="">
      <dgm:adjLst/>
    </dgm:shape>
    <dgm:presOf/>
    <dgm:choose name="Name9">
      <dgm:if name="Name10" axis="ch" ptType="node" func="cnt" op="equ" val="1">
        <dgm:constrLst>
          <dgm:constr type="ctrX" for="ch" forName="circ1TxSh" refType="w" fact="0.5"/>
          <dgm:constr type="ctrY" for="ch" forName="circ1TxSh" refType="h" fact="0.5"/>
          <dgm:constr type="w" for="ch" forName="circ1TxSh" refType="w"/>
          <dgm:constr type="h" for="ch" forName="circ1TxSh" refType="h"/>
          <dgm:constr type="primFontSz" for="ch" ptType="node" op="equ"/>
        </dgm:constrLst>
      </dgm:if>
      <dgm:if name="Name11" axis="ch" ptType="node" func="cnt" op="equ" val="2">
        <dgm:constrLst>
          <dgm:constr type="ctrX" for="ch" forName="circ1" refType="w" fact="0.3"/>
          <dgm:constr type="ctrY" for="ch" forName="circ1" refType="h" fact="0.5"/>
          <dgm:constr type="w" for="ch" forName="circ1" refType="w" fact="0.555"/>
          <dgm:constr type="h" for="ch" forName="circ1" refType="h" fact="0.99456"/>
          <dgm:constr type="l" for="ch" forName="circ1Tx" refType="w" fact="0.1"/>
          <dgm:constr type="t" for="ch" forName="circ1Tx" refType="h" fact="0.12"/>
          <dgm:constr type="w" for="ch" forName="circ1Tx" refType="w" fact="0.32"/>
          <dgm:constr type="h" for="ch" forName="circ1Tx" refType="h" fact="0.76"/>
          <dgm:constr type="ctrX" for="ch" forName="circ2" refType="w" fact="0.7"/>
          <dgm:constr type="ctrY" for="ch" forName="circ2" refType="h" fact="0.5"/>
          <dgm:constr type="w" for="ch" forName="circ2" refType="w" fact="0.555"/>
          <dgm:constr type="h" for="ch" forName="circ2" refType="h" fact="0.99456"/>
          <dgm:constr type="l" for="ch" forName="circ2Tx" refType="w" fact="0.58"/>
          <dgm:constr type="t" for="ch" forName="circ2Tx" refType="h" fact="0.12"/>
          <dgm:constr type="w" for="ch" forName="circ2Tx" refType="w" fact="0.32"/>
          <dgm:constr type="h" for="ch" forName="circ2Tx" refType="h" fact="0.76"/>
          <dgm:constr type="primFontSz" for="ch" ptType="node" op="equ"/>
        </dgm:constrLst>
      </dgm:if>
      <dgm:if name="Name12" axis="ch" ptType="node" func="cnt" op="equ" val="3">
        <dgm:constrLst>
          <dgm:constr type="ctrX" for="ch" forName="circ1" refType="w" fact="0.5"/>
          <dgm:constr type="ctrY" for="ch" forName="circ1" refType="w" fact="0.25"/>
          <dgm:constr type="w" for="ch" forName="circ1" refType="w" fact="0.6"/>
          <dgm:constr type="h" for="ch" forName="circ1" refType="h" fact="0.6"/>
          <dgm:constr type="l" for="ch" forName="circ1Tx" refType="w" fact="0.28"/>
          <dgm:constr type="t" for="ch" forName="circ1Tx" refType="h" fact="0.055"/>
          <dgm:constr type="w" for="ch" forName="circ1Tx" refType="w" fact="0.44"/>
          <dgm:constr type="h" for="ch" forName="circ1Tx" refType="h" fact="0.27"/>
          <dgm:constr type="ctrX" for="ch" forName="circ2" refType="w" fact="0.7165"/>
          <dgm:constr type="ctrY" for="ch" forName="circ2" refType="w" fact="0.625"/>
          <dgm:constr type="w" for="ch" forName="circ2" refType="w" fact="0.6"/>
          <dgm:constr type="h" for="ch" forName="circ2" refType="h" fact="0.6"/>
          <dgm:constr type="l" for="ch" forName="circ2Tx" refType="w" fact="0.6"/>
          <dgm:constr type="t" for="ch" forName="circ2Tx" refType="h" fact="0.48"/>
          <dgm:constr type="w" for="ch" forName="circ2Tx" refType="w" fact="0.36"/>
          <dgm:constr type="h" for="ch" forName="circ2Tx" refType="h" fact="0.33"/>
          <dgm:constr type="ctrX" for="ch" forName="circ3" refType="w" fact="0.2835"/>
          <dgm:constr type="ctrY" for="ch" forName="circ3" refType="w" fact="0.625"/>
          <dgm:constr type="w" for="ch" forName="circ3" refType="w" fact="0.6"/>
          <dgm:constr type="h" for="ch" forName="circ3" refType="h" fact="0.6"/>
          <dgm:constr type="l" for="ch" forName="circ3Tx" refType="w" fact="0.04"/>
          <dgm:constr type="t" for="ch" forName="circ3Tx" refType="h" fact="0.48"/>
          <dgm:constr type="w" for="ch" forName="circ3Tx" refType="w" fact="0.36"/>
          <dgm:constr type="h" for="ch" forName="circ3Tx" refType="h" fact="0.33"/>
          <dgm:constr type="primFontSz" for="ch" ptType="node" op="equ"/>
        </dgm:constrLst>
      </dgm:if>
      <dgm:if name="Name13" axis="ch" ptType="node" func="cnt" op="equ" val="4">
        <dgm:constrLst>
          <dgm:constr type="ctrX" for="ch" forName="circ1" refType="w" fact="0.5"/>
          <dgm:constr type="ctrY" for="ch" forName="circ1" refType="w" fact="0.27"/>
          <dgm:constr type="w" for="ch" forName="circ1" refType="w" fact="0.52"/>
          <dgm:constr type="h" for="ch" forName="circ1" refType="h" fact="0.52"/>
          <dgm:constr type="l" for="ch" forName="circ1Tx" refType="w" fact="0.3"/>
          <dgm:constr type="t" for="ch" forName="circ1Tx" refType="h" fact="0.08"/>
          <dgm:constr type="w" for="ch" forName="circ1Tx" refType="w" fact="0.4"/>
          <dgm:constr type="h" for="ch" forName="circ1Tx" refType="h" fact="0.165"/>
          <dgm:constr type="ctrX" for="ch" forName="circ2" refType="w" fact="0.73"/>
          <dgm:constr type="ctrY" for="ch" forName="circ2" refType="w" fact="0.5"/>
          <dgm:constr type="w" for="ch" forName="circ2" refType="w" fact="0.52"/>
          <dgm:constr type="h" for="ch" forName="circ2" refType="h" fact="0.52"/>
          <dgm:constr type="r" for="ch" forName="circ2Tx" refType="w" fact="0.95"/>
          <dgm:constr type="t" for="ch" forName="circ2Tx" refType="h" fact="0.3"/>
          <dgm:constr type="w" for="ch" forName="circ2Tx" refType="w" fact="0.2"/>
          <dgm:constr type="h" for="ch" forName="circ2Tx" refType="h" fact="0.4"/>
          <dgm:constr type="ctrX" for="ch" forName="circ3" refType="w" fact="0.5"/>
          <dgm:constr type="ctrY" for="ch" forName="circ3" refType="w" fact="0.73"/>
          <dgm:constr type="w" for="ch" forName="circ3" refType="w" fact="0.52"/>
          <dgm:constr type="h" for="ch" forName="circ3" refType="h" fact="0.52"/>
          <dgm:constr type="l" for="ch" forName="circ3Tx" refType="w" fact="0.3"/>
          <dgm:constr type="b" for="ch" forName="circ3Tx" refType="h" fact="0.92"/>
          <dgm:constr type="w" for="ch" forName="circ3Tx" refType="w" fact="0.4"/>
          <dgm:constr type="h" for="ch" forName="circ3Tx" refType="h" fact="0.165"/>
          <dgm:constr type="ctrX" for="ch" forName="circ4" refType="w" fact="0.27"/>
          <dgm:constr type="ctrY" for="ch" forName="circ4" refType="h" fact="0.5"/>
          <dgm:constr type="w" for="ch" forName="circ4" refType="w" fact="0.52"/>
          <dgm:constr type="h" for="ch" forName="circ4" refType="h" fact="0.52"/>
          <dgm:constr type="l" for="ch" forName="circ4Tx" refType="w" fact="0.05"/>
          <dgm:constr type="t" for="ch" forName="circ4Tx" refType="h" fact="0.3"/>
          <dgm:constr type="w" for="ch" forName="circ4Tx" refType="w" fact="0.2"/>
          <dgm:constr type="h" for="ch" forName="circ4Tx" refType="h" fact="0.4"/>
          <dgm:constr type="primFontSz" for="ch" ptType="node" op="equ"/>
        </dgm:constrLst>
      </dgm:if>
      <dgm:if name="Name14" axis="ch" ptType="node" func="cnt" op="equ" val="5">
        <dgm:constrLst>
          <dgm:constr type="ctrX" for="ch" forName="circ1" refType="w" fact="0.5"/>
          <dgm:constr type="ctrY" for="ch" forName="circ1" refType="h" fact="0.46"/>
          <dgm:constr type="w" for="ch" forName="circ1" refType="w" fact="0.25"/>
          <dgm:constr type="h" for="ch" forName="circ1" refType="h" fact="0.35"/>
          <dgm:constr type="l" for="ch" forName="circ1Tx" refType="w" fact="0.355"/>
          <dgm:constr type="t" for="ch" forName="circ1Tx"/>
          <dgm:constr type="w" for="ch" forName="circ1Tx" refType="w" fact="0.29"/>
          <dgm:constr type="h" for="ch" forName="circ1Tx" refType="h" fact="0.235"/>
          <dgm:constr type="ctrX" for="ch" forName="circ2" refType="w" fact="0.5951"/>
          <dgm:constr type="ctrY" for="ch" forName="circ2" refType="h" fact="0.5567"/>
          <dgm:constr type="w" for="ch" forName="circ2" refType="w" fact="0.25"/>
          <dgm:constr type="h" for="ch" forName="circ2" refType="h" fact="0.35"/>
          <dgm:constr type="l" for="ch" forName="circ2Tx" refType="w" fact="0.74"/>
          <dgm:constr type="t" for="ch" forName="circ2Tx" refType="h" fact="0.31"/>
          <dgm:constr type="w" for="ch" forName="circ2Tx" refType="w" fact="0.26"/>
          <dgm:constr type="h" for="ch" forName="circ2Tx" refType="h" fact="0.255"/>
          <dgm:constr type="ctrX" for="ch" forName="circ3" refType="w" fact="0.5588"/>
          <dgm:constr type="ctrY" for="ch" forName="circ3" refType="h" fact="0.7133"/>
          <dgm:constr type="w" for="ch" forName="circ3" refType="w" fact="0.25"/>
          <dgm:constr type="h" for="ch" forName="circ3" refType="h" fact="0.35"/>
          <dgm:constr type="l" for="ch" forName="circ3Tx" refType="w" fact="0.7"/>
          <dgm:constr type="t" for="ch" forName="circ3Tx" refType="h" fact="0.745"/>
          <dgm:constr type="w" for="ch" forName="circ3Tx" refType="w" fact="0.26"/>
          <dgm:constr type="h" for="ch" forName="circ3Tx" refType="h" fact="0.255"/>
          <dgm:constr type="ctrX" for="ch" forName="circ4" refType="w" fact="0.4412"/>
          <dgm:constr type="ctrY" for="ch" forName="circ4" refType="h" fact="0.7133"/>
          <dgm:constr type="w" for="ch" forName="circ4" refType="w" fact="0.25"/>
          <dgm:constr type="h" for="ch" forName="circ4" refType="h" fact="0.35"/>
          <dgm:constr type="l" for="ch" forName="circ4Tx" refType="w" fact="0.04"/>
          <dgm:constr type="t" for="ch" forName="circ4Tx" refType="h" fact="0.745"/>
          <dgm:constr type="w" for="ch" forName="circ4Tx" refType="w" fact="0.26"/>
          <dgm:constr type="h" for="ch" forName="circ4Tx" refType="h" fact="0.255"/>
          <dgm:constr type="ctrX" for="ch" forName="circ5" refType="w" fact="0.4049"/>
          <dgm:constr type="ctrY" for="ch" forName="circ5" refType="h" fact="0.5567"/>
          <dgm:constr type="w" for="ch" forName="circ5" refType="w" fact="0.25"/>
          <dgm:constr type="h" for="ch" forName="circ5" refType="h" fact="0.35"/>
          <dgm:constr type="l" for="ch" forName="circ5Tx"/>
          <dgm:constr type="t" for="ch" forName="circ5Tx" refType="h" fact="0.31"/>
          <dgm:constr type="w" for="ch" forName="circ5Tx" refType="w" fact="0.26"/>
          <dgm:constr type="h" for="ch" forName="circ5Tx" refType="h" fact="0.255"/>
          <dgm:constr type="primFontSz" for="ch" ptType="node" op="equ"/>
        </dgm:constrLst>
      </dgm:if>
      <dgm:if name="Name15" axis="ch" ptType="node" func="cnt" op="equ" val="6">
        <dgm:constrLst>
          <dgm:constr type="ctrX" for="ch" forName="circ1" refType="w" fact="0.5"/>
          <dgm:constr type="ctrY" for="ch" forName="circ1" refType="h" fact="0.3844"/>
          <dgm:constr type="w" for="ch" forName="circ1" refType="w" fact="0.24"/>
          <dgm:constr type="h" for="ch" forName="circ1" refType="h" fact="0.3084"/>
          <dgm:constr type="l" for="ch" forName="circ1Tx" refType="w" fact="0.35"/>
          <dgm:constr type="t" for="ch" forName="circ1Tx"/>
          <dgm:constr type="w" for="ch" forName="circ1Tx" refType="w" fact="0.3"/>
          <dgm:constr type="h" for="ch" forName="circ1Tx" refType="h" fact="0.21"/>
          <dgm:constr type="ctrX" for="ch" forName="circ2" refType="w" fact="0.5779"/>
          <dgm:constr type="ctrY" for="ch" forName="circ2" refType="h" fact="0.4422"/>
          <dgm:constr type="w" for="ch" forName="circ2" refType="w" fact="0.24"/>
          <dgm:constr type="h" for="ch" forName="circ2" refType="h" fact="0.3084"/>
          <dgm:constr type="l" for="ch" forName="circ2Tx" refType="w" fact="0.7157"/>
          <dgm:constr type="t" for="ch" forName="circ2Tx" refType="h" fact="0.2"/>
          <dgm:constr type="w" for="ch" forName="circ2Tx" refType="w" fact="0.2843"/>
          <dgm:constr type="h" for="ch" forName="circ2Tx" refType="h" fact="0.23"/>
          <dgm:constr type="ctrX" for="ch" forName="circ3" refType="w" fact="0.5779"/>
          <dgm:constr type="ctrY" for="ch" forName="circ3" refType="h" fact="0.5578"/>
          <dgm:constr type="w" for="ch" forName="circ3" refType="w" fact="0.24"/>
          <dgm:constr type="h" for="ch" forName="circ3" refType="h" fact="0.3084"/>
          <dgm:constr type="l" for="ch" forName="circ3Tx" refType="w" fact="0.7157"/>
          <dgm:constr type="t" for="ch" forName="circ3Tx" refType="h" fact="0.543"/>
          <dgm:constr type="w" for="ch" forName="circ3Tx" refType="w" fact="0.2843"/>
          <dgm:constr type="h" for="ch" forName="circ3Tx" refType="h" fact="0.257"/>
          <dgm:constr type="ctrX" for="ch" forName="circ4" refType="w" fact="0.5"/>
          <dgm:constr type="ctrY" for="ch" forName="circ4" refType="h" fact="0.6157"/>
          <dgm:constr type="w" for="ch" forName="circ4" refType="w" fact="0.24"/>
          <dgm:constr type="h" for="ch" forName="circ4" refType="h" fact="0.3084"/>
          <dgm:constr type="l" for="ch" forName="circ4Tx" refType="w" fact="0.35"/>
          <dgm:constr type="t" for="ch" forName="circ4Tx" refType="h" fact="0.79"/>
          <dgm:constr type="w" for="ch" forName="circ4Tx" refType="w" fact="0.3"/>
          <dgm:constr type="h" for="ch" forName="circ4Tx" refType="h" fact="0.21"/>
          <dgm:constr type="ctrX" for="ch" forName="circ5" refType="w" fact="0.4221"/>
          <dgm:constr type="ctrY" for="ch" forName="circ5" refType="h" fact="0.5578"/>
          <dgm:constr type="w" for="ch" forName="circ5" refType="w" fact="0.24"/>
          <dgm:constr type="h" for="ch" forName="circ5" refType="h" fact="0.3084"/>
          <dgm:constr type="l" for="ch" forName="circ5Tx" refType="w" fact="0"/>
          <dgm:constr type="t" for="ch" forName="circ5Tx" refType="h" fact="0.543"/>
          <dgm:constr type="w" for="ch" forName="circ5Tx" refType="w" fact="0.2843"/>
          <dgm:constr type="h" for="ch" forName="circ5Tx" refType="h" fact="0.257"/>
          <dgm:constr type="ctrX" for="ch" forName="circ6" refType="w" fact="0.4221"/>
          <dgm:constr type="ctrY" for="ch" forName="circ6" refType="h" fact="0.4422"/>
          <dgm:constr type="w" for="ch" forName="circ6" refType="w" fact="0.24"/>
          <dgm:constr type="h" for="ch" forName="circ6" refType="h" fact="0.3084"/>
          <dgm:constr type="l" for="ch" forName="circ6Tx" refType="w" fact="0"/>
          <dgm:constr type="t" for="ch" forName="circ6Tx" refType="h" fact="0.2"/>
          <dgm:constr type="w" for="ch" forName="circ6Tx" refType="w" fact="0.2843"/>
          <dgm:constr type="h" for="ch" forName="circ6Tx" refType="h" fact="0.257"/>
          <dgm:constr type="primFontSz" for="ch" ptType="node" op="equ"/>
        </dgm:constrLst>
      </dgm:if>
      <dgm:else name="Name16">
        <dgm:constrLst>
          <dgm:constr type="ctrX" for="ch" forName="circ1" refType="w" fact="0.5"/>
          <dgm:constr type="ctrY" for="ch" forName="circ1" refType="h" fact="0.4177"/>
          <dgm:constr type="w" for="ch" forName="circ1" refType="w" fact="0.24"/>
          <dgm:constr type="h" for="ch" forName="circ1" refType="h" fact="0.3262"/>
          <dgm:constr type="l" for="ch" forName="circ1Tx" refType="w" fact="0.3625"/>
          <dgm:constr type="t" for="ch" forName="circ1Tx"/>
          <dgm:constr type="w" for="ch" forName="circ1Tx" refType="w" fact="0.275"/>
          <dgm:constr type="h" for="ch" forName="circ1Tx" refType="h" fact="0.2"/>
          <dgm:constr type="ctrX" for="ch" forName="circ2" refType="w" fact="0.5704"/>
          <dgm:constr type="ctrY" for="ch" forName="circ2" refType="h" fact="0.4637"/>
          <dgm:constr type="w" for="ch" forName="circ2" refType="w" fact="0.24"/>
          <dgm:constr type="h" for="ch" forName="circ2" refType="h" fact="0.3262"/>
          <dgm:constr type="l" for="ch" forName="circ2Tx" refType="w" fact="0.72"/>
          <dgm:constr type="t" for="ch" forName="circ2Tx" refType="h" fact="0.19"/>
          <dgm:constr type="w" for="ch" forName="circ2Tx" refType="w" fact="0.26"/>
          <dgm:constr type="h" for="ch" forName="circ2Tx" refType="h" fact="0.22"/>
          <dgm:constr type="ctrX" for="ch" forName="circ3" refType="w" fact="0.5877"/>
          <dgm:constr type="ctrY" for="ch" forName="circ3" refType="h" fact="0.5672"/>
          <dgm:constr type="w" for="ch" forName="circ3" refType="w" fact="0.24"/>
          <dgm:constr type="h" for="ch" forName="circ3" refType="h" fact="0.3262"/>
          <dgm:constr type="l" for="ch" forName="circ3Tx" refType="w" fact="0.745"/>
          <dgm:constr type="t" for="ch" forName="circ3Tx" refType="h" fact="0.47"/>
          <dgm:constr type="w" for="ch" forName="circ3Tx" refType="w" fact="0.255"/>
          <dgm:constr type="h" for="ch" forName="circ3Tx" refType="h" fact="0.235"/>
          <dgm:constr type="ctrX" for="ch" forName="circ4" refType="w" fact="0.539"/>
          <dgm:constr type="ctrY" for="ch" forName="circ4" refType="h" fact="0.6502"/>
          <dgm:constr type="w" for="ch" forName="circ4" refType="w" fact="0.24"/>
          <dgm:constr type="h" for="ch" forName="circ4" refType="h" fact="0.3262"/>
          <dgm:constr type="l" for="ch" forName="circ4Tx" refType="w" fact="0.635"/>
          <dgm:constr type="t" for="ch" forName="circ4Tx" refType="h" fact="0.785"/>
          <dgm:constr type="w" for="ch" forName="circ4Tx" refType="w" fact="0.275"/>
          <dgm:constr type="h" for="ch" forName="circ4Tx" refType="h" fact="0.215"/>
          <dgm:constr type="ctrX" for="ch" forName="circ5" refType="w" fact="0.461"/>
          <dgm:constr type="ctrY" for="ch" forName="circ5" refType="h" fact="0.6502"/>
          <dgm:constr type="w" for="ch" forName="circ5" refType="w" fact="0.24"/>
          <dgm:constr type="h" for="ch" forName="circ5" refType="h" fact="0.3262"/>
          <dgm:constr type="l" for="ch" forName="circ5Tx" refType="w" fact="0.09"/>
          <dgm:constr type="t" for="ch" forName="circ5Tx" refType="h" fact="0.785"/>
          <dgm:constr type="w" for="ch" forName="circ5Tx" refType="w" fact="0.275"/>
          <dgm:constr type="h" for="ch" forName="circ5Tx" refType="h" fact="0.215"/>
          <dgm:constr type="ctrX" for="ch" forName="circ6" refType="w" fact="0.4123"/>
          <dgm:constr type="ctrY" for="ch" forName="circ6" refType="h" fact="0.5672"/>
          <dgm:constr type="w" for="ch" forName="circ6" refType="w" fact="0.24"/>
          <dgm:constr type="h" for="ch" forName="circ6" refType="h" fact="0.3262"/>
          <dgm:constr type="l" for="ch" forName="circ6Tx"/>
          <dgm:constr type="t" for="ch" forName="circ6Tx" refType="h" fact="0.47"/>
          <dgm:constr type="w" for="ch" forName="circ6Tx" refType="w" fact="0.255"/>
          <dgm:constr type="h" for="ch" forName="circ6Tx" refType="h" fact="0.235"/>
          <dgm:constr type="ctrX" for="ch" forName="circ7" refType="w" fact="0.4296"/>
          <dgm:constr type="ctrY" for="ch" forName="circ7" refType="h" fact="0.4637"/>
          <dgm:constr type="w" for="ch" forName="circ7" refType="w" fact="0.24"/>
          <dgm:constr type="h" for="ch" forName="circ7" refType="h" fact="0.3262"/>
          <dgm:constr type="l" for="ch" forName="circ7Tx" refType="w" fact="0.02"/>
          <dgm:constr type="t" for="ch" forName="circ7Tx" refType="h" fact="0.19"/>
          <dgm:constr type="w" for="ch" forName="circ7Tx" refType="w" fact="0.26"/>
          <dgm:constr type="h" for="ch" forName="circ7Tx" refType="h" fact="0.22"/>
          <dgm:constr type="primFontSz" for="ch" ptType="node" op="equ"/>
        </dgm:constrLst>
      </dgm:else>
    </dgm:choose>
    <dgm:ruleLst/>
    <dgm:forEach name="Name17" axis="ch" ptType="node" cnt="1">
      <dgm:choose name="Name18">
        <dgm:if name="Name19" axis="root ch" ptType="all node" func="cnt" op="equ" val="1">
          <dgm:layoutNode name="circ1TxSh" styleLbl="vennNode1">
            <dgm:alg type="tx">
              <dgm:param type="txAnchorHorzCh" val="ctr"/>
              <dgm:param type="txAnchorVertCh" val="mid"/>
            </dgm:alg>
            <dgm:shape xmlns:r="http://schemas.openxmlformats.org/officeDocument/2006/relationships" type="ellipse" r:blip="">
              <dgm:adjLst/>
            </dgm:shape>
            <dgm:choose name="Name20">
              <dgm:if name="Name21" func="var" arg="dir" op="equ" val="norm">
                <dgm:choose name="Name22">
                  <dgm:if name="Name23" axis="root ch" ptType="all node" func="cnt" op="lte" val="4">
                    <dgm:presOf axis="desOrSelf" ptType="node"/>
                  </dgm:if>
                  <dgm:else name="Name24">
                    <dgm:presOf/>
                  </dgm:else>
                </dgm:choose>
              </dgm:if>
              <dgm:else name="Name25">
                <dgm:choose name="Name26">
                  <dgm:if name="Name27" axis="root ch" ptType="all node" func="cnt" op="equ" val="2">
                    <dgm:presOf axis="root ch desOrSelf" ptType="all node node" st="1 2 1" cnt="1 1 0"/>
                  </dgm:if>
                  <dgm:else name="Name28">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if>
        <dgm:else name="Name29">
          <dgm:layoutNode name="circ1" styleLbl="vennNode1">
            <dgm:alg type="sp"/>
            <dgm:shape xmlns:r="http://schemas.openxmlformats.org/officeDocument/2006/relationships" type="ellipse" r:blip="">
              <dgm:adjLst/>
            </dgm:shape>
            <dgm:choose name="Name30">
              <dgm:if name="Name31" func="var" arg="dir" op="equ" val="norm">
                <dgm:choose name="Name32">
                  <dgm:if name="Name33" axis="root ch" ptType="all node" func="cnt" op="lte" val="4">
                    <dgm:presOf axis="desOrSelf" ptType="node"/>
                  </dgm:if>
                  <dgm:else name="Name34">
                    <dgm:presOf/>
                  </dgm:else>
                </dgm:choose>
              </dgm:if>
              <dgm:else name="Name35">
                <dgm:choose name="Name36">
                  <dgm:if name="Name37" axis="root ch" ptType="all node" func="cnt" op="equ" val="2">
                    <dgm:presOf axis="root ch desOrSelf" ptType="all node node" st="1 2 1" cnt="1 1 0"/>
                  </dgm:if>
                  <dgm:else name="Name38">
                    <dgm:choose name="Name39">
                      <dgm:if name="Name40" axis="root ch" ptType="all node" func="cnt" op="lte" val="4">
                        <dgm:presOf axis="desOrSelf" ptType="node"/>
                      </dgm:if>
                      <dgm:else name="Name41">
                        <dgm:presOf/>
                      </dgm:else>
                    </dgm:choose>
                  </dgm:else>
                </dgm:choose>
              </dgm:else>
            </dgm:choose>
            <dgm:constrLst/>
            <dgm:ruleLst/>
          </dgm:layoutNode>
          <dgm:layoutNode name="circ1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42">
              <dgm:if name="Name43" func="var" arg="dir" op="equ" val="norm">
                <dgm:presOf axis="desOrSelf" ptType="node"/>
              </dgm:if>
              <dgm:else name="Name44">
                <dgm:choose name="Name45">
                  <dgm:if name="Name46" axis="root ch" ptType="all node" func="cnt" op="equ" val="2">
                    <dgm:presOf axis="root ch desOrSelf" ptType="all node node" st="1 2 1" cnt="1 1 0"/>
                  </dgm:if>
                  <dgm:else name="Name47">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else>
      </dgm:choose>
    </dgm:forEach>
    <dgm:forEach name="Name48" axis="ch" ptType="node" st="2" cnt="1">
      <dgm:layoutNode name="circ2" styleLbl="vennNode1">
        <dgm:alg type="sp"/>
        <dgm:shape xmlns:r="http://schemas.openxmlformats.org/officeDocument/2006/relationships" type="ellipse" r:blip="">
          <dgm:adjLst/>
        </dgm:shape>
        <dgm:choose name="Name49">
          <dgm:if name="Name50" func="var" arg="dir" op="equ" val="norm">
            <dgm:choose name="Name51">
              <dgm:if name="Name52" axis="root ch" ptType="all node" func="cnt" op="lte" val="4">
                <dgm:presOf axis="desOrSelf" ptType="node"/>
              </dgm:if>
              <dgm:else name="Name53">
                <dgm:presOf/>
              </dgm:else>
            </dgm:choose>
          </dgm:if>
          <dgm:else name="Name54">
            <dgm:choose name="Name55">
              <dgm:if name="Name56" axis="root ch" ptType="all node" func="cnt" op="equ" val="2">
                <dgm:presOf axis="root ch desOrSelf" ptType="all node node" st="1 1 1" cnt="1 1 0"/>
              </dgm:if>
              <dgm:if name="Name57" axis="root ch" ptType="all node" func="cnt" op="equ" val="3">
                <dgm:presOf axis="root ch desOrSelf" ptType="all node node" st="1 3 1" cnt="1 1 0"/>
              </dgm:if>
              <dgm:if name="Name58" axis="root ch" ptType="all node" func="cnt" op="equ" val="4">
                <dgm:presOf axis="root ch desOrSelf" ptType="all node node" st="1 4 1" cnt="1 1 0"/>
              </dgm:if>
              <dgm:else name="Name59">
                <dgm:presOf/>
              </dgm:else>
            </dgm:choose>
          </dgm:else>
        </dgm:choose>
        <dgm:constrLst/>
        <dgm:ruleLst/>
      </dgm:layoutNode>
      <dgm:layoutNode name="circ2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60">
          <dgm:if name="Name61" func="var" arg="dir" op="equ" val="norm">
            <dgm:presOf axis="desOrSelf" ptType="node"/>
          </dgm:if>
          <dgm:else name="Name62">
            <dgm:choose name="Name63">
              <dgm:if name="Name64" axis="root ch" ptType="all node" func="cnt" op="equ" val="2">
                <dgm:presOf axis="root ch desOrSelf" ptType="all node node" st="1 1 1" cnt="1 1 0"/>
              </dgm:if>
              <dgm:if name="Name65" axis="root ch" ptType="all node" func="cnt" op="equ" val="3">
                <dgm:presOf axis="root ch desOrSelf" ptType="all node node" st="1 3 1" cnt="1 1 0"/>
              </dgm:if>
              <dgm:if name="Name66" axis="root ch" ptType="all node" func="cnt" op="equ" val="4">
                <dgm:presOf axis="root ch desOrSelf" ptType="all node node" st="1 4 1" cnt="1 1 0"/>
              </dgm:if>
              <dgm:if name="Name67" axis="root ch" ptType="all node" func="cnt" op="equ" val="5">
                <dgm:presOf axis="root ch desOrSelf" ptType="all node node" st="1 5 1" cnt="1 1 0"/>
              </dgm:if>
              <dgm:if name="Name68" axis="root ch" ptType="all node" func="cnt" op="equ" val="6">
                <dgm:presOf axis="root ch desOrSelf" ptType="all node node" st="1 6 1" cnt="1 1 0"/>
              </dgm:if>
              <dgm:else name="Name69">
                <dgm:presOf axis="root ch desOrSelf" ptType="all node node" st="1 7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70" axis="ch" ptType="node" st="3" cnt="1">
      <dgm:layoutNode name="circ3" styleLbl="vennNode1">
        <dgm:alg type="sp"/>
        <dgm:shape xmlns:r="http://schemas.openxmlformats.org/officeDocument/2006/relationships" type="ellipse" r:blip="">
          <dgm:adjLst/>
        </dgm:shape>
        <dgm:choose name="Name71">
          <dgm:if name="Name72" func="var" arg="dir" op="equ" val="norm">
            <dgm:choose name="Name73">
              <dgm:if name="Name74" axis="root ch" ptType="all node" func="cnt" op="lte" val="4">
                <dgm:presOf axis="desOrSelf" ptType="node"/>
              </dgm:if>
              <dgm:else name="Name75">
                <dgm:presOf/>
              </dgm:else>
            </dgm:choose>
          </dgm:if>
          <dgm:else name="Name76">
            <dgm:choose name="Name77">
              <dgm:if name="Name78" axis="root ch" ptType="all node" func="cnt" op="equ" val="3">
                <dgm:presOf axis="root ch desOrSelf" ptType="all node node" st="1 2 1" cnt="1 1 0"/>
              </dgm:if>
              <dgm:if name="Name79" axis="root ch" ptType="all node" func="cnt" op="equ" val="4">
                <dgm:presOf axis="root ch desOrSelf" ptType="all node node" st="1 3 1" cnt="1 1 0"/>
              </dgm:if>
              <dgm:else name="Name80">
                <dgm:presOf/>
              </dgm:else>
            </dgm:choose>
          </dgm:else>
        </dgm:choose>
        <dgm:constrLst/>
        <dgm:ruleLst/>
      </dgm:layoutNode>
      <dgm:layoutNode name="circ3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81">
          <dgm:if name="Name82" func="var" arg="dir" op="equ" val="norm">
            <dgm:presOf axis="desOrSelf" ptType="node"/>
          </dgm:if>
          <dgm:else name="Name83">
            <dgm:choose name="Name84">
              <dgm:if name="Name85" axis="root ch" ptType="all node" func="cnt" op="equ" val="3">
                <dgm:presOf axis="root ch desOrSelf" ptType="all node node" st="1 2 1" cnt="1 1 0"/>
              </dgm:if>
              <dgm:if name="Name86" axis="root ch" ptType="all node" func="cnt" op="equ" val="4">
                <dgm:presOf axis="root ch desOrSelf" ptType="all node node" st="1 3 1" cnt="1 1 0"/>
              </dgm:if>
              <dgm:if name="Name87" axis="root ch" ptType="all node" func="cnt" op="equ" val="5">
                <dgm:presOf axis="root ch desOrSelf" ptType="all node node" st="1 4 1" cnt="1 1 0"/>
              </dgm:if>
              <dgm:if name="Name88" axis="root ch" ptType="all node" func="cnt" op="equ" val="6">
                <dgm:presOf axis="root ch desOrSelf" ptType="all node node" st="1 5 1" cnt="1 1 0"/>
              </dgm:if>
              <dgm:else name="Name89">
                <dgm:presOf axis="root ch desOrSelf" ptType="all node node" st="1 6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90" axis="ch" ptType="node" st="4" cnt="1">
      <dgm:layoutNode name="circ4" styleLbl="vennNode1">
        <dgm:alg type="sp"/>
        <dgm:shape xmlns:r="http://schemas.openxmlformats.org/officeDocument/2006/relationships" type="ellipse" r:blip="">
          <dgm:adjLst/>
        </dgm:shape>
        <dgm:choose name="Name91">
          <dgm:if name="Name92" func="var" arg="dir" op="equ" val="norm">
            <dgm:choose name="Name93">
              <dgm:if name="Name94" axis="root ch" ptType="all node" func="cnt" op="lte" val="4">
                <dgm:presOf axis="desOrSelf" ptType="node"/>
              </dgm:if>
              <dgm:else name="Name95">
                <dgm:presOf/>
              </dgm:else>
            </dgm:choose>
          </dgm:if>
          <dgm:else name="Name96">
            <dgm:choose name="Name97">
              <dgm:if name="Name98" axis="root ch" ptType="all node" func="cnt" op="equ" val="4">
                <dgm:presOf axis="root ch desOrSelf" ptType="all node node" st="1 2 1" cnt="1 1 0"/>
              </dgm:if>
              <dgm:else name="Name99">
                <dgm:presOf/>
              </dgm:else>
            </dgm:choose>
          </dgm:else>
        </dgm:choose>
        <dgm:constrLst/>
        <dgm:ruleLst/>
      </dgm:layoutNode>
      <dgm:layoutNode name="circ4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0">
          <dgm:if name="Name101" func="var" arg="dir" op="equ" val="norm">
            <dgm:presOf axis="desOrSelf" ptType="node"/>
          </dgm:if>
          <dgm:else name="Name102">
            <dgm:choose name="Name103">
              <dgm:if name="Name104" axis="root ch" ptType="all node" func="cnt" op="equ" val="4">
                <dgm:presOf axis="root ch desOrSelf" ptType="all node node" st="1 2 1" cnt="1 1 0"/>
              </dgm:if>
              <dgm:if name="Name105" axis="root ch" ptType="all node" func="cnt" op="equ" val="5">
                <dgm:presOf axis="root ch desOrSelf" ptType="all node node" st="1 3 1" cnt="1 1 0"/>
              </dgm:if>
              <dgm:if name="Name106" axis="root ch" ptType="all node" func="cnt" op="equ" val="6">
                <dgm:presOf axis="root ch desOrSelf" ptType="all node node" st="1 4 1" cnt="1 1 0"/>
              </dgm:if>
              <dgm:else name="Name107">
                <dgm:presOf axis="root ch desOrSelf" ptType="all node node" st="1 5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08" axis="ch" ptType="node" st="5" cnt="1">
      <dgm:layoutNode name="circ5" styleLbl="vennNode1">
        <dgm:alg type="sp"/>
        <dgm:shape xmlns:r="http://schemas.openxmlformats.org/officeDocument/2006/relationships" type="ellipse" r:blip="">
          <dgm:adjLst/>
        </dgm:shape>
        <dgm:presOf/>
        <dgm:constrLst/>
        <dgm:ruleLst/>
      </dgm:layoutNode>
      <dgm:layoutNode name="circ5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9">
          <dgm:if name="Name110" func="var" arg="dir" op="equ" val="norm">
            <dgm:presOf axis="desOrSelf" ptType="node"/>
          </dgm:if>
          <dgm:else name="Name111">
            <dgm:choose name="Name112">
              <dgm:if name="Name113" axis="root ch" ptType="all node" func="cnt" op="equ" val="5">
                <dgm:presOf axis="root ch desOrSelf" ptType="all node node" st="1 2 1" cnt="1 1 0"/>
              </dgm:if>
              <dgm:if name="Name114" axis="root ch" ptType="all node" func="cnt" op="equ" val="6">
                <dgm:presOf axis="root ch desOrSelf" ptType="all node node" st="1 3 1" cnt="1 1 0"/>
              </dgm:if>
              <dgm:else name="Name115">
                <dgm:presOf axis="root ch desOrSelf" ptType="all node node" st="1 4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16" axis="ch" ptType="node" st="6" cnt="1">
      <dgm:layoutNode name="circ6" styleLbl="vennNode1">
        <dgm:alg type="sp"/>
        <dgm:shape xmlns:r="http://schemas.openxmlformats.org/officeDocument/2006/relationships" type="ellipse" r:blip="">
          <dgm:adjLst/>
        </dgm:shape>
        <dgm:presOf/>
        <dgm:constrLst/>
        <dgm:ruleLst/>
      </dgm:layoutNode>
      <dgm:layoutNode name="circ6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17">
          <dgm:if name="Name118" func="var" arg="dir" op="equ" val="norm">
            <dgm:presOf axis="desOrSelf" ptType="node"/>
          </dgm:if>
          <dgm:else name="Name119">
            <dgm:choose name="Name120">
              <dgm:if name="Name121" axis="root ch" ptType="all node" func="cnt" op="equ" val="6">
                <dgm:presOf axis="root ch desOrSelf" ptType="all node node" st="1 2 1" cnt="1 1 0"/>
              </dgm:if>
              <dgm:else name="Name122">
                <dgm:presOf axis="root ch desOrSelf" ptType="all node node" st="1 3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23" axis="ch" ptType="node" st="7" cnt="1">
      <dgm:layoutNode name="circ7" styleLbl="vennNode1">
        <dgm:alg type="sp"/>
        <dgm:shape xmlns:r="http://schemas.openxmlformats.org/officeDocument/2006/relationships" type="ellipse" r:blip="">
          <dgm:adjLst/>
        </dgm:shape>
        <dgm:presOf/>
        <dgm:constrLst/>
        <dgm:ruleLst/>
      </dgm:layoutNode>
      <dgm:layoutNode name="circ7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24">
          <dgm:if name="Name125" func="var" arg="dir" op="equ" val="norm">
            <dgm:presOf axis="desOrSelf" ptType="node"/>
          </dgm:if>
          <dgm:else name="Name126">
            <dgm:presOf axis="root ch desOrSelf" ptType="all node node" st="1 2 1" cnt="1 1 0"/>
          </dgm:else>
        </dgm:choose>
        <dgm:constrLst>
          <dgm:constr type="tMarg"/>
          <dgm:constr type="bMarg"/>
          <dgm:constr type="lMarg"/>
          <dgm:constr type="rMarg"/>
          <dgm:constr type="primFontSz" val="6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Master!A1"/><Relationship Id="rId2" Type="http://schemas.openxmlformats.org/officeDocument/2006/relationships/image" Target="../media/image1.png"/><Relationship Id="rId1" Type="http://schemas.openxmlformats.org/officeDocument/2006/relationships/hyperlink" Target="http://www.newstreetresearch.com/" TargetMode="External"/><Relationship Id="rId6" Type="http://schemas.openxmlformats.org/officeDocument/2006/relationships/hyperlink" Target="#'Pf model'!A1"/><Relationship Id="rId5" Type="http://schemas.openxmlformats.org/officeDocument/2006/relationships/hyperlink" Target="#Valuation!A1"/><Relationship Id="rId4" Type="http://schemas.openxmlformats.org/officeDocument/2006/relationships/hyperlink" Target="#Quarts!A1"/></Relationships>
</file>

<file path=xl/drawings/_rels/drawing1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25.xml"/><Relationship Id="rId18" Type="http://schemas.openxmlformats.org/officeDocument/2006/relationships/chart" Target="../charts/chart30.xml"/><Relationship Id="rId26" Type="http://schemas.microsoft.com/office/2007/relationships/diagramDrawing" Target="../diagrams/drawing1.xml"/><Relationship Id="rId3" Type="http://schemas.openxmlformats.org/officeDocument/2006/relationships/chart" Target="../charts/chart15.xml"/><Relationship Id="rId21" Type="http://schemas.openxmlformats.org/officeDocument/2006/relationships/chart" Target="../charts/chart33.xml"/><Relationship Id="rId34" Type="http://schemas.openxmlformats.org/officeDocument/2006/relationships/chart" Target="../charts/chart41.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diagramColors" Target="../diagrams/colors1.xml"/><Relationship Id="rId33" Type="http://schemas.openxmlformats.org/officeDocument/2006/relationships/chart" Target="../charts/chart40.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36.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diagramQuickStyle" Target="../diagrams/quickStyle1.xml"/><Relationship Id="rId32" Type="http://schemas.openxmlformats.org/officeDocument/2006/relationships/chart" Target="../charts/chart39.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diagramLayout" Target="../diagrams/layout1.xml"/><Relationship Id="rId28" Type="http://schemas.openxmlformats.org/officeDocument/2006/relationships/chart" Target="../charts/chart35.xml"/><Relationship Id="rId36" Type="http://schemas.openxmlformats.org/officeDocument/2006/relationships/chart" Target="../charts/chart43.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38.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diagramData" Target="../diagrams/data1.xml"/><Relationship Id="rId27" Type="http://schemas.openxmlformats.org/officeDocument/2006/relationships/chart" Target="../charts/chart34.xml"/><Relationship Id="rId30" Type="http://schemas.openxmlformats.org/officeDocument/2006/relationships/chart" Target="../charts/chart37.xml"/><Relationship Id="rId35" Type="http://schemas.openxmlformats.org/officeDocument/2006/relationships/chart" Target="../charts/chart42.xml"/><Relationship Id="rId8"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chart" Target="../charts/chart61.xml"/><Relationship Id="rId26" Type="http://schemas.openxmlformats.org/officeDocument/2006/relationships/chart" Target="../charts/chart69.xml"/><Relationship Id="rId3" Type="http://schemas.openxmlformats.org/officeDocument/2006/relationships/chart" Target="../charts/chart46.xml"/><Relationship Id="rId21" Type="http://schemas.openxmlformats.org/officeDocument/2006/relationships/chart" Target="../charts/chart64.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5" Type="http://schemas.openxmlformats.org/officeDocument/2006/relationships/chart" Target="../charts/chart68.xml"/><Relationship Id="rId2" Type="http://schemas.openxmlformats.org/officeDocument/2006/relationships/chart" Target="../charts/chart45.xml"/><Relationship Id="rId16" Type="http://schemas.openxmlformats.org/officeDocument/2006/relationships/chart" Target="../charts/chart59.xml"/><Relationship Id="rId20" Type="http://schemas.openxmlformats.org/officeDocument/2006/relationships/chart" Target="../charts/chart63.xml"/><Relationship Id="rId29" Type="http://schemas.openxmlformats.org/officeDocument/2006/relationships/chart" Target="../charts/chart72.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24" Type="http://schemas.openxmlformats.org/officeDocument/2006/relationships/chart" Target="../charts/chart67.xml"/><Relationship Id="rId5" Type="http://schemas.openxmlformats.org/officeDocument/2006/relationships/chart" Target="../charts/chart48.xml"/><Relationship Id="rId15" Type="http://schemas.openxmlformats.org/officeDocument/2006/relationships/chart" Target="../charts/chart58.xml"/><Relationship Id="rId23" Type="http://schemas.openxmlformats.org/officeDocument/2006/relationships/chart" Target="../charts/chart66.xml"/><Relationship Id="rId28" Type="http://schemas.openxmlformats.org/officeDocument/2006/relationships/chart" Target="../charts/chart71.xml"/><Relationship Id="rId10" Type="http://schemas.openxmlformats.org/officeDocument/2006/relationships/chart" Target="../charts/chart53.xml"/><Relationship Id="rId19" Type="http://schemas.openxmlformats.org/officeDocument/2006/relationships/chart" Target="../charts/chart62.xml"/><Relationship Id="rId31" Type="http://schemas.openxmlformats.org/officeDocument/2006/relationships/chart" Target="../charts/chart74.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 Id="rId22" Type="http://schemas.openxmlformats.org/officeDocument/2006/relationships/chart" Target="../charts/chart65.xml"/><Relationship Id="rId27" Type="http://schemas.openxmlformats.org/officeDocument/2006/relationships/chart" Target="../charts/chart70.xml"/><Relationship Id="rId30"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30480</xdr:colOff>
      <xdr:row>5</xdr:row>
      <xdr:rowOff>0</xdr:rowOff>
    </xdr:to>
    <xdr:pic>
      <xdr:nvPicPr>
        <xdr:cNvPr id="4" name="Picture 3" descr="signature_534858453">
          <a:hlinkClick xmlns:r="http://schemas.openxmlformats.org/officeDocument/2006/relationships" r:id="rId1"/>
          <a:extLst>
            <a:ext uri="{FF2B5EF4-FFF2-40B4-BE49-F238E27FC236}">
              <a16:creationId xmlns:a16="http://schemas.microsoft.com/office/drawing/2014/main" id="{643215C8-6C14-47B7-BC37-889A77AA54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211830" cy="762000"/>
        </a:xfrm>
        <a:prstGeom prst="rect">
          <a:avLst/>
        </a:prstGeom>
        <a:noFill/>
        <a:ln>
          <a:noFill/>
        </a:ln>
      </xdr:spPr>
    </xdr:pic>
    <xdr:clientData/>
  </xdr:twoCellAnchor>
  <xdr:twoCellAnchor>
    <xdr:from>
      <xdr:col>1</xdr:col>
      <xdr:colOff>0</xdr:colOff>
      <xdr:row>29</xdr:row>
      <xdr:rowOff>30480</xdr:rowOff>
    </xdr:from>
    <xdr:to>
      <xdr:col>3</xdr:col>
      <xdr:colOff>15240</xdr:colOff>
      <xdr:row>32</xdr:row>
      <xdr:rowOff>106680</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3F3E8DDC-21CB-4313-95C3-8EDEE1DD2543}"/>
            </a:ext>
          </a:extLst>
        </xdr:cNvPr>
        <xdr:cNvSpPr/>
      </xdr:nvSpPr>
      <xdr:spPr>
        <a:xfrm>
          <a:off x="1123950" y="4610100"/>
          <a:ext cx="1600200" cy="52197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Main model</a:t>
          </a:r>
        </a:p>
      </xdr:txBody>
    </xdr:sp>
    <xdr:clientData/>
  </xdr:twoCellAnchor>
  <xdr:twoCellAnchor>
    <xdr:from>
      <xdr:col>3</xdr:col>
      <xdr:colOff>447675</xdr:colOff>
      <xdr:row>29</xdr:row>
      <xdr:rowOff>7620</xdr:rowOff>
    </xdr:from>
    <xdr:to>
      <xdr:col>6</xdr:col>
      <xdr:colOff>93345</xdr:colOff>
      <xdr:row>32</xdr:row>
      <xdr:rowOff>83820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DE740906-6308-415A-9071-15F21AE994E6}"/>
            </a:ext>
          </a:extLst>
        </xdr:cNvPr>
        <xdr:cNvSpPr/>
      </xdr:nvSpPr>
      <xdr:spPr>
        <a:xfrm>
          <a:off x="3015615" y="4762500"/>
          <a:ext cx="1474470" cy="53340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Interims</a:t>
          </a:r>
        </a:p>
      </xdr:txBody>
    </xdr:sp>
    <xdr:clientData/>
  </xdr:twoCellAnchor>
  <xdr:twoCellAnchor>
    <xdr:from>
      <xdr:col>7</xdr:col>
      <xdr:colOff>45720</xdr:colOff>
      <xdr:row>29</xdr:row>
      <xdr:rowOff>0</xdr:rowOff>
    </xdr:from>
    <xdr:to>
      <xdr:col>9</xdr:col>
      <xdr:colOff>308610</xdr:colOff>
      <xdr:row>32</xdr:row>
      <xdr:rowOff>76200</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7FCA06D8-83E2-4096-9AB9-024C1749B51E}"/>
            </a:ext>
          </a:extLst>
        </xdr:cNvPr>
        <xdr:cNvSpPr/>
      </xdr:nvSpPr>
      <xdr:spPr>
        <a:xfrm>
          <a:off x="5052060" y="4754880"/>
          <a:ext cx="1482090" cy="53340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Valuation</a:t>
          </a:r>
        </a:p>
      </xdr:txBody>
    </xdr:sp>
    <xdr:clientData/>
  </xdr:twoCellAnchor>
  <xdr:twoCellAnchor>
    <xdr:from>
      <xdr:col>10</xdr:col>
      <xdr:colOff>140970</xdr:colOff>
      <xdr:row>29</xdr:row>
      <xdr:rowOff>0</xdr:rowOff>
    </xdr:from>
    <xdr:to>
      <xdr:col>12</xdr:col>
      <xdr:colOff>453390</xdr:colOff>
      <xdr:row>32</xdr:row>
      <xdr:rowOff>76200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FE464B3B-47B7-453B-BF98-5FB27FD3DAF6}"/>
            </a:ext>
          </a:extLst>
        </xdr:cNvPr>
        <xdr:cNvSpPr/>
      </xdr:nvSpPr>
      <xdr:spPr>
        <a:xfrm>
          <a:off x="7429500" y="4579620"/>
          <a:ext cx="1600200" cy="52197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pf MEGA-TV model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142875</xdr:colOff>
      <xdr:row>41</xdr:row>
      <xdr:rowOff>118380</xdr:rowOff>
    </xdr:from>
    <xdr:to>
      <xdr:col>32</xdr:col>
      <xdr:colOff>394607</xdr:colOff>
      <xdr:row>63</xdr:row>
      <xdr:rowOff>0</xdr:rowOff>
    </xdr:to>
    <xdr:graphicFrame macro="">
      <xdr:nvGraphicFramePr>
        <xdr:cNvPr id="2" name="Chart 1">
          <a:extLst>
            <a:ext uri="{FF2B5EF4-FFF2-40B4-BE49-F238E27FC236}">
              <a16:creationId xmlns:a16="http://schemas.microsoft.com/office/drawing/2014/main" id="{F8A657AA-D2F4-1DBA-F795-41A57A4AB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75098</xdr:colOff>
      <xdr:row>3</xdr:row>
      <xdr:rowOff>24423</xdr:rowOff>
    </xdr:from>
    <xdr:to>
      <xdr:col>19</xdr:col>
      <xdr:colOff>73466</xdr:colOff>
      <xdr:row>18</xdr:row>
      <xdr:rowOff>14653</xdr:rowOff>
    </xdr:to>
    <xdr:graphicFrame macro="">
      <xdr:nvGraphicFramePr>
        <xdr:cNvPr id="2" name="Chart 1">
          <a:extLst>
            <a:ext uri="{FF2B5EF4-FFF2-40B4-BE49-F238E27FC236}">
              <a16:creationId xmlns:a16="http://schemas.microsoft.com/office/drawing/2014/main" id="{51B1B220-759B-414A-82D9-DFDBE27BF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432027</xdr:colOff>
      <xdr:row>19</xdr:row>
      <xdr:rowOff>6803</xdr:rowOff>
    </xdr:from>
    <xdr:to>
      <xdr:col>32</xdr:col>
      <xdr:colOff>503464</xdr:colOff>
      <xdr:row>37</xdr:row>
      <xdr:rowOff>156482</xdr:rowOff>
    </xdr:to>
    <xdr:graphicFrame macro="">
      <xdr:nvGraphicFramePr>
        <xdr:cNvPr id="2" name="Chart 1">
          <a:extLst>
            <a:ext uri="{FF2B5EF4-FFF2-40B4-BE49-F238E27FC236}">
              <a16:creationId xmlns:a16="http://schemas.microsoft.com/office/drawing/2014/main" id="{16A19AAC-CCC7-45EB-AC7C-0BEAFA9AF1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198436</xdr:colOff>
      <xdr:row>65</xdr:row>
      <xdr:rowOff>145521</xdr:rowOff>
    </xdr:from>
    <xdr:to>
      <xdr:col>33</xdr:col>
      <xdr:colOff>635000</xdr:colOff>
      <xdr:row>79</xdr:row>
      <xdr:rowOff>185208</xdr:rowOff>
    </xdr:to>
    <xdr:graphicFrame macro="">
      <xdr:nvGraphicFramePr>
        <xdr:cNvPr id="2" name="Chart 1">
          <a:extLst>
            <a:ext uri="{FF2B5EF4-FFF2-40B4-BE49-F238E27FC236}">
              <a16:creationId xmlns:a16="http://schemas.microsoft.com/office/drawing/2014/main" id="{1A398BF7-46D2-8DCF-F941-403DF2FD5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78</xdr:col>
      <xdr:colOff>13229</xdr:colOff>
      <xdr:row>78</xdr:row>
      <xdr:rowOff>40830</xdr:rowOff>
    </xdr:from>
    <xdr:to>
      <xdr:col>90</xdr:col>
      <xdr:colOff>9</xdr:colOff>
      <xdr:row>91</xdr:row>
      <xdr:rowOff>130637</xdr:rowOff>
    </xdr:to>
    <xdr:graphicFrame macro="">
      <xdr:nvGraphicFramePr>
        <xdr:cNvPr id="5" name="Chart 4">
          <a:extLst>
            <a:ext uri="{FF2B5EF4-FFF2-40B4-BE49-F238E27FC236}">
              <a16:creationId xmlns:a16="http://schemas.microsoft.com/office/drawing/2014/main" id="{05998471-29E5-4416-8422-D64C4008A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107</xdr:col>
      <xdr:colOff>238125</xdr:colOff>
      <xdr:row>89</xdr:row>
      <xdr:rowOff>76517</xdr:rowOff>
    </xdr:from>
    <xdr:to>
      <xdr:col>110</xdr:col>
      <xdr:colOff>463020</xdr:colOff>
      <xdr:row>101</xdr:row>
      <xdr:rowOff>0</xdr:rowOff>
    </xdr:to>
    <xdr:graphicFrame macro="">
      <xdr:nvGraphicFramePr>
        <xdr:cNvPr id="8" name="Chart 7">
          <a:extLst>
            <a:ext uri="{FF2B5EF4-FFF2-40B4-BE49-F238E27FC236}">
              <a16:creationId xmlns:a16="http://schemas.microsoft.com/office/drawing/2014/main" id="{0E00F9AC-85C8-4644-A7F0-54835C7809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103927</xdr:colOff>
      <xdr:row>32</xdr:row>
      <xdr:rowOff>58207</xdr:rowOff>
    </xdr:from>
    <xdr:to>
      <xdr:col>33</xdr:col>
      <xdr:colOff>30755</xdr:colOff>
      <xdr:row>62</xdr:row>
      <xdr:rowOff>121757</xdr:rowOff>
    </xdr:to>
    <xdr:graphicFrame macro="">
      <xdr:nvGraphicFramePr>
        <xdr:cNvPr id="4" name="Chart 3">
          <a:extLst>
            <a:ext uri="{FF2B5EF4-FFF2-40B4-BE49-F238E27FC236}">
              <a16:creationId xmlns:a16="http://schemas.microsoft.com/office/drawing/2014/main" id="{06F5233B-2AE4-43C0-BDC3-487FA72D2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496727</xdr:colOff>
      <xdr:row>66</xdr:row>
      <xdr:rowOff>78448</xdr:rowOff>
    </xdr:from>
    <xdr:to>
      <xdr:col>32</xdr:col>
      <xdr:colOff>277812</xdr:colOff>
      <xdr:row>85</xdr:row>
      <xdr:rowOff>145521</xdr:rowOff>
    </xdr:to>
    <xdr:graphicFrame macro="">
      <xdr:nvGraphicFramePr>
        <xdr:cNvPr id="6" name="Chart 5">
          <a:extLst>
            <a:ext uri="{FF2B5EF4-FFF2-40B4-BE49-F238E27FC236}">
              <a16:creationId xmlns:a16="http://schemas.microsoft.com/office/drawing/2014/main" id="{B4856943-0FEB-2FF2-D7D8-BDF5A4957A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246328</xdr:colOff>
      <xdr:row>110</xdr:row>
      <xdr:rowOff>71702</xdr:rowOff>
    </xdr:from>
    <xdr:to>
      <xdr:col>32</xdr:col>
      <xdr:colOff>410104</xdr:colOff>
      <xdr:row>125</xdr:row>
      <xdr:rowOff>52917</xdr:rowOff>
    </xdr:to>
    <xdr:graphicFrame macro="">
      <xdr:nvGraphicFramePr>
        <xdr:cNvPr id="5" name="Chart 4">
          <a:extLst>
            <a:ext uri="{FF2B5EF4-FFF2-40B4-BE49-F238E27FC236}">
              <a16:creationId xmlns:a16="http://schemas.microsoft.com/office/drawing/2014/main" id="{3C6A49CD-C184-253D-C9B1-72C6F95AC7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38100</xdr:colOff>
      <xdr:row>92</xdr:row>
      <xdr:rowOff>40216</xdr:rowOff>
    </xdr:from>
    <xdr:to>
      <xdr:col>32</xdr:col>
      <xdr:colOff>423334</xdr:colOff>
      <xdr:row>108</xdr:row>
      <xdr:rowOff>39686</xdr:rowOff>
    </xdr:to>
    <xdr:graphicFrame macro="">
      <xdr:nvGraphicFramePr>
        <xdr:cNvPr id="7" name="Chart 6">
          <a:extLst>
            <a:ext uri="{FF2B5EF4-FFF2-40B4-BE49-F238E27FC236}">
              <a16:creationId xmlns:a16="http://schemas.microsoft.com/office/drawing/2014/main" id="{FD4F0064-1866-42B7-A4A1-AE403A384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59267</xdr:colOff>
      <xdr:row>63</xdr:row>
      <xdr:rowOff>151342</xdr:rowOff>
    </xdr:from>
    <xdr:to>
      <xdr:col>42</xdr:col>
      <xdr:colOff>364066</xdr:colOff>
      <xdr:row>78</xdr:row>
      <xdr:rowOff>174625</xdr:rowOff>
    </xdr:to>
    <xdr:graphicFrame macro="">
      <xdr:nvGraphicFramePr>
        <xdr:cNvPr id="9" name="Chart 8">
          <a:extLst>
            <a:ext uri="{FF2B5EF4-FFF2-40B4-BE49-F238E27FC236}">
              <a16:creationId xmlns:a16="http://schemas.microsoft.com/office/drawing/2014/main" id="{A6746B76-7931-4E04-BF57-619BEE706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25929</xdr:colOff>
      <xdr:row>115</xdr:row>
      <xdr:rowOff>96838</xdr:rowOff>
    </xdr:from>
    <xdr:to>
      <xdr:col>14</xdr:col>
      <xdr:colOff>330729</xdr:colOff>
      <xdr:row>130</xdr:row>
      <xdr:rowOff>125413</xdr:rowOff>
    </xdr:to>
    <xdr:graphicFrame macro="">
      <xdr:nvGraphicFramePr>
        <xdr:cNvPr id="10" name="Chart 9">
          <a:extLst>
            <a:ext uri="{FF2B5EF4-FFF2-40B4-BE49-F238E27FC236}">
              <a16:creationId xmlns:a16="http://schemas.microsoft.com/office/drawing/2014/main" id="{B35FDA2A-B3BB-2017-C2CB-0AB2420BC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239183</xdr:colOff>
      <xdr:row>62</xdr:row>
      <xdr:rowOff>169068</xdr:rowOff>
    </xdr:from>
    <xdr:to>
      <xdr:col>53</xdr:col>
      <xdr:colOff>515937</xdr:colOff>
      <xdr:row>84</xdr:row>
      <xdr:rowOff>132291</xdr:rowOff>
    </xdr:to>
    <xdr:graphicFrame macro="">
      <xdr:nvGraphicFramePr>
        <xdr:cNvPr id="2" name="Chart 1">
          <a:extLst>
            <a:ext uri="{FF2B5EF4-FFF2-40B4-BE49-F238E27FC236}">
              <a16:creationId xmlns:a16="http://schemas.microsoft.com/office/drawing/2014/main" id="{BE44321D-4288-4116-B558-866AF7489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346604</xdr:colOff>
      <xdr:row>129</xdr:row>
      <xdr:rowOff>76993</xdr:rowOff>
    </xdr:from>
    <xdr:to>
      <xdr:col>32</xdr:col>
      <xdr:colOff>238125</xdr:colOff>
      <xdr:row>146</xdr:row>
      <xdr:rowOff>105834</xdr:rowOff>
    </xdr:to>
    <xdr:graphicFrame macro="">
      <xdr:nvGraphicFramePr>
        <xdr:cNvPr id="8" name="Chart 7">
          <a:extLst>
            <a:ext uri="{FF2B5EF4-FFF2-40B4-BE49-F238E27FC236}">
              <a16:creationId xmlns:a16="http://schemas.microsoft.com/office/drawing/2014/main" id="{0E7D36E0-F267-6E77-4F2D-A54D8D217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293325</xdr:colOff>
      <xdr:row>23</xdr:row>
      <xdr:rowOff>128027</xdr:rowOff>
    </xdr:from>
    <xdr:to>
      <xdr:col>41</xdr:col>
      <xdr:colOff>33973</xdr:colOff>
      <xdr:row>44</xdr:row>
      <xdr:rowOff>114692</xdr:rowOff>
    </xdr:to>
    <xdr:graphicFrame macro="">
      <xdr:nvGraphicFramePr>
        <xdr:cNvPr id="2" name="Chart 1">
          <a:extLst>
            <a:ext uri="{FF2B5EF4-FFF2-40B4-BE49-F238E27FC236}">
              <a16:creationId xmlns:a16="http://schemas.microsoft.com/office/drawing/2014/main" id="{007A8F4E-3D8B-4B64-BEC7-606BD6773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380623</xdr:colOff>
      <xdr:row>23</xdr:row>
      <xdr:rowOff>147032</xdr:rowOff>
    </xdr:from>
    <xdr:to>
      <xdr:col>46</xdr:col>
      <xdr:colOff>121269</xdr:colOff>
      <xdr:row>44</xdr:row>
      <xdr:rowOff>124172</xdr:rowOff>
    </xdr:to>
    <xdr:graphicFrame macro="">
      <xdr:nvGraphicFramePr>
        <xdr:cNvPr id="3" name="Chart 2">
          <a:extLst>
            <a:ext uri="{FF2B5EF4-FFF2-40B4-BE49-F238E27FC236}">
              <a16:creationId xmlns:a16="http://schemas.microsoft.com/office/drawing/2014/main" id="{D6161D81-41E9-4E9A-BD00-BFFDC3FAF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2648480</xdr:colOff>
      <xdr:row>82</xdr:row>
      <xdr:rowOff>147108</xdr:rowOff>
    </xdr:from>
    <xdr:to>
      <xdr:col>8</xdr:col>
      <xdr:colOff>383646</xdr:colOff>
      <xdr:row>100</xdr:row>
      <xdr:rowOff>26458</xdr:rowOff>
    </xdr:to>
    <xdr:graphicFrame macro="">
      <xdr:nvGraphicFramePr>
        <xdr:cNvPr id="4" name="Chart 3">
          <a:extLst>
            <a:ext uri="{FF2B5EF4-FFF2-40B4-BE49-F238E27FC236}">
              <a16:creationId xmlns:a16="http://schemas.microsoft.com/office/drawing/2014/main" id="{0F7670C2-3EB5-6C0A-B793-B7514FFB27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318999</xdr:colOff>
      <xdr:row>100</xdr:row>
      <xdr:rowOff>110531</xdr:rowOff>
    </xdr:from>
    <xdr:to>
      <xdr:col>22</xdr:col>
      <xdr:colOff>410104</xdr:colOff>
      <xdr:row>117</xdr:row>
      <xdr:rowOff>92604</xdr:rowOff>
    </xdr:to>
    <xdr:graphicFrame macro="">
      <xdr:nvGraphicFramePr>
        <xdr:cNvPr id="5" name="Chart 4">
          <a:extLst>
            <a:ext uri="{FF2B5EF4-FFF2-40B4-BE49-F238E27FC236}">
              <a16:creationId xmlns:a16="http://schemas.microsoft.com/office/drawing/2014/main" id="{97AA3966-AEB1-7293-E5D2-49DCC7172E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41273</xdr:colOff>
      <xdr:row>101</xdr:row>
      <xdr:rowOff>81985</xdr:rowOff>
    </xdr:from>
    <xdr:to>
      <xdr:col>29</xdr:col>
      <xdr:colOff>608542</xdr:colOff>
      <xdr:row>118</xdr:row>
      <xdr:rowOff>79374</xdr:rowOff>
    </xdr:to>
    <xdr:graphicFrame macro="">
      <xdr:nvGraphicFramePr>
        <xdr:cNvPr id="7" name="Chart 6">
          <a:extLst>
            <a:ext uri="{FF2B5EF4-FFF2-40B4-BE49-F238E27FC236}">
              <a16:creationId xmlns:a16="http://schemas.microsoft.com/office/drawing/2014/main" id="{2F19460B-6447-3016-ED7C-8126FFA8E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446805</xdr:colOff>
      <xdr:row>122</xdr:row>
      <xdr:rowOff>61978</xdr:rowOff>
    </xdr:from>
    <xdr:to>
      <xdr:col>24</xdr:col>
      <xdr:colOff>21279</xdr:colOff>
      <xdr:row>139</xdr:row>
      <xdr:rowOff>125293</xdr:rowOff>
    </xdr:to>
    <xdr:graphicFrame macro="">
      <xdr:nvGraphicFramePr>
        <xdr:cNvPr id="9" name="Chart 8">
          <a:extLst>
            <a:ext uri="{FF2B5EF4-FFF2-40B4-BE49-F238E27FC236}">
              <a16:creationId xmlns:a16="http://schemas.microsoft.com/office/drawing/2014/main" id="{97A46FA0-53A9-43F5-E9A3-383CB0830A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106991</xdr:colOff>
      <xdr:row>120</xdr:row>
      <xdr:rowOff>104812</xdr:rowOff>
    </xdr:from>
    <xdr:to>
      <xdr:col>32</xdr:col>
      <xdr:colOff>185292</xdr:colOff>
      <xdr:row>137</xdr:row>
      <xdr:rowOff>84</xdr:rowOff>
    </xdr:to>
    <xdr:graphicFrame macro="">
      <xdr:nvGraphicFramePr>
        <xdr:cNvPr id="10" name="Chart 9">
          <a:extLst>
            <a:ext uri="{FF2B5EF4-FFF2-40B4-BE49-F238E27FC236}">
              <a16:creationId xmlns:a16="http://schemas.microsoft.com/office/drawing/2014/main" id="{5CE70308-9A2E-CBE1-5F8F-02AEFBA55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547686</xdr:colOff>
      <xdr:row>78</xdr:row>
      <xdr:rowOff>157775</xdr:rowOff>
    </xdr:from>
    <xdr:to>
      <xdr:col>29</xdr:col>
      <xdr:colOff>39687</xdr:colOff>
      <xdr:row>100</xdr:row>
      <xdr:rowOff>132291</xdr:rowOff>
    </xdr:to>
    <xdr:graphicFrame macro="">
      <xdr:nvGraphicFramePr>
        <xdr:cNvPr id="11" name="Chart 10">
          <a:extLst>
            <a:ext uri="{FF2B5EF4-FFF2-40B4-BE49-F238E27FC236}">
              <a16:creationId xmlns:a16="http://schemas.microsoft.com/office/drawing/2014/main" id="{82C052E4-49B2-C440-A2D7-EFFF42300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48</xdr:col>
      <xdr:colOff>346092</xdr:colOff>
      <xdr:row>54</xdr:row>
      <xdr:rowOff>125429</xdr:rowOff>
    </xdr:from>
    <xdr:to>
      <xdr:col>56</xdr:col>
      <xdr:colOff>57099</xdr:colOff>
      <xdr:row>77</xdr:row>
      <xdr:rowOff>129730</xdr:rowOff>
    </xdr:to>
    <xdr:graphicFrame macro="">
      <xdr:nvGraphicFramePr>
        <xdr:cNvPr id="6" name="Chart 5">
          <a:extLst>
            <a:ext uri="{FF2B5EF4-FFF2-40B4-BE49-F238E27FC236}">
              <a16:creationId xmlns:a16="http://schemas.microsoft.com/office/drawing/2014/main" id="{53CD4EB4-3FAC-28E9-9A54-9A7F216779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746636</xdr:colOff>
      <xdr:row>119</xdr:row>
      <xdr:rowOff>161617</xdr:rowOff>
    </xdr:from>
    <xdr:to>
      <xdr:col>10</xdr:col>
      <xdr:colOff>645241</xdr:colOff>
      <xdr:row>142</xdr:row>
      <xdr:rowOff>147484</xdr:rowOff>
    </xdr:to>
    <xdr:graphicFrame macro="">
      <xdr:nvGraphicFramePr>
        <xdr:cNvPr id="8" name="Chart 7">
          <a:extLst>
            <a:ext uri="{FF2B5EF4-FFF2-40B4-BE49-F238E27FC236}">
              <a16:creationId xmlns:a16="http://schemas.microsoft.com/office/drawing/2014/main" id="{C13F5865-F375-4D92-2EFF-86D629CFBD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706693</xdr:colOff>
      <xdr:row>144</xdr:row>
      <xdr:rowOff>75587</xdr:rowOff>
    </xdr:from>
    <xdr:to>
      <xdr:col>13</xdr:col>
      <xdr:colOff>448596</xdr:colOff>
      <xdr:row>159</xdr:row>
      <xdr:rowOff>53464</xdr:rowOff>
    </xdr:to>
    <xdr:graphicFrame macro="">
      <xdr:nvGraphicFramePr>
        <xdr:cNvPr id="12" name="Chart 11">
          <a:extLst>
            <a:ext uri="{FF2B5EF4-FFF2-40B4-BE49-F238E27FC236}">
              <a16:creationId xmlns:a16="http://schemas.microsoft.com/office/drawing/2014/main" id="{E43D5478-C0FB-6A65-39F3-2869A138E5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683946</xdr:colOff>
      <xdr:row>179</xdr:row>
      <xdr:rowOff>129908</xdr:rowOff>
    </xdr:from>
    <xdr:to>
      <xdr:col>15</xdr:col>
      <xdr:colOff>515937</xdr:colOff>
      <xdr:row>195</xdr:row>
      <xdr:rowOff>105834</xdr:rowOff>
    </xdr:to>
    <xdr:graphicFrame macro="">
      <xdr:nvGraphicFramePr>
        <xdr:cNvPr id="13" name="Chart 12">
          <a:extLst>
            <a:ext uri="{FF2B5EF4-FFF2-40B4-BE49-F238E27FC236}">
              <a16:creationId xmlns:a16="http://schemas.microsoft.com/office/drawing/2014/main" id="{D09C3F5B-810F-53A0-51F1-53A3E26C78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154780</xdr:colOff>
      <xdr:row>203</xdr:row>
      <xdr:rowOff>50534</xdr:rowOff>
    </xdr:from>
    <xdr:to>
      <xdr:col>14</xdr:col>
      <xdr:colOff>132292</xdr:colOff>
      <xdr:row>221</xdr:row>
      <xdr:rowOff>119063</xdr:rowOff>
    </xdr:to>
    <xdr:graphicFrame macro="">
      <xdr:nvGraphicFramePr>
        <xdr:cNvPr id="17" name="Chart 16">
          <a:extLst>
            <a:ext uri="{FF2B5EF4-FFF2-40B4-BE49-F238E27FC236}">
              <a16:creationId xmlns:a16="http://schemas.microsoft.com/office/drawing/2014/main" id="{283F5195-3F67-65DC-B76C-A827F0A293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9258</xdr:colOff>
      <xdr:row>246</xdr:row>
      <xdr:rowOff>103449</xdr:rowOff>
    </xdr:from>
    <xdr:to>
      <xdr:col>14</xdr:col>
      <xdr:colOff>648229</xdr:colOff>
      <xdr:row>265</xdr:row>
      <xdr:rowOff>145520</xdr:rowOff>
    </xdr:to>
    <xdr:graphicFrame macro="">
      <xdr:nvGraphicFramePr>
        <xdr:cNvPr id="18" name="Chart 17">
          <a:extLst>
            <a:ext uri="{FF2B5EF4-FFF2-40B4-BE49-F238E27FC236}">
              <a16:creationId xmlns:a16="http://schemas.microsoft.com/office/drawing/2014/main" id="{4BCE2F5F-A2E9-4B9C-EB24-C18E865DD1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1338791</xdr:colOff>
      <xdr:row>294</xdr:row>
      <xdr:rowOff>24076</xdr:rowOff>
    </xdr:from>
    <xdr:to>
      <xdr:col>6</xdr:col>
      <xdr:colOff>542396</xdr:colOff>
      <xdr:row>311</xdr:row>
      <xdr:rowOff>132292</xdr:rowOff>
    </xdr:to>
    <xdr:graphicFrame macro="">
      <xdr:nvGraphicFramePr>
        <xdr:cNvPr id="19" name="Chart 18">
          <a:extLst>
            <a:ext uri="{FF2B5EF4-FFF2-40B4-BE49-F238E27FC236}">
              <a16:creationId xmlns:a16="http://schemas.microsoft.com/office/drawing/2014/main" id="{731EB5FE-4631-BD0E-972A-A415E8EC20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161396</xdr:colOff>
      <xdr:row>284</xdr:row>
      <xdr:rowOff>90221</xdr:rowOff>
    </xdr:from>
    <xdr:to>
      <xdr:col>26</xdr:col>
      <xdr:colOff>396875</xdr:colOff>
      <xdr:row>312</xdr:row>
      <xdr:rowOff>132292</xdr:rowOff>
    </xdr:to>
    <xdr:graphicFrame macro="">
      <xdr:nvGraphicFramePr>
        <xdr:cNvPr id="20" name="Chart 19">
          <a:extLst>
            <a:ext uri="{FF2B5EF4-FFF2-40B4-BE49-F238E27FC236}">
              <a16:creationId xmlns:a16="http://schemas.microsoft.com/office/drawing/2014/main" id="{6EB7AEA9-EAEF-8C40-4475-B84E63186A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406136</xdr:colOff>
      <xdr:row>313</xdr:row>
      <xdr:rowOff>24073</xdr:rowOff>
    </xdr:from>
    <xdr:to>
      <xdr:col>15</xdr:col>
      <xdr:colOff>251355</xdr:colOff>
      <xdr:row>327</xdr:row>
      <xdr:rowOff>66146</xdr:rowOff>
    </xdr:to>
    <xdr:graphicFrame macro="">
      <xdr:nvGraphicFramePr>
        <xdr:cNvPr id="21" name="Chart 20">
          <a:extLst>
            <a:ext uri="{FF2B5EF4-FFF2-40B4-BE49-F238E27FC236}">
              <a16:creationId xmlns:a16="http://schemas.microsoft.com/office/drawing/2014/main" id="{8A267CE4-EA1A-D7F8-BEBC-D7E2BADD28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154778</xdr:colOff>
      <xdr:row>319</xdr:row>
      <xdr:rowOff>76989</xdr:rowOff>
    </xdr:from>
    <xdr:to>
      <xdr:col>20</xdr:col>
      <xdr:colOff>542395</xdr:colOff>
      <xdr:row>332</xdr:row>
      <xdr:rowOff>145520</xdr:rowOff>
    </xdr:to>
    <xdr:graphicFrame macro="">
      <xdr:nvGraphicFramePr>
        <xdr:cNvPr id="22" name="Chart 21">
          <a:extLst>
            <a:ext uri="{FF2B5EF4-FFF2-40B4-BE49-F238E27FC236}">
              <a16:creationId xmlns:a16="http://schemas.microsoft.com/office/drawing/2014/main" id="{B23249C0-A0E0-7917-F2AB-162D64D2DD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518584</xdr:colOff>
      <xdr:row>286</xdr:row>
      <xdr:rowOff>50535</xdr:rowOff>
    </xdr:from>
    <xdr:to>
      <xdr:col>15</xdr:col>
      <xdr:colOff>635002</xdr:colOff>
      <xdr:row>306</xdr:row>
      <xdr:rowOff>66146</xdr:rowOff>
    </xdr:to>
    <xdr:graphicFrame macro="">
      <xdr:nvGraphicFramePr>
        <xdr:cNvPr id="14" name="Chart 13">
          <a:extLst>
            <a:ext uri="{FF2B5EF4-FFF2-40B4-BE49-F238E27FC236}">
              <a16:creationId xmlns:a16="http://schemas.microsoft.com/office/drawing/2014/main" id="{454D8717-23B6-4F12-81D5-3B901C9D22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47</xdr:col>
      <xdr:colOff>312134</xdr:colOff>
      <xdr:row>24</xdr:row>
      <xdr:rowOff>66145</xdr:rowOff>
    </xdr:from>
    <xdr:to>
      <xdr:col>51</xdr:col>
      <xdr:colOff>317499</xdr:colOff>
      <xdr:row>35</xdr:row>
      <xdr:rowOff>158749</xdr:rowOff>
    </xdr:to>
    <xdr:graphicFrame macro="">
      <xdr:nvGraphicFramePr>
        <xdr:cNvPr id="16" name="Chart 15">
          <a:extLst>
            <a:ext uri="{FF2B5EF4-FFF2-40B4-BE49-F238E27FC236}">
              <a16:creationId xmlns:a16="http://schemas.microsoft.com/office/drawing/2014/main" id="{45E6762C-A9E7-4CB8-B31C-1D904667D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33</xdr:col>
      <xdr:colOff>559191</xdr:colOff>
      <xdr:row>70</xdr:row>
      <xdr:rowOff>127280</xdr:rowOff>
    </xdr:from>
    <xdr:to>
      <xdr:col>40</xdr:col>
      <xdr:colOff>508556</xdr:colOff>
      <xdr:row>87</xdr:row>
      <xdr:rowOff>160699</xdr:rowOff>
    </xdr:to>
    <xdr:graphicFrame macro="">
      <xdr:nvGraphicFramePr>
        <xdr:cNvPr id="23" name="Chart 22">
          <a:extLst>
            <a:ext uri="{FF2B5EF4-FFF2-40B4-BE49-F238E27FC236}">
              <a16:creationId xmlns:a16="http://schemas.microsoft.com/office/drawing/2014/main" id="{64082111-82D7-9063-BCC7-4515CF754A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49</xdr:col>
      <xdr:colOff>568854</xdr:colOff>
      <xdr:row>36</xdr:row>
      <xdr:rowOff>66147</xdr:rowOff>
    </xdr:from>
    <xdr:to>
      <xdr:col>57</xdr:col>
      <xdr:colOff>40523</xdr:colOff>
      <xdr:row>50</xdr:row>
      <xdr:rowOff>108925</xdr:rowOff>
    </xdr:to>
    <xdr:graphicFrame macro="">
      <xdr:nvGraphicFramePr>
        <xdr:cNvPr id="25" name="Diagram 24">
          <a:extLst>
            <a:ext uri="{FF2B5EF4-FFF2-40B4-BE49-F238E27FC236}">
              <a16:creationId xmlns:a16="http://schemas.microsoft.com/office/drawing/2014/main" id="{CAEDE77B-37ED-48B1-BFEB-BF21C41AD1F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2" r:lo="rId23" r:qs="rId24" r:cs="rId25"/>
        </a:graphicData>
      </a:graphic>
    </xdr:graphicFrame>
    <xdr:clientData/>
  </xdr:twoCellAnchor>
  <xdr:twoCellAnchor>
    <xdr:from>
      <xdr:col>51</xdr:col>
      <xdr:colOff>592696</xdr:colOff>
      <xdr:row>26</xdr:row>
      <xdr:rowOff>63481</xdr:rowOff>
    </xdr:from>
    <xdr:to>
      <xdr:col>57</xdr:col>
      <xdr:colOff>52917</xdr:colOff>
      <xdr:row>36</xdr:row>
      <xdr:rowOff>0</xdr:rowOff>
    </xdr:to>
    <xdr:graphicFrame macro="">
      <xdr:nvGraphicFramePr>
        <xdr:cNvPr id="26" name="Chart 25">
          <a:extLst>
            <a:ext uri="{FF2B5EF4-FFF2-40B4-BE49-F238E27FC236}">
              <a16:creationId xmlns:a16="http://schemas.microsoft.com/office/drawing/2014/main" id="{55EE4B26-C721-49B2-8A49-8828D57D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22</xdr:col>
      <xdr:colOff>430297</xdr:colOff>
      <xdr:row>403</xdr:row>
      <xdr:rowOff>39045</xdr:rowOff>
    </xdr:from>
    <xdr:to>
      <xdr:col>29</xdr:col>
      <xdr:colOff>145521</xdr:colOff>
      <xdr:row>419</xdr:row>
      <xdr:rowOff>13229</xdr:rowOff>
    </xdr:to>
    <xdr:graphicFrame macro="">
      <xdr:nvGraphicFramePr>
        <xdr:cNvPr id="27" name="Chart 26">
          <a:extLst>
            <a:ext uri="{FF2B5EF4-FFF2-40B4-BE49-F238E27FC236}">
              <a16:creationId xmlns:a16="http://schemas.microsoft.com/office/drawing/2014/main" id="{A1D370BC-55D6-9210-56FA-6C164F51FE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22</xdr:col>
      <xdr:colOff>538079</xdr:colOff>
      <xdr:row>371</xdr:row>
      <xdr:rowOff>33421</xdr:rowOff>
    </xdr:from>
    <xdr:to>
      <xdr:col>29</xdr:col>
      <xdr:colOff>197184</xdr:colOff>
      <xdr:row>387</xdr:row>
      <xdr:rowOff>100264</xdr:rowOff>
    </xdr:to>
    <xdr:graphicFrame macro="">
      <xdr:nvGraphicFramePr>
        <xdr:cNvPr id="29" name="Chart 28">
          <a:extLst>
            <a:ext uri="{FF2B5EF4-FFF2-40B4-BE49-F238E27FC236}">
              <a16:creationId xmlns:a16="http://schemas.microsoft.com/office/drawing/2014/main" id="{71867EB0-18C6-C995-0E72-95B79A598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638342</xdr:colOff>
      <xdr:row>386</xdr:row>
      <xdr:rowOff>107279</xdr:rowOff>
    </xdr:from>
    <xdr:to>
      <xdr:col>29</xdr:col>
      <xdr:colOff>200526</xdr:colOff>
      <xdr:row>403</xdr:row>
      <xdr:rowOff>167104</xdr:rowOff>
    </xdr:to>
    <xdr:graphicFrame macro="">
      <xdr:nvGraphicFramePr>
        <xdr:cNvPr id="24" name="Chart 23">
          <a:extLst>
            <a:ext uri="{FF2B5EF4-FFF2-40B4-BE49-F238E27FC236}">
              <a16:creationId xmlns:a16="http://schemas.microsoft.com/office/drawing/2014/main" id="{A5A84F60-CA7E-60C6-7613-2CE076029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436570</xdr:colOff>
      <xdr:row>2</xdr:row>
      <xdr:rowOff>123297</xdr:rowOff>
    </xdr:from>
    <xdr:to>
      <xdr:col>45</xdr:col>
      <xdr:colOff>132292</xdr:colOff>
      <xdr:row>22</xdr:row>
      <xdr:rowOff>145521</xdr:rowOff>
    </xdr:to>
    <xdr:graphicFrame macro="">
      <xdr:nvGraphicFramePr>
        <xdr:cNvPr id="30" name="Chart 29">
          <a:extLst>
            <a:ext uri="{FF2B5EF4-FFF2-40B4-BE49-F238E27FC236}">
              <a16:creationId xmlns:a16="http://schemas.microsoft.com/office/drawing/2014/main" id="{22795B51-9C88-DD5A-458B-52B5B7334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47</xdr:col>
      <xdr:colOff>198437</xdr:colOff>
      <xdr:row>3</xdr:row>
      <xdr:rowOff>39686</xdr:rowOff>
    </xdr:from>
    <xdr:to>
      <xdr:col>55</xdr:col>
      <xdr:colOff>158750</xdr:colOff>
      <xdr:row>22</xdr:row>
      <xdr:rowOff>39687</xdr:rowOff>
    </xdr:to>
    <xdr:graphicFrame macro="">
      <xdr:nvGraphicFramePr>
        <xdr:cNvPr id="31" name="Chart 30">
          <a:extLst>
            <a:ext uri="{FF2B5EF4-FFF2-40B4-BE49-F238E27FC236}">
              <a16:creationId xmlns:a16="http://schemas.microsoft.com/office/drawing/2014/main" id="{465D7910-35E2-43F0-93D2-06CA8A1D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343966</xdr:colOff>
      <xdr:row>338</xdr:row>
      <xdr:rowOff>50533</xdr:rowOff>
    </xdr:from>
    <xdr:to>
      <xdr:col>16</xdr:col>
      <xdr:colOff>330729</xdr:colOff>
      <xdr:row>359</xdr:row>
      <xdr:rowOff>105833</xdr:rowOff>
    </xdr:to>
    <xdr:graphicFrame macro="">
      <xdr:nvGraphicFramePr>
        <xdr:cNvPr id="32" name="Chart 31">
          <a:extLst>
            <a:ext uri="{FF2B5EF4-FFF2-40B4-BE49-F238E27FC236}">
              <a16:creationId xmlns:a16="http://schemas.microsoft.com/office/drawing/2014/main" id="{EB72F322-51C8-B070-71EF-D7EB93E5F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383655</xdr:colOff>
      <xdr:row>340</xdr:row>
      <xdr:rowOff>76993</xdr:rowOff>
    </xdr:from>
    <xdr:to>
      <xdr:col>22</xdr:col>
      <xdr:colOff>669405</xdr:colOff>
      <xdr:row>360</xdr:row>
      <xdr:rowOff>42068</xdr:rowOff>
    </xdr:to>
    <xdr:graphicFrame macro="">
      <xdr:nvGraphicFramePr>
        <xdr:cNvPr id="33" name="Chart 32">
          <a:extLst>
            <a:ext uri="{FF2B5EF4-FFF2-40B4-BE49-F238E27FC236}">
              <a16:creationId xmlns:a16="http://schemas.microsoft.com/office/drawing/2014/main" id="{57239500-F308-9CE1-0E15-278DE49214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224906</xdr:colOff>
      <xdr:row>414</xdr:row>
      <xdr:rowOff>143138</xdr:rowOff>
    </xdr:from>
    <xdr:to>
      <xdr:col>17</xdr:col>
      <xdr:colOff>357189</xdr:colOff>
      <xdr:row>431</xdr:row>
      <xdr:rowOff>79374</xdr:rowOff>
    </xdr:to>
    <xdr:graphicFrame macro="">
      <xdr:nvGraphicFramePr>
        <xdr:cNvPr id="15" name="Chart 14">
          <a:extLst>
            <a:ext uri="{FF2B5EF4-FFF2-40B4-BE49-F238E27FC236}">
              <a16:creationId xmlns:a16="http://schemas.microsoft.com/office/drawing/2014/main" id="{EE806381-3915-AACB-695F-3E1DE34835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555631</xdr:colOff>
      <xdr:row>432</xdr:row>
      <xdr:rowOff>90222</xdr:rowOff>
    </xdr:from>
    <xdr:to>
      <xdr:col>17</xdr:col>
      <xdr:colOff>145521</xdr:colOff>
      <xdr:row>447</xdr:row>
      <xdr:rowOff>132292</xdr:rowOff>
    </xdr:to>
    <xdr:graphicFrame macro="">
      <xdr:nvGraphicFramePr>
        <xdr:cNvPr id="28" name="Chart 27">
          <a:extLst>
            <a:ext uri="{FF2B5EF4-FFF2-40B4-BE49-F238E27FC236}">
              <a16:creationId xmlns:a16="http://schemas.microsoft.com/office/drawing/2014/main" id="{9E1A0045-3D2B-6067-6707-EA6B983D9F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21</xdr:row>
      <xdr:rowOff>169208</xdr:rowOff>
    </xdr:from>
    <xdr:to>
      <xdr:col>13</xdr:col>
      <xdr:colOff>78441</xdr:colOff>
      <xdr:row>36</xdr:row>
      <xdr:rowOff>54908</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41</xdr:row>
      <xdr:rowOff>190499</xdr:rowOff>
    </xdr:from>
    <xdr:to>
      <xdr:col>12</xdr:col>
      <xdr:colOff>448235</xdr:colOff>
      <xdr:row>55</xdr:row>
      <xdr:rowOff>168088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190501</xdr:colOff>
      <xdr:row>40</xdr:row>
      <xdr:rowOff>113178</xdr:rowOff>
    </xdr:from>
    <xdr:to>
      <xdr:col>22</xdr:col>
      <xdr:colOff>526677</xdr:colOff>
      <xdr:row>54</xdr:row>
      <xdr:rowOff>189378</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507788</xdr:colOff>
      <xdr:row>66</xdr:row>
      <xdr:rowOff>73156</xdr:rowOff>
    </xdr:from>
    <xdr:to>
      <xdr:col>12</xdr:col>
      <xdr:colOff>503465</xdr:colOff>
      <xdr:row>84</xdr:row>
      <xdr:rowOff>54429</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394608</xdr:colOff>
      <xdr:row>122</xdr:row>
      <xdr:rowOff>81643</xdr:rowOff>
    </xdr:from>
    <xdr:to>
      <xdr:col>12</xdr:col>
      <xdr:colOff>13607</xdr:colOff>
      <xdr:row>138</xdr:row>
      <xdr:rowOff>167367</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530679</xdr:colOff>
      <xdr:row>122</xdr:row>
      <xdr:rowOff>54428</xdr:rowOff>
    </xdr:from>
    <xdr:to>
      <xdr:col>19</xdr:col>
      <xdr:colOff>517070</xdr:colOff>
      <xdr:row>139</xdr:row>
      <xdr:rowOff>140152</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517071</xdr:colOff>
      <xdr:row>160</xdr:row>
      <xdr:rowOff>2723</xdr:rowOff>
    </xdr:from>
    <xdr:to>
      <xdr:col>18</xdr:col>
      <xdr:colOff>476249</xdr:colOff>
      <xdr:row>175</xdr:row>
      <xdr:rowOff>13607</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449035</xdr:colOff>
      <xdr:row>183</xdr:row>
      <xdr:rowOff>193221</xdr:rowOff>
    </xdr:from>
    <xdr:to>
      <xdr:col>21</xdr:col>
      <xdr:colOff>204107</xdr:colOff>
      <xdr:row>199</xdr:row>
      <xdr:rowOff>133350</xdr:rowOff>
    </xdr:to>
    <xdr:graphicFrame macro="">
      <xdr:nvGraphicFramePr>
        <xdr:cNvPr id="9" name="Chart 8">
          <a:extLst>
            <a:ext uri="{FF2B5EF4-FFF2-40B4-BE49-F238E27FC236}">
              <a16:creationId xmlns:a16="http://schemas.microsoft.com/office/drawing/2014/main" id="{90F8B178-6AA1-4BFF-9725-D1B5E7245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217715</xdr:colOff>
      <xdr:row>226</xdr:row>
      <xdr:rowOff>54429</xdr:rowOff>
    </xdr:from>
    <xdr:to>
      <xdr:col>19</xdr:col>
      <xdr:colOff>503465</xdr:colOff>
      <xdr:row>243</xdr:row>
      <xdr:rowOff>51707</xdr:rowOff>
    </xdr:to>
    <xdr:graphicFrame macro="">
      <xdr:nvGraphicFramePr>
        <xdr:cNvPr id="10" name="Chart 9">
          <a:extLst>
            <a:ext uri="{FF2B5EF4-FFF2-40B4-BE49-F238E27FC236}">
              <a16:creationId xmlns:a16="http://schemas.microsoft.com/office/drawing/2014/main" id="{0E18DB08-DFCB-473F-9134-19B26AA342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326572</xdr:colOff>
      <xdr:row>258</xdr:row>
      <xdr:rowOff>138791</xdr:rowOff>
    </xdr:from>
    <xdr:to>
      <xdr:col>20</xdr:col>
      <xdr:colOff>476250</xdr:colOff>
      <xdr:row>277</xdr:row>
      <xdr:rowOff>136072</xdr:rowOff>
    </xdr:to>
    <xdr:graphicFrame macro="">
      <xdr:nvGraphicFramePr>
        <xdr:cNvPr id="11" name="Chart 10">
          <a:extLst>
            <a:ext uri="{FF2B5EF4-FFF2-40B4-BE49-F238E27FC236}">
              <a16:creationId xmlns:a16="http://schemas.microsoft.com/office/drawing/2014/main" id="{5532FAF4-E3A4-44CD-BE08-7C9533B547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108859</xdr:colOff>
      <xdr:row>273</xdr:row>
      <xdr:rowOff>68035</xdr:rowOff>
    </xdr:from>
    <xdr:to>
      <xdr:col>12</xdr:col>
      <xdr:colOff>163287</xdr:colOff>
      <xdr:row>291</xdr:row>
      <xdr:rowOff>27213</xdr:rowOff>
    </xdr:to>
    <xdr:graphicFrame macro="">
      <xdr:nvGraphicFramePr>
        <xdr:cNvPr id="12" name="Chart 11">
          <a:extLst>
            <a:ext uri="{FF2B5EF4-FFF2-40B4-BE49-F238E27FC236}">
              <a16:creationId xmlns:a16="http://schemas.microsoft.com/office/drawing/2014/main" id="{9EB1E84B-720D-40E3-AC6C-40C064A7A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40821</xdr:colOff>
      <xdr:row>210</xdr:row>
      <xdr:rowOff>57151</xdr:rowOff>
    </xdr:from>
    <xdr:to>
      <xdr:col>15</xdr:col>
      <xdr:colOff>0</xdr:colOff>
      <xdr:row>224</xdr:row>
      <xdr:rowOff>65315</xdr:rowOff>
    </xdr:to>
    <xdr:graphicFrame macro="">
      <xdr:nvGraphicFramePr>
        <xdr:cNvPr id="14" name="Chart 13">
          <a:extLst>
            <a:ext uri="{FF2B5EF4-FFF2-40B4-BE49-F238E27FC236}">
              <a16:creationId xmlns:a16="http://schemas.microsoft.com/office/drawing/2014/main" id="{300D00A2-AF86-445C-8DCB-D0A79F9AF9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210</xdr:row>
      <xdr:rowOff>0</xdr:rowOff>
    </xdr:from>
    <xdr:to>
      <xdr:col>21</xdr:col>
      <xdr:colOff>571501</xdr:colOff>
      <xdr:row>224</xdr:row>
      <xdr:rowOff>8164</xdr:rowOff>
    </xdr:to>
    <xdr:graphicFrame macro="">
      <xdr:nvGraphicFramePr>
        <xdr:cNvPr id="15" name="Chart 14">
          <a:extLst>
            <a:ext uri="{FF2B5EF4-FFF2-40B4-BE49-F238E27FC236}">
              <a16:creationId xmlns:a16="http://schemas.microsoft.com/office/drawing/2014/main" id="{B5DD9100-507F-4CCF-9138-876AFBDB4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365</xdr:row>
      <xdr:rowOff>67353</xdr:rowOff>
    </xdr:from>
    <xdr:to>
      <xdr:col>16</xdr:col>
      <xdr:colOff>564696</xdr:colOff>
      <xdr:row>391</xdr:row>
      <xdr:rowOff>108858</xdr:rowOff>
    </xdr:to>
    <xdr:graphicFrame macro="">
      <xdr:nvGraphicFramePr>
        <xdr:cNvPr id="13" name="Chart 12">
          <a:extLst>
            <a:ext uri="{FF2B5EF4-FFF2-40B4-BE49-F238E27FC236}">
              <a16:creationId xmlns:a16="http://schemas.microsoft.com/office/drawing/2014/main" id="{A13010E2-B97B-41A1-9819-003BAD076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398</xdr:row>
      <xdr:rowOff>155801</xdr:rowOff>
    </xdr:from>
    <xdr:to>
      <xdr:col>12</xdr:col>
      <xdr:colOff>6804</xdr:colOff>
      <xdr:row>413</xdr:row>
      <xdr:rowOff>143554</xdr:rowOff>
    </xdr:to>
    <xdr:graphicFrame macro="">
      <xdr:nvGraphicFramePr>
        <xdr:cNvPr id="16" name="Chart 15">
          <a:extLst>
            <a:ext uri="{FF2B5EF4-FFF2-40B4-BE49-F238E27FC236}">
              <a16:creationId xmlns:a16="http://schemas.microsoft.com/office/drawing/2014/main" id="{880219F9-351E-4986-8ED4-D3594AD59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353786</xdr:colOff>
      <xdr:row>416</xdr:row>
      <xdr:rowOff>155801</xdr:rowOff>
    </xdr:from>
    <xdr:to>
      <xdr:col>12</xdr:col>
      <xdr:colOff>244929</xdr:colOff>
      <xdr:row>434</xdr:row>
      <xdr:rowOff>149679</xdr:rowOff>
    </xdr:to>
    <xdr:graphicFrame macro="">
      <xdr:nvGraphicFramePr>
        <xdr:cNvPr id="17" name="Chart 16">
          <a:extLst>
            <a:ext uri="{FF2B5EF4-FFF2-40B4-BE49-F238E27FC236}">
              <a16:creationId xmlns:a16="http://schemas.microsoft.com/office/drawing/2014/main" id="{9A143B8A-33E7-46E9-8219-7A4F128CB0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117021</xdr:colOff>
      <xdr:row>486</xdr:row>
      <xdr:rowOff>16329</xdr:rowOff>
    </xdr:from>
    <xdr:to>
      <xdr:col>14</xdr:col>
      <xdr:colOff>195942</xdr:colOff>
      <xdr:row>502</xdr:row>
      <xdr:rowOff>114300</xdr:rowOff>
    </xdr:to>
    <xdr:graphicFrame macro="">
      <xdr:nvGraphicFramePr>
        <xdr:cNvPr id="18" name="Chart 17">
          <a:extLst>
            <a:ext uri="{FF2B5EF4-FFF2-40B4-BE49-F238E27FC236}">
              <a16:creationId xmlns:a16="http://schemas.microsoft.com/office/drawing/2014/main" id="{7E3B6D5F-1DF4-491E-B45F-69EDCCCA0C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421822</xdr:colOff>
      <xdr:row>162</xdr:row>
      <xdr:rowOff>40821</xdr:rowOff>
    </xdr:from>
    <xdr:to>
      <xdr:col>26</xdr:col>
      <xdr:colOff>431347</xdr:colOff>
      <xdr:row>177</xdr:row>
      <xdr:rowOff>67218</xdr:rowOff>
    </xdr:to>
    <xdr:graphicFrame macro="">
      <xdr:nvGraphicFramePr>
        <xdr:cNvPr id="19" name="Chart 18">
          <a:extLst>
            <a:ext uri="{FF2B5EF4-FFF2-40B4-BE49-F238E27FC236}">
              <a16:creationId xmlns:a16="http://schemas.microsoft.com/office/drawing/2014/main" id="{7F31AEAB-2296-4710-AA1D-8A66B9C46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19050</xdr:colOff>
      <xdr:row>825</xdr:row>
      <xdr:rowOff>35378</xdr:rowOff>
    </xdr:from>
    <xdr:to>
      <xdr:col>21</xdr:col>
      <xdr:colOff>424543</xdr:colOff>
      <xdr:row>844</xdr:row>
      <xdr:rowOff>81642</xdr:rowOff>
    </xdr:to>
    <xdr:graphicFrame macro="">
      <xdr:nvGraphicFramePr>
        <xdr:cNvPr id="20" name="Chart 19">
          <a:extLst>
            <a:ext uri="{FF2B5EF4-FFF2-40B4-BE49-F238E27FC236}">
              <a16:creationId xmlns:a16="http://schemas.microsoft.com/office/drawing/2014/main" id="{3FBAD768-3D06-4663-A988-CA25D3FB2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470806</xdr:colOff>
      <xdr:row>841</xdr:row>
      <xdr:rowOff>146956</xdr:rowOff>
    </xdr:from>
    <xdr:to>
      <xdr:col>14</xdr:col>
      <xdr:colOff>315685</xdr:colOff>
      <xdr:row>859</xdr:row>
      <xdr:rowOff>27215</xdr:rowOff>
    </xdr:to>
    <xdr:graphicFrame macro="">
      <xdr:nvGraphicFramePr>
        <xdr:cNvPr id="21" name="Chart 20">
          <a:extLst>
            <a:ext uri="{FF2B5EF4-FFF2-40B4-BE49-F238E27FC236}">
              <a16:creationId xmlns:a16="http://schemas.microsoft.com/office/drawing/2014/main" id="{05CA525E-DD39-4962-B82F-CF8233921B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563336</xdr:colOff>
      <xdr:row>947</xdr:row>
      <xdr:rowOff>51707</xdr:rowOff>
    </xdr:from>
    <xdr:to>
      <xdr:col>12</xdr:col>
      <xdr:colOff>190501</xdr:colOff>
      <xdr:row>963</xdr:row>
      <xdr:rowOff>130629</xdr:rowOff>
    </xdr:to>
    <xdr:graphicFrame macro="">
      <xdr:nvGraphicFramePr>
        <xdr:cNvPr id="25" name="Chart 24">
          <a:extLst>
            <a:ext uri="{FF2B5EF4-FFF2-40B4-BE49-F238E27FC236}">
              <a16:creationId xmlns:a16="http://schemas.microsoft.com/office/drawing/2014/main" id="{A51E042F-30DD-4D2E-A172-970DD4BBB3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397328</xdr:colOff>
      <xdr:row>947</xdr:row>
      <xdr:rowOff>48986</xdr:rowOff>
    </xdr:from>
    <xdr:to>
      <xdr:col>18</xdr:col>
      <xdr:colOff>236764</xdr:colOff>
      <xdr:row>963</xdr:row>
      <xdr:rowOff>127908</xdr:rowOff>
    </xdr:to>
    <xdr:graphicFrame macro="">
      <xdr:nvGraphicFramePr>
        <xdr:cNvPr id="26" name="Chart 25">
          <a:extLst>
            <a:ext uri="{FF2B5EF4-FFF2-40B4-BE49-F238E27FC236}">
              <a16:creationId xmlns:a16="http://schemas.microsoft.com/office/drawing/2014/main" id="{049923F9-C37C-43E6-B222-FA42A03C0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84364</xdr:colOff>
      <xdr:row>955</xdr:row>
      <xdr:rowOff>84363</xdr:rowOff>
    </xdr:from>
    <xdr:to>
      <xdr:col>26</xdr:col>
      <xdr:colOff>157844</xdr:colOff>
      <xdr:row>973</xdr:row>
      <xdr:rowOff>103413</xdr:rowOff>
    </xdr:to>
    <xdr:graphicFrame macro="">
      <xdr:nvGraphicFramePr>
        <xdr:cNvPr id="28" name="Chart 27">
          <a:extLst>
            <a:ext uri="{FF2B5EF4-FFF2-40B4-BE49-F238E27FC236}">
              <a16:creationId xmlns:a16="http://schemas.microsoft.com/office/drawing/2014/main" id="{A1B2AD36-4B73-45AB-B75F-D6BBB73609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23</xdr:col>
      <xdr:colOff>397327</xdr:colOff>
      <xdr:row>427</xdr:row>
      <xdr:rowOff>175260</xdr:rowOff>
    </xdr:from>
    <xdr:to>
      <xdr:col>30</xdr:col>
      <xdr:colOff>87086</xdr:colOff>
      <xdr:row>445</xdr:row>
      <xdr:rowOff>80011</xdr:rowOff>
    </xdr:to>
    <xdr:graphicFrame macro="">
      <xdr:nvGraphicFramePr>
        <xdr:cNvPr id="24" name="Chart 23">
          <a:extLst>
            <a:ext uri="{FF2B5EF4-FFF2-40B4-BE49-F238E27FC236}">
              <a16:creationId xmlns:a16="http://schemas.microsoft.com/office/drawing/2014/main" id="{FCE20CA5-6FA9-E27A-8D03-AA469DF81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581843</xdr:colOff>
      <xdr:row>473</xdr:row>
      <xdr:rowOff>52522</xdr:rowOff>
    </xdr:from>
    <xdr:to>
      <xdr:col>29</xdr:col>
      <xdr:colOff>105047</xdr:colOff>
      <xdr:row>491</xdr:row>
      <xdr:rowOff>20136</xdr:rowOff>
    </xdr:to>
    <xdr:graphicFrame macro="">
      <xdr:nvGraphicFramePr>
        <xdr:cNvPr id="27" name="Chart 26">
          <a:extLst>
            <a:ext uri="{FF2B5EF4-FFF2-40B4-BE49-F238E27FC236}">
              <a16:creationId xmlns:a16="http://schemas.microsoft.com/office/drawing/2014/main" id="{14A31C04-1682-B02B-95C6-40EE0F34E5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735</xdr:row>
      <xdr:rowOff>0</xdr:rowOff>
    </xdr:from>
    <xdr:to>
      <xdr:col>22</xdr:col>
      <xdr:colOff>642257</xdr:colOff>
      <xdr:row>749</xdr:row>
      <xdr:rowOff>152400</xdr:rowOff>
    </xdr:to>
    <xdr:graphicFrame macro="">
      <xdr:nvGraphicFramePr>
        <xdr:cNvPr id="30" name="Chart 29">
          <a:extLst>
            <a:ext uri="{FF2B5EF4-FFF2-40B4-BE49-F238E27FC236}">
              <a16:creationId xmlns:a16="http://schemas.microsoft.com/office/drawing/2014/main" id="{690D9345-FEF1-4F85-A6A6-36454E928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1031421</xdr:colOff>
      <xdr:row>622</xdr:row>
      <xdr:rowOff>117020</xdr:rowOff>
    </xdr:from>
    <xdr:to>
      <xdr:col>10</xdr:col>
      <xdr:colOff>10886</xdr:colOff>
      <xdr:row>640</xdr:row>
      <xdr:rowOff>43543</xdr:rowOff>
    </xdr:to>
    <xdr:graphicFrame macro="">
      <xdr:nvGraphicFramePr>
        <xdr:cNvPr id="22" name="Chart 21">
          <a:extLst>
            <a:ext uri="{FF2B5EF4-FFF2-40B4-BE49-F238E27FC236}">
              <a16:creationId xmlns:a16="http://schemas.microsoft.com/office/drawing/2014/main" id="{90B03658-F8CC-D1C3-2647-39766AAB56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0</xdr:colOff>
      <xdr:row>623</xdr:row>
      <xdr:rowOff>0</xdr:rowOff>
    </xdr:from>
    <xdr:to>
      <xdr:col>20</xdr:col>
      <xdr:colOff>329294</xdr:colOff>
      <xdr:row>640</xdr:row>
      <xdr:rowOff>111580</xdr:rowOff>
    </xdr:to>
    <xdr:graphicFrame macro="">
      <xdr:nvGraphicFramePr>
        <xdr:cNvPr id="23" name="Chart 22">
          <a:extLst>
            <a:ext uri="{FF2B5EF4-FFF2-40B4-BE49-F238E27FC236}">
              <a16:creationId xmlns:a16="http://schemas.microsoft.com/office/drawing/2014/main" id="{8979F1AC-0B2A-455D-8AF7-9E10E4DC6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108856</xdr:colOff>
      <xdr:row>651</xdr:row>
      <xdr:rowOff>50343</xdr:rowOff>
    </xdr:from>
    <xdr:to>
      <xdr:col>13</xdr:col>
      <xdr:colOff>217714</xdr:colOff>
      <xdr:row>664</xdr:row>
      <xdr:rowOff>40821</xdr:rowOff>
    </xdr:to>
    <xdr:graphicFrame macro="">
      <xdr:nvGraphicFramePr>
        <xdr:cNvPr id="29" name="Chart 28">
          <a:extLst>
            <a:ext uri="{FF2B5EF4-FFF2-40B4-BE49-F238E27FC236}">
              <a16:creationId xmlns:a16="http://schemas.microsoft.com/office/drawing/2014/main" id="{26411837-770A-E798-C4AE-AADF7E9A2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285751</xdr:colOff>
      <xdr:row>650</xdr:row>
      <xdr:rowOff>108857</xdr:rowOff>
    </xdr:from>
    <xdr:to>
      <xdr:col>19</xdr:col>
      <xdr:colOff>503464</xdr:colOff>
      <xdr:row>664</xdr:row>
      <xdr:rowOff>54428</xdr:rowOff>
    </xdr:to>
    <xdr:graphicFrame macro="">
      <xdr:nvGraphicFramePr>
        <xdr:cNvPr id="32" name="Chart 31">
          <a:extLst>
            <a:ext uri="{FF2B5EF4-FFF2-40B4-BE49-F238E27FC236}">
              <a16:creationId xmlns:a16="http://schemas.microsoft.com/office/drawing/2014/main" id="{FBF590FE-72AC-44A6-AC84-EE31A324E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386442</xdr:colOff>
      <xdr:row>704</xdr:row>
      <xdr:rowOff>62592</xdr:rowOff>
    </xdr:from>
    <xdr:to>
      <xdr:col>17</xdr:col>
      <xdr:colOff>315685</xdr:colOff>
      <xdr:row>724</xdr:row>
      <xdr:rowOff>21771</xdr:rowOff>
    </xdr:to>
    <xdr:graphicFrame macro="">
      <xdr:nvGraphicFramePr>
        <xdr:cNvPr id="31" name="Chart 30">
          <a:extLst>
            <a:ext uri="{FF2B5EF4-FFF2-40B4-BE49-F238E27FC236}">
              <a16:creationId xmlns:a16="http://schemas.microsoft.com/office/drawing/2014/main" id="{D659CBB2-93F0-7F50-8FB2-645665F7E0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0.33036</cdr:x>
      <cdr:y>0.29546</cdr:y>
    </cdr:from>
    <cdr:to>
      <cdr:x>0.70536</cdr:x>
      <cdr:y>0.44528</cdr:y>
    </cdr:to>
    <cdr:sp macro="" textlink="">
      <cdr:nvSpPr>
        <cdr:cNvPr id="2" name="TextBox 1">
          <a:extLst xmlns:a="http://schemas.openxmlformats.org/drawingml/2006/main">
            <a:ext uri="{FF2B5EF4-FFF2-40B4-BE49-F238E27FC236}">
              <a16:creationId xmlns:a16="http://schemas.microsoft.com/office/drawing/2014/main" id="{35B9CC6A-94CF-47BA-80CA-372ED8D01E26}"/>
            </a:ext>
          </a:extLst>
        </cdr:cNvPr>
        <cdr:cNvSpPr txBox="1"/>
      </cdr:nvSpPr>
      <cdr:spPr>
        <a:xfrm xmlns:a="http://schemas.openxmlformats.org/drawingml/2006/main">
          <a:off x="1006928" y="966108"/>
          <a:ext cx="1143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a:t>
          </a:r>
        </a:p>
      </cdr:txBody>
    </cdr:sp>
  </cdr:relSizeAnchor>
  <cdr:relSizeAnchor xmlns:cdr="http://schemas.openxmlformats.org/drawingml/2006/chartDrawing">
    <cdr:from>
      <cdr:x>0.4375</cdr:x>
      <cdr:y>0.3454</cdr:y>
    </cdr:from>
    <cdr:to>
      <cdr:x>0.72321</cdr:x>
      <cdr:y>0.56596</cdr:y>
    </cdr:to>
    <cdr:sp macro="" textlink="">
      <cdr:nvSpPr>
        <cdr:cNvPr id="3" name="TextBox 2">
          <a:extLst xmlns:a="http://schemas.openxmlformats.org/drawingml/2006/main">
            <a:ext uri="{FF2B5EF4-FFF2-40B4-BE49-F238E27FC236}">
              <a16:creationId xmlns:a16="http://schemas.microsoft.com/office/drawing/2014/main" id="{7658D932-8380-42DF-8333-7CDD98FCE509}"/>
            </a:ext>
          </a:extLst>
        </cdr:cNvPr>
        <cdr:cNvSpPr txBox="1"/>
      </cdr:nvSpPr>
      <cdr:spPr>
        <a:xfrm xmlns:a="http://schemas.openxmlformats.org/drawingml/2006/main">
          <a:off x="1333499" y="1129393"/>
          <a:ext cx="870857" cy="72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3600">
              <a:solidFill>
                <a:schemeClr val="bg1"/>
              </a:solidFil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571500</xdr:colOff>
      <xdr:row>2244</xdr:row>
      <xdr:rowOff>78440</xdr:rowOff>
    </xdr:from>
    <xdr:to>
      <xdr:col>15</xdr:col>
      <xdr:colOff>481852</xdr:colOff>
      <xdr:row>2283</xdr:row>
      <xdr:rowOff>11205</xdr:rowOff>
    </xdr:to>
    <xdr:sp macro="" textlink="">
      <xdr:nvSpPr>
        <xdr:cNvPr id="2" name="TextBox 1">
          <a:extLst>
            <a:ext uri="{FF2B5EF4-FFF2-40B4-BE49-F238E27FC236}">
              <a16:creationId xmlns:a16="http://schemas.microsoft.com/office/drawing/2014/main" id="{B6D2D07D-D99F-C267-DDD1-23D747CFE23B}"/>
            </a:ext>
          </a:extLst>
        </xdr:cNvPr>
        <xdr:cNvSpPr txBox="1"/>
      </xdr:nvSpPr>
      <xdr:spPr>
        <a:xfrm>
          <a:off x="571500" y="427560440"/>
          <a:ext cx="10219764" cy="73622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Intro:</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Best Q for net adds.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Positive trends will continue w/ the geographic extension.</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Low leverage means they can use debt for future plans.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Capex excl. special projects is around 20%.</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M&amp;A offer: at the moment can’t tell, company not for sale but board always open to receive and analyze any business proposal. Our main interest in to maximize value for all stockholders.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MVNO: building a more profitable subs base.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Ola growth 120% y/y.</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Expected margin pressure and recovery when new territories matures, these Q4 results are coherent with that.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Heavy investment over the past 3 years.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Net income Q4 last year different bcs of recognition of some impairments.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b="1">
              <a:solidFill>
                <a:schemeClr val="dk1"/>
              </a:solidFill>
              <a:effectLst/>
              <a:latin typeface="+mn-lt"/>
              <a:ea typeface="+mn-ea"/>
              <a:cs typeface="+mn-cs"/>
            </a:rPr>
            <a:t>Q&amp;A:</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ARPU flat bcs aggressive promotions.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Leverage: comfortable w/ current levels, comfortable with 1.5/1.7x.</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Margin outlook: no guidance, still investments for growth. 2.5m HP for 2023, comfortable w/ 1.5/1.7x leverage. Some pressure on margins maybe bcs investing. Need to capitalize on the 2m homes passed this year.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M&amp;A: No more conversation w/ Televisa, focused on alternative plans which is growth/investments, going accordingly with plans, all we can say.</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Capex to remain around low 40% revenues in 2023.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50% of network is G-PON, end of year 70% network to be upgraded w/ fibre.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Coverage: look for areas where they have potential. Doing very good in Tijuana, had too many sales there actually, backlog long…</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Expect good 23/24, not explosion bcs physical job city by city.</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24months needed for new territory to be mature. What built in 2021 will be mature in 2024. So, 2025 back to normal in terms of margins but don’t expect 50%</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Interests not at normal levels, don’t expect that in the future.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Capex: 21-24 $2bn budget still here? Accelerating some of it 2022/23. Not going to exceed the $2bn. When rev and ebitda grow up, capex to sales back to healthier levels in the years to come.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Tax/interest? Impact on financial 370m pesos impact from tax on financials/ interest.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New territory penetration: comfortable, above expectations, creating value, making a national efficient company. Will see in 3 years.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M&amp;A: Board decided plan is better than merger. Real evaluation: 2 options, thinks stick w/ management presented 2 years ago is better.</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Will have higher margins when new territories mature.</a:t>
          </a:r>
          <a:endParaRPr lang="en-GB" sz="1100">
            <a:solidFill>
              <a:schemeClr val="dk1"/>
            </a:solidFill>
            <a:effectLst/>
            <a:latin typeface="+mn-lt"/>
            <a:ea typeface="+mn-ea"/>
            <a:cs typeface="+mn-cs"/>
          </a:endParaRPr>
        </a:p>
        <a:p>
          <a:endParaRPr lang="en-GB" sz="1100"/>
        </a:p>
      </xdr:txBody>
    </xdr:sp>
    <xdr:clientData/>
  </xdr:twoCellAnchor>
  <xdr:twoCellAnchor>
    <xdr:from>
      <xdr:col>1</xdr:col>
      <xdr:colOff>134470</xdr:colOff>
      <xdr:row>2287</xdr:row>
      <xdr:rowOff>11206</xdr:rowOff>
    </xdr:from>
    <xdr:to>
      <xdr:col>15</xdr:col>
      <xdr:colOff>448235</xdr:colOff>
      <xdr:row>2304</xdr:row>
      <xdr:rowOff>67235</xdr:rowOff>
    </xdr:to>
    <xdr:sp macro="" textlink="">
      <xdr:nvSpPr>
        <xdr:cNvPr id="3" name="TextBox 2">
          <a:extLst>
            <a:ext uri="{FF2B5EF4-FFF2-40B4-BE49-F238E27FC236}">
              <a16:creationId xmlns:a16="http://schemas.microsoft.com/office/drawing/2014/main" id="{82C5F0EE-5774-4FE2-26CF-10DD6A53F8EF}"/>
            </a:ext>
          </a:extLst>
        </xdr:cNvPr>
        <xdr:cNvSpPr txBox="1"/>
      </xdr:nvSpPr>
      <xdr:spPr>
        <a:xfrm>
          <a:off x="739588" y="435684706"/>
          <a:ext cx="10018059" cy="3294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a:solidFill>
                <a:schemeClr val="dk1"/>
              </a:solidFill>
              <a:effectLst/>
              <a:latin typeface="+mn-lt"/>
              <a:ea typeface="+mn-ea"/>
              <a:cs typeface="+mn-cs"/>
            </a:rPr>
            <a:t>Offer</a:t>
          </a:r>
          <a:r>
            <a:rPr lang="en-US" sz="1100">
              <a:solidFill>
                <a:schemeClr val="dk1"/>
              </a:solidFill>
              <a:effectLst/>
              <a:latin typeface="+mn-lt"/>
              <a:ea typeface="+mn-ea"/>
              <a:cs typeface="+mn-cs"/>
            </a:rPr>
            <a:t>: Unrequested offer. Was sent to the Chairman of the Board. Discussions stayed at this level, they analysed the offer, Board thought it was not enough, better deal for shareholder is to stay w/ the other plan. There was a counter offer, was management not involved in these discussions.</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CFO view on deal:</a:t>
          </a:r>
          <a:r>
            <a:rPr lang="en-US" sz="1100">
              <a:solidFill>
                <a:schemeClr val="dk1"/>
              </a:solidFill>
              <a:effectLst/>
              <a:latin typeface="+mn-lt"/>
              <a:ea typeface="+mn-ea"/>
              <a:cs typeface="+mn-cs"/>
            </a:rPr>
            <a:t> Thinks was a good offer but somehow, it doesn’t reach to levels of “value” that should go to stockholders… not in line with what MEGA could see in the near future. Deal makes sense bcs of synergies but a piece missing in the puzzle: Televisa has not been facing the real competition (Totalplay). MEGA successful w/ defense strategy vs. Totalplay who hasn’t grown as much in the MEGA territories compared to other territories. This means investments in fibre needs to continue (in territories where HFC is the network). In other words, can’t combine two companies and have capex below 20%. Both companies need to build fibre in these territories otherwise Totalplay takes it all. Building fibre reduces the synergies. But it needs to be done. Can’t bring down capex too much as need to build fibre.</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Totalplay:</a:t>
          </a:r>
          <a:r>
            <a:rPr lang="en-US" sz="1100">
              <a:solidFill>
                <a:schemeClr val="dk1"/>
              </a:solidFill>
              <a:effectLst/>
              <a:latin typeface="+mn-lt"/>
              <a:ea typeface="+mn-ea"/>
              <a:cs typeface="+mn-cs"/>
            </a:rPr>
            <a:t> Said wont build last km in fibre. They have reached 17.5m HP. Extra capex is subscriber connection equipment. </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Rates/Macro:</a:t>
          </a:r>
          <a:r>
            <a:rPr lang="en-US" sz="1100">
              <a:solidFill>
                <a:schemeClr val="dk1"/>
              </a:solidFill>
              <a:effectLst/>
              <a:latin typeface="+mn-lt"/>
              <a:ea typeface="+mn-ea"/>
              <a:cs typeface="+mn-cs"/>
            </a:rPr>
            <a:t> Interest hurting every company but more the one with high leverage, maybe this is why they stopped building the last km. Televisa as well. Mega has a strong BS to navigate through these difficult times. Will be hurt less, will be nice to grow when other can only watch, opportunity that can capitalize on. In 2-3 years outcome will be good on MEGA side. </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Merger w/ Totalplay:</a:t>
          </a:r>
          <a:r>
            <a:rPr lang="en-US" sz="1100">
              <a:solidFill>
                <a:schemeClr val="dk1"/>
              </a:solidFill>
              <a:effectLst/>
              <a:latin typeface="+mn-lt"/>
              <a:ea typeface="+mn-ea"/>
              <a:cs typeface="+mn-cs"/>
            </a:rPr>
            <a:t> Don’t think merger w/ Totalplay is possible as largest territories overlap (in fibre in both cases) i.e. low synergies. Confident in plan A, working ok so far, a bit of delays in executions (municipality trying to get share of benefits etc…)</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Market share:</a:t>
          </a:r>
          <a:r>
            <a:rPr lang="en-US" sz="1100">
              <a:solidFill>
                <a:schemeClr val="dk1"/>
              </a:solidFill>
              <a:effectLst/>
              <a:latin typeface="+mn-lt"/>
              <a:ea typeface="+mn-ea"/>
              <a:cs typeface="+mn-cs"/>
            </a:rPr>
            <a:t> Getting share from all competitors, new subs (to the market) are not a lot. 30 cities to grow this year. </a:t>
          </a:r>
          <a:endParaRPr lang="en-GB"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ARPU: </a:t>
          </a:r>
          <a:r>
            <a:rPr lang="en-US" sz="1100">
              <a:solidFill>
                <a:schemeClr val="dk1"/>
              </a:solidFill>
              <a:effectLst/>
              <a:latin typeface="+mn-lt"/>
              <a:ea typeface="+mn-ea"/>
              <a:cs typeface="+mn-cs"/>
            </a:rPr>
            <a:t>ARPU impacted in new territories (promotions), expect margins impact for a  few Q and then back up but not going to reach pre pandemic levels, will lose 2-3 (maybe more) points in the mass market, depending on how aggressive competition will be, MEGA has the best margins. Still growing above competition, mkt not growing as it was but they are getting the highest share.</a:t>
          </a:r>
          <a:endParaRPr lang="en-GB" sz="1100">
            <a:solidFill>
              <a:schemeClr val="dk1"/>
            </a:solidFill>
            <a:effectLst/>
            <a:latin typeface="+mn-lt"/>
            <a:ea typeface="+mn-ea"/>
            <a:cs typeface="+mn-cs"/>
          </a:endParaRPr>
        </a:p>
        <a:p>
          <a:endParaRPr lang="en-GB" sz="1100"/>
        </a:p>
      </xdr:txBody>
    </xdr:sp>
    <xdr:clientData/>
  </xdr:twoCellAnchor>
  <xdr:twoCellAnchor>
    <xdr:from>
      <xdr:col>1</xdr:col>
      <xdr:colOff>22412</xdr:colOff>
      <xdr:row>2309</xdr:row>
      <xdr:rowOff>56029</xdr:rowOff>
    </xdr:from>
    <xdr:to>
      <xdr:col>16</xdr:col>
      <xdr:colOff>89647</xdr:colOff>
      <xdr:row>2337</xdr:row>
      <xdr:rowOff>89647</xdr:rowOff>
    </xdr:to>
    <xdr:sp macro="" textlink="">
      <xdr:nvSpPr>
        <xdr:cNvPr id="4" name="TextBox 3">
          <a:extLst>
            <a:ext uri="{FF2B5EF4-FFF2-40B4-BE49-F238E27FC236}">
              <a16:creationId xmlns:a16="http://schemas.microsoft.com/office/drawing/2014/main" id="{1786CADC-992F-41C8-BF03-F8533D3E96D7}"/>
            </a:ext>
          </a:extLst>
        </xdr:cNvPr>
        <xdr:cNvSpPr txBox="1"/>
      </xdr:nvSpPr>
      <xdr:spPr>
        <a:xfrm>
          <a:off x="627530" y="439920529"/>
          <a:ext cx="10376646" cy="5367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Nothing said about the deal, no questions about the deal…</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General remarks: </a:t>
          </a:r>
          <a:r>
            <a:rPr lang="en-GB" sz="1100">
              <a:solidFill>
                <a:schemeClr val="dk1"/>
              </a:solidFill>
              <a:effectLst/>
              <a:latin typeface="+mn-lt"/>
              <a:ea typeface="+mn-ea"/>
              <a:cs typeface="+mn-cs"/>
            </a:rPr>
            <a:t>Highest net adds and RGUs in 2 year. This quarter, entered in 7 new territories. Will sustain growth for coming quarters. Since announcement end of 3Q 2021, they activated &gt;16k new kms, 3.2m new HP, 440k new subs, inc. big portion in new territories. Balance sheet healthy, all content from OTT can be integrated, MVNO: happy with the clean-up, focused on post-paid, one of the highest ARPU of the market (MVNO and MNO). Dividend payment of 2.5bn pesos approved by AGM for divi, this is 20% of consolidated EBITDA for 2022, Payment in instalments on May 25</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Increase of NPS thanks to speed recognition. Existing footprint is also growing as they continue their aggressive sales strategy. 55% of customers have speed of 50Mbps, rest below they need to pay more if they want more but it seems their needs is satisfied currently. </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New territories:</a:t>
          </a:r>
          <a:r>
            <a:rPr lang="en-GB" sz="1100">
              <a:solidFill>
                <a:schemeClr val="dk1"/>
              </a:solidFill>
              <a:effectLst/>
              <a:latin typeface="+mn-lt"/>
              <a:ea typeface="+mn-ea"/>
              <a:cs typeface="+mn-cs"/>
            </a:rPr>
            <a:t> Very pleased with the performance there. Not trying to start a price war but strategy is to price lower than peers (not too much lower). Aggressive campaigns, efficient sales etc. Also trying to push bundles, not focused on speed only but on bundles. They targeted 20% penetration when they elaborated the plan, after 3 quarters average is 13% penetration and some neighbourhoods already at 20%.  Competition is not reacting with prices but rather trying to retain customers.</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Expansion, EBITDA etc:</a:t>
          </a:r>
          <a:r>
            <a:rPr lang="en-GB" sz="1100">
              <a:solidFill>
                <a:schemeClr val="dk1"/>
              </a:solidFill>
              <a:effectLst/>
              <a:latin typeface="+mn-lt"/>
              <a:ea typeface="+mn-ea"/>
              <a:cs typeface="+mn-cs"/>
            </a:rPr>
            <a:t> Negative EBITDA in the new territories, will take some time to turn positive, not this year but probably H2 next year. H2 2024/2025 will be a turning point where we will see EBITDA accelerate and strong FCF generation. Increasing km for the next 7-8 quarters, once the subscriber base stabilises the margins will stabilise. Mentioned will build 2.5m homes this year.</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Capex</a:t>
          </a:r>
          <a:r>
            <a:rPr lang="en-GB" sz="1100">
              <a:solidFill>
                <a:schemeClr val="dk1"/>
              </a:solidFill>
              <a:effectLst/>
              <a:latin typeface="+mn-lt"/>
              <a:ea typeface="+mn-ea"/>
              <a:cs typeface="+mn-cs"/>
            </a:rPr>
            <a:t>: Still guiding for 40% for the full year. Beginning of the year is usually slower. Capex to sales not very high this quarter as they placed order ahead in time, lots of km built are activated this quarter. This trend will continue as still have inventory. Sounds like capex more skewed towards H2. Capex materialises only when they activate the km. In the future, (ex-growth?) capex maybe around 20%, maintenance capex not below 15%.</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Pricing</a:t>
          </a:r>
          <a:r>
            <a:rPr lang="en-GB" sz="1100">
              <a:solidFill>
                <a:schemeClr val="dk1"/>
              </a:solidFill>
              <a:effectLst/>
              <a:latin typeface="+mn-lt"/>
              <a:ea typeface="+mn-ea"/>
              <a:cs typeface="+mn-cs"/>
            </a:rPr>
            <a:t>: Some price increases next month but not for the all base. Some will have 30 pesos increase, some 40 pesos, will depend on the market. Contribution will not be like what you are expecting (not like 3 points on the revenue?). As long as gross adds are good it will be ARPU dilutive. Discounts for 9months for new subs. Will continue with strategy to price cheaper than competition.</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Balance sheet:</a:t>
          </a:r>
          <a:r>
            <a:rPr lang="en-GB" sz="1100">
              <a:solidFill>
                <a:schemeClr val="dk1"/>
              </a:solidFill>
              <a:effectLst/>
              <a:latin typeface="+mn-lt"/>
              <a:ea typeface="+mn-ea"/>
              <a:cs typeface="+mn-cs"/>
            </a:rPr>
            <a:t> Leverage to continue to go up, peak in 2024, in their plans it should go up to 1.5x, for sure not above 2x. And then improve. Bond program next year, this is for a bank loan maturing next year. FX helping?</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Corporate margins:</a:t>
          </a:r>
          <a:r>
            <a:rPr lang="en-GB" sz="1100">
              <a:solidFill>
                <a:schemeClr val="dk1"/>
              </a:solidFill>
              <a:effectLst/>
              <a:latin typeface="+mn-lt"/>
              <a:ea typeface="+mn-ea"/>
              <a:cs typeface="+mn-cs"/>
            </a:rPr>
            <a:t> Mix is more on equipment where you can charge too much margins on these.</a:t>
          </a:r>
        </a:p>
        <a:p>
          <a:endParaRPr lang="en-GB" sz="1100"/>
        </a:p>
      </xdr:txBody>
    </xdr:sp>
    <xdr:clientData/>
  </xdr:twoCellAnchor>
  <xdr:twoCellAnchor>
    <xdr:from>
      <xdr:col>1</xdr:col>
      <xdr:colOff>179293</xdr:colOff>
      <xdr:row>2458</xdr:row>
      <xdr:rowOff>100852</xdr:rowOff>
    </xdr:from>
    <xdr:to>
      <xdr:col>12</xdr:col>
      <xdr:colOff>347382</xdr:colOff>
      <xdr:row>2510</xdr:row>
      <xdr:rowOff>100853</xdr:rowOff>
    </xdr:to>
    <xdr:sp macro="" textlink="">
      <xdr:nvSpPr>
        <xdr:cNvPr id="5" name="TextBox 4">
          <a:extLst>
            <a:ext uri="{FF2B5EF4-FFF2-40B4-BE49-F238E27FC236}">
              <a16:creationId xmlns:a16="http://schemas.microsoft.com/office/drawing/2014/main" id="{E92ADE67-7ACF-F17D-3B12-D92CFFE773AB}"/>
            </a:ext>
          </a:extLst>
        </xdr:cNvPr>
        <xdr:cNvSpPr txBox="1"/>
      </xdr:nvSpPr>
      <xdr:spPr>
        <a:xfrm>
          <a:off x="784411" y="468349852"/>
          <a:ext cx="8057030" cy="9906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400">
              <a:solidFill>
                <a:schemeClr val="dk1"/>
              </a:solidFill>
              <a:effectLst/>
              <a:latin typeface="+mn-lt"/>
              <a:ea typeface="+mn-ea"/>
              <a:cs typeface="+mn-cs"/>
            </a:rPr>
            <a:t>Q3 23 call</a:t>
          </a:r>
        </a:p>
        <a:p>
          <a:pPr lvl="0"/>
          <a:endParaRPr lang="en-US" sz="1400">
            <a:solidFill>
              <a:schemeClr val="dk1"/>
            </a:solidFill>
            <a:effectLst/>
            <a:latin typeface="+mn-lt"/>
            <a:ea typeface="+mn-ea"/>
            <a:cs typeface="+mn-cs"/>
          </a:endParaRPr>
        </a:p>
        <a:p>
          <a:pPr lvl="0"/>
          <a:r>
            <a:rPr lang="en-US" sz="1400">
              <a:solidFill>
                <a:schemeClr val="dk1"/>
              </a:solidFill>
              <a:effectLst/>
              <a:latin typeface="+mn-lt"/>
              <a:ea typeface="+mn-ea"/>
              <a:cs typeface="+mn-cs"/>
            </a:rPr>
            <a:t>Confident in LT success, potential of new territories. Promising outlook for 2024.</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We have not increased number of gross adds, we put more effort in quality of subs, balance needs to be right, so we are doing less promotions.</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We expect to cover another 750k HP in Q4, it is remarkable for the amount of capex we have been investing; </a:t>
          </a:r>
          <a:r>
            <a:rPr lang="en-US" sz="1400" b="1">
              <a:solidFill>
                <a:schemeClr val="dk1"/>
              </a:solidFill>
              <a:effectLst/>
              <a:latin typeface="+mn-lt"/>
              <a:ea typeface="+mn-ea"/>
              <a:cs typeface="+mn-cs"/>
            </a:rPr>
            <a:t>Q4 capex</a:t>
          </a:r>
          <a:r>
            <a:rPr lang="en-US" sz="1400">
              <a:solidFill>
                <a:schemeClr val="dk1"/>
              </a:solidFill>
              <a:effectLst/>
              <a:latin typeface="+mn-lt"/>
              <a:ea typeface="+mn-ea"/>
              <a:cs typeface="+mn-cs"/>
            </a:rPr>
            <a:t> will be lower than in Q3 as we already have CPE, and we accelerated the speed of the km we were building especially in Q3.</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Competition: Strong, but growing subs in both organic and non-organic territories. We have a state-of-the-art network. Totalplay not increasing HP. </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Capex intensity will be </a:t>
          </a:r>
          <a:r>
            <a:rPr lang="en-US" sz="1400" b="1">
              <a:solidFill>
                <a:schemeClr val="dk1"/>
              </a:solidFill>
              <a:effectLst/>
              <a:latin typeface="+mn-lt"/>
              <a:ea typeface="+mn-ea"/>
              <a:cs typeface="+mn-cs"/>
            </a:rPr>
            <a:t>lower in 2024 vs. 2023 but wait 2027/28 to be at around 20% or below of sales</a:t>
          </a:r>
          <a:r>
            <a:rPr lang="en-US" sz="1400">
              <a:solidFill>
                <a:schemeClr val="dk1"/>
              </a:solidFill>
              <a:effectLst/>
              <a:latin typeface="+mn-lt"/>
              <a:ea typeface="+mn-ea"/>
              <a:cs typeface="+mn-cs"/>
            </a:rPr>
            <a:t>.</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We will have 6m HP that are fibre. Full fibre network in 2028, now it is at 62%. 4m HP in existing territories that are fibre. Yes, we are taking care of the legacy customers, at some point all fibre. 15% penetration on average in new territories (some at 20%).</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Don’t know if the reduction in working hours will pass or not, it will impact all the companies, will have an impact on labor costs; if passes expect an increase of labor costs (7-10%... closer to 10% bcs of inflation etc).</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Migrating all customers to FttH is a long term project (2028). Large amount of STB is GPON ready. As soon as finish migration, they dismantle the HFC network as ftth is the cheapest to maintain. MEGA claims its network is the best. Our KPIs and NPS show customers are happy with our services. In </a:t>
          </a:r>
          <a:r>
            <a:rPr lang="en-US" sz="1400" b="1">
              <a:solidFill>
                <a:schemeClr val="dk1"/>
              </a:solidFill>
              <a:effectLst/>
              <a:latin typeface="+mn-lt"/>
              <a:ea typeface="+mn-ea"/>
              <a:cs typeface="+mn-cs"/>
            </a:rPr>
            <a:t>2024 we will have better margins and lower capex intensity</a:t>
          </a:r>
          <a:r>
            <a:rPr lang="en-US" sz="1400">
              <a:solidFill>
                <a:schemeClr val="dk1"/>
              </a:solidFill>
              <a:effectLst/>
              <a:latin typeface="+mn-lt"/>
              <a:ea typeface="+mn-ea"/>
              <a:cs typeface="+mn-cs"/>
            </a:rPr>
            <a:t>.</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Wifi 6 modem: we also install it to subs and should look into Wifi 7 soon.</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Cash generation: Flow went to inventory as needed material to grow the network, has been growing until this quarter this is why some boost this Q, ok levels for Q4 but will need to buy again next year. Also negotiating with vendor currently (positive). </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Retention rate on new clients when promo expires? Higher than organic which allows continued grow. Increase in churn is seasonal and coming from rate increase. </a:t>
          </a:r>
          <a:r>
            <a:rPr lang="en-US" sz="1400" b="1">
              <a:solidFill>
                <a:schemeClr val="dk1"/>
              </a:solidFill>
              <a:effectLst/>
              <a:latin typeface="+mn-lt"/>
              <a:ea typeface="+mn-ea"/>
              <a:cs typeface="+mn-cs"/>
            </a:rPr>
            <a:t>After 2025 CF will cover all needs, in 2024 still will need some leverage</a:t>
          </a:r>
          <a:r>
            <a:rPr lang="en-US" sz="1400">
              <a:solidFill>
                <a:schemeClr val="dk1"/>
              </a:solidFill>
              <a:effectLst/>
              <a:latin typeface="+mn-lt"/>
              <a:ea typeface="+mn-ea"/>
              <a:cs typeface="+mn-cs"/>
            </a:rPr>
            <a:t>. Positive FCF in 2025, will start to be positive in H2 2024.</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ARPU increasing in both orga and non orga markets. Group ARPU stable as have a lot of new subs on promos. </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Higher D&amp;A because of higher investments in the past</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Debt: </a:t>
          </a:r>
          <a:r>
            <a:rPr lang="en-US" sz="1400" b="1">
              <a:solidFill>
                <a:schemeClr val="dk1"/>
              </a:solidFill>
              <a:effectLst/>
              <a:latin typeface="+mn-lt"/>
              <a:ea typeface="+mn-ea"/>
              <a:cs typeface="+mn-cs"/>
            </a:rPr>
            <a:t>1.5/1.7 next </a:t>
          </a:r>
          <a:r>
            <a:rPr lang="en-US" sz="1400">
              <a:solidFill>
                <a:schemeClr val="dk1"/>
              </a:solidFill>
              <a:effectLst/>
              <a:latin typeface="+mn-lt"/>
              <a:ea typeface="+mn-ea"/>
              <a:cs typeface="+mn-cs"/>
            </a:rPr>
            <a:t>year which will be the highest point</a:t>
          </a:r>
          <a:endParaRPr lang="en-GB" sz="1400">
            <a:solidFill>
              <a:schemeClr val="dk1"/>
            </a:solidFill>
            <a:effectLst/>
            <a:latin typeface="+mn-lt"/>
            <a:ea typeface="+mn-ea"/>
            <a:cs typeface="+mn-cs"/>
          </a:endParaRPr>
        </a:p>
        <a:p>
          <a:pPr lvl="0"/>
          <a:r>
            <a:rPr lang="en-US" sz="1400">
              <a:solidFill>
                <a:schemeClr val="dk1"/>
              </a:solidFill>
              <a:effectLst/>
              <a:latin typeface="+mn-lt"/>
              <a:ea typeface="+mn-ea"/>
              <a:cs typeface="+mn-cs"/>
            </a:rPr>
            <a:t>Stock price at this level is absurd, similar to IPO time whereas the company grew a lot, also will keep performing so very undervalued currently.</a:t>
          </a:r>
          <a:endParaRPr lang="en-GB" sz="1400">
            <a:solidFill>
              <a:schemeClr val="dk1"/>
            </a:solidFill>
            <a:effectLst/>
            <a:latin typeface="+mn-lt"/>
            <a:ea typeface="+mn-ea"/>
            <a:cs typeface="+mn-cs"/>
          </a:endParaRPr>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dcfil02\CHQ_users\ghorn00\My%20Documents\VoIP%20Model\Cisco%20VoIP%20Model%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ll-Us%20Adm-Store-Kunder\&#216;konomi\Periodeavslutning\Res%20Kundedimensjon%202002P2%20EBIT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STAB-U2-50-002\DATA1\KOE\KATALOG\GENERELL\ARKIV-ID\TTSEFJ\AARSPAK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jsv002\user%20folder2\Planning\FLASH%20SUMMARY\050912%20Flash%20Daily%20Report\Back%20Up&#29992;\Back%20Up&#29992;\EMM%20%20&#23455;&#32318;Review.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TELCO/MODELS/Emerging/TPSA_WI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ble\finance\TAX51A\COBB\EXCEL\CASHFLOW\2005\1st%20Qtr%202005\FAS%20115%20Tax%201Q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12381;&#12398;&#20182;BS&#12539;CF&#12539;Inventory\&#12381;&#12398;&#20182;&#12524;&#12509;&#12540;&#12488;&#12501;&#12449;&#12452;&#12523;-&#26368;&#26032;&#2925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able\corp-dfs\Financial%20Planning\REPORTING\2016\1Q16\Below%20the%20Line\Support\Net_IncomeBridg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able\Documents%20and%20Settings\PurvisR\Local%20Settings\Temporary%20Internet%20Files\OLK7F\Documents%20and%20Settings\PreeceS\Local%20Settings\Temporary%20Internet%20Files\OLK22\Overhead%20Consolidation%20December%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4&#20104;&#23455;\_&#12381;&#12398;&#20182;\200405&#35211;&#36796;&#12415;&#1238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PL&#38306;&#36899;\FY06_&#37096;&#38263;&#20250;&#29992;&#36039;&#26009;&#20316;&#25104;&#65420;&#65383;&#65394;&#65433;-&#26368;&#26032;&#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t539562\Local%20Settings\Temporary%20Internet%20Files\OLK9\&#216;k%20per%20kontrakt%20-%20tapsavsetn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My%20Documents\Country%20models\workspace\fixed%20seeds%20v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pp3\common\CORPACCT\Financial%20Reporting\SEC\FORM10-Q\2004\3Q%202004\Corporate\workpapers\Debt%20Report%209-30-2004%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5&#20104;&#23455;\_Package\&#20840;&#31038;&#65381;&#37096;&#21029;&#22522;&#30990;Data&#21152;&#24037;&#20966;&#29702;_&#26368;&#26032;&#2925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able%20forecasts%20comps%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OCKS\EUROPE\Norway\TNOR\Models\Current\TNOR_curr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TOCKS\EUROPE\UK\BT\Models\Current\BT5%20Broadband%20Scen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Koe\Katalog\RAPPORT\Mnd-00\Diverse\maler\Rapportpakke%20Excel%20kvar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TOCKS\EUROPE\UK\VOD\Models\Current\Vodafone(2sep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LECOMS/STOCKS/ASIA%20(ex-Japan)%20Internet/Tech%20analyser%20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b24506\restore\23010101\TELC\TELCOS\UK\BT\NEWERA\BTMODEL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K_OKOK\Bud_rapp\MNDRAPP\2000\0004\Utrapportert\pres0004%20Business%20Solu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sheetName val="Model"/>
      <sheetName val="Financial Statements"/>
      <sheetName val="Capex"/>
      <sheetName val="Capex Input"/>
      <sheetName val="Results"/>
      <sheetName val="BTS T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ow r="3">
          <cell r="A3">
            <v>1</v>
          </cell>
          <cell r="B3" t="str">
            <v>Januar</v>
          </cell>
          <cell r="C3">
            <v>1</v>
          </cell>
        </row>
        <row r="4">
          <cell r="A4">
            <v>2</v>
          </cell>
          <cell r="B4" t="str">
            <v>Februar</v>
          </cell>
          <cell r="C4">
            <v>2</v>
          </cell>
        </row>
        <row r="5">
          <cell r="A5">
            <v>3</v>
          </cell>
          <cell r="B5" t="str">
            <v>Mars</v>
          </cell>
          <cell r="C5">
            <v>3</v>
          </cell>
        </row>
        <row r="6">
          <cell r="A6">
            <v>4</v>
          </cell>
          <cell r="B6" t="str">
            <v>April</v>
          </cell>
          <cell r="C6">
            <v>4</v>
          </cell>
        </row>
        <row r="7">
          <cell r="A7">
            <v>5</v>
          </cell>
          <cell r="B7" t="str">
            <v>Mai</v>
          </cell>
          <cell r="C7">
            <v>5</v>
          </cell>
        </row>
        <row r="8">
          <cell r="A8">
            <v>6</v>
          </cell>
          <cell r="B8" t="str">
            <v>Juni</v>
          </cell>
          <cell r="C8">
            <v>6</v>
          </cell>
        </row>
        <row r="9">
          <cell r="A9">
            <v>7</v>
          </cell>
          <cell r="B9" t="str">
            <v>Juli</v>
          </cell>
          <cell r="C9">
            <v>7</v>
          </cell>
        </row>
        <row r="10">
          <cell r="A10">
            <v>8</v>
          </cell>
          <cell r="B10" t="str">
            <v>August</v>
          </cell>
          <cell r="C10">
            <v>8</v>
          </cell>
        </row>
        <row r="11">
          <cell r="A11">
            <v>9</v>
          </cell>
          <cell r="B11" t="str">
            <v>September</v>
          </cell>
          <cell r="C11">
            <v>9</v>
          </cell>
        </row>
        <row r="12">
          <cell r="A12">
            <v>10</v>
          </cell>
          <cell r="B12" t="str">
            <v>Oktober</v>
          </cell>
          <cell r="C12">
            <v>10</v>
          </cell>
        </row>
        <row r="13">
          <cell r="A13">
            <v>11</v>
          </cell>
          <cell r="B13" t="str">
            <v>November</v>
          </cell>
          <cell r="C13">
            <v>11</v>
          </cell>
        </row>
        <row r="14">
          <cell r="A14">
            <v>12</v>
          </cell>
          <cell r="B14" t="str">
            <v>Desember</v>
          </cell>
          <cell r="C14">
            <v>12</v>
          </cell>
        </row>
      </sheetData>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Grunndata"/>
      <sheetName val="tot"/>
      <sheetName val="CAPEX LRBP_Input"/>
      <sheetName val="Forside"/>
      <sheetName val="Front"/>
      <sheetName val="Sheet-8"/>
      <sheetName val="สรุปราคาค่าก่อสร้าง"/>
      <sheetName val="TB-2001-Apr'01"/>
      <sheetName val="TrialBalance Q3-2002"/>
      <sheetName val="1602-97"/>
      <sheetName val="19"/>
      <sheetName val="K-8"/>
      <sheetName val="เงินกู้ธนชาติ"/>
      <sheetName val="List_of_New_Sites_Propose2"/>
      <sheetName val="ADJ - RATE"/>
      <sheetName val="TOTAL PGS Group"/>
      <sheetName val="Sheet3"/>
      <sheetName val="Mar21"/>
      <sheetName val="Dtn-Jan 21  "/>
      <sheetName val="DTAC Telenor"/>
      <sheetName val="Account code for NewERP"/>
      <sheetName val="RC-New (VF.Feb21)"/>
      <sheetName val="list"/>
      <sheetName val="AARSPAK2"/>
      <sheetName val="Sheet1"/>
      <sheetName val="Employees"/>
      <sheetName val="UAD"/>
      <sheetName val="Basis P&am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FY 2nd Hafl Latest Estimate"/>
      <sheetName val="WeeklyData"/>
      <sheetName val="Sheet3"/>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tats"/>
      <sheetName val="Report Template"/>
      <sheetName val="Shareholder Structure"/>
      <sheetName val="Tariffs&amp;Traffic"/>
      <sheetName val="TPSA_Model"/>
      <sheetName val="__FDSCACHE__"/>
      <sheetName val="GSM"/>
      <sheetName val="Centertel_Model"/>
      <sheetName val="Centertel Consolidations"/>
      <sheetName val="TPSA_Capex"/>
      <sheetName val="TPSA_Group"/>
      <sheetName val="mwareValPrintout"/>
      <sheetName val="mwareTaxoPres"/>
      <sheetName val="Group_DCF"/>
      <sheetName val="Valuation Multiples"/>
      <sheetName val="Valuation Chart"/>
      <sheetName val="TPSA Q"/>
      <sheetName val="Dividend Chart"/>
      <sheetName val="Quarterly"/>
      <sheetName val="Consensus"/>
      <sheetName val="Mobile Ops Summary"/>
      <sheetName val="Centertel_Fins"/>
      <sheetName val="IS(PAS)consol"/>
      <sheetName val="CF(PAS)unconsol"/>
      <sheetName val="IS(PAS)unconsol"/>
      <sheetName val="GE 2"/>
      <sheetName val="Debt Summary"/>
      <sheetName val="Changes"/>
      <sheetName val="Benchmarking"/>
      <sheetName val="Chart Data"/>
      <sheetName val="Charts"/>
      <sheetName val="Sublink churn"/>
      <sheetName val="Link"/>
      <sheetName val="GE Upload"/>
      <sheetName val="FT-Link"/>
      <sheetName val="mwareDates"/>
      <sheetName val="Operational Changes"/>
      <sheetName val="mwarePreview"/>
      <sheetName val="Taglink"/>
      <sheetName val="MSAM Link"/>
      <sheetName val="TPSAQ link"/>
      <sheetName val="Quarterly_Table"/>
      <sheetName val="Quarterly Segments"/>
      <sheetName val="BS(PAS)unconsol"/>
      <sheetName val="CF(PAS)consol"/>
      <sheetName val="BS(PAS)consol"/>
      <sheetName val="Proportional"/>
      <sheetName val="Centertel_DCF"/>
      <sheetName val="TPSA_DCF"/>
      <sheetName val="mwareSettings"/>
      <sheetName val="Cellular_Market"/>
      <sheetName val="NMT"/>
      <sheetName val="Relative Pricing"/>
      <sheetName val="Sheet1"/>
      <sheetName val="xbrldates"/>
      <sheetName val="xbrlPreview"/>
      <sheetName val="xbrlSettings"/>
      <sheetName val="TPSA_WIP"/>
      <sheetName val="Macro_Assumptions"/>
      <sheetName val="MWare_Cached"/>
    </sheetNames>
    <sheetDataSet>
      <sheetData sheetId="0" refreshError="1"/>
      <sheetData sheetId="1" refreshError="1"/>
      <sheetData sheetId="2" refreshError="1"/>
      <sheetData sheetId="3" refreshError="1"/>
      <sheetData sheetId="4" refreshError="1">
        <row r="468">
          <cell r="O468">
            <v>7427.9247366746959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Cost Repor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_ID"/>
      <sheetName val="★ﾒﾆｭｰ"/>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
      <sheetName val="Ref"/>
      <sheetName val="WaterFall_Prep"/>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sheetName val="BEN"/>
      <sheetName val="BRA"/>
      <sheetName val="CE"/>
      <sheetName val="FRA"/>
      <sheetName val="ITA"/>
      <sheetName val="JPN"/>
      <sheetName val="KOR"/>
      <sheetName val="MEX"/>
      <sheetName val="NOR"/>
      <sheetName val="SPA"/>
      <sheetName val="UK"/>
      <sheetName val="UPIBV"/>
      <sheetName val="UPIO"/>
      <sheetName val="UP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ﾃﾞｰﾀ"/>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sheetData sheetId="11">
        <row r="8">
          <cell r="A8" t="str">
            <v>92000</v>
          </cell>
          <cell r="B8">
            <v>572754.43999999994</v>
          </cell>
          <cell r="C8">
            <v>638109.75</v>
          </cell>
          <cell r="D8">
            <v>455414.35</v>
          </cell>
          <cell r="E8">
            <v>633339.72</v>
          </cell>
          <cell r="F8">
            <v>1213897.45</v>
          </cell>
          <cell r="G8">
            <v>1357058.72</v>
          </cell>
          <cell r="H8">
            <v>906607.45</v>
          </cell>
          <cell r="I8">
            <v>1485501.87</v>
          </cell>
          <cell r="J8">
            <v>1471471.16</v>
          </cell>
          <cell r="O8" t="str">
            <v>92000</v>
          </cell>
          <cell r="P8">
            <v>572754.43999999994</v>
          </cell>
          <cell r="Q8">
            <v>1210864.19</v>
          </cell>
          <cell r="R8">
            <v>1666278.54</v>
          </cell>
          <cell r="S8">
            <v>2299618.2599999998</v>
          </cell>
          <cell r="T8">
            <v>3513515.71</v>
          </cell>
          <cell r="U8">
            <v>4870574.43</v>
          </cell>
          <cell r="V8">
            <v>5777181.8799999999</v>
          </cell>
          <cell r="W8">
            <v>7262683.75</v>
          </cell>
          <cell r="X8">
            <v>8734154.9100000001</v>
          </cell>
          <cell r="Y8">
            <v>8734154.9100000001</v>
          </cell>
          <cell r="Z8">
            <v>8734154.9100000001</v>
          </cell>
          <cell r="AA8">
            <v>8734154.9100000001</v>
          </cell>
        </row>
        <row r="9">
          <cell r="A9" t="str">
            <v>92100</v>
          </cell>
          <cell r="B9">
            <v>154549.20000000001</v>
          </cell>
          <cell r="C9">
            <v>181790.48</v>
          </cell>
          <cell r="D9">
            <v>-52647.27</v>
          </cell>
          <cell r="E9">
            <v>94947.77</v>
          </cell>
          <cell r="F9">
            <v>104831.27</v>
          </cell>
          <cell r="G9">
            <v>84803.5</v>
          </cell>
          <cell r="H9">
            <v>80114.16</v>
          </cell>
          <cell r="I9">
            <v>83136.800000000003</v>
          </cell>
          <cell r="J9">
            <v>102074.35</v>
          </cell>
          <cell r="O9" t="str">
            <v>92100</v>
          </cell>
          <cell r="P9">
            <v>154549.20000000001</v>
          </cell>
          <cell r="Q9">
            <v>336339.68000000005</v>
          </cell>
          <cell r="R9">
            <v>283692.41000000003</v>
          </cell>
          <cell r="S9">
            <v>378640.18000000005</v>
          </cell>
          <cell r="T9">
            <v>483471.45000000007</v>
          </cell>
          <cell r="U9">
            <v>568274.95000000007</v>
          </cell>
          <cell r="V9">
            <v>648389.1100000001</v>
          </cell>
          <cell r="W9">
            <v>731525.91000000015</v>
          </cell>
          <cell r="X9">
            <v>833600.26000000013</v>
          </cell>
          <cell r="Y9">
            <v>833600.26000000013</v>
          </cell>
          <cell r="Z9">
            <v>833600.26000000013</v>
          </cell>
          <cell r="AA9">
            <v>833600.26000000013</v>
          </cell>
        </row>
        <row r="10">
          <cell r="A10" t="str">
            <v>92200</v>
          </cell>
          <cell r="B10">
            <v>808138.91</v>
          </cell>
          <cell r="C10">
            <v>978397.38</v>
          </cell>
          <cell r="D10">
            <v>1381144</v>
          </cell>
          <cell r="E10">
            <v>1168586.22</v>
          </cell>
          <cell r="F10">
            <v>373605.36</v>
          </cell>
          <cell r="G10">
            <v>887938.18</v>
          </cell>
          <cell r="H10">
            <v>652326.82999999996</v>
          </cell>
          <cell r="I10">
            <v>485790.25</v>
          </cell>
          <cell r="J10">
            <v>856444.17</v>
          </cell>
          <cell r="O10" t="str">
            <v>92200</v>
          </cell>
          <cell r="P10">
            <v>808138.91</v>
          </cell>
          <cell r="Q10">
            <v>1786536.29</v>
          </cell>
          <cell r="R10">
            <v>3167680.29</v>
          </cell>
          <cell r="S10">
            <v>4336266.51</v>
          </cell>
          <cell r="T10">
            <v>4709871.87</v>
          </cell>
          <cell r="U10">
            <v>5597810.0499999998</v>
          </cell>
          <cell r="V10">
            <v>6250136.8799999999</v>
          </cell>
          <cell r="W10">
            <v>6735927.1299999999</v>
          </cell>
          <cell r="X10">
            <v>7592371.2999999998</v>
          </cell>
          <cell r="Y10">
            <v>7592371.2999999998</v>
          </cell>
          <cell r="Z10">
            <v>7592371.2999999998</v>
          </cell>
          <cell r="AA10">
            <v>7592371.2999999998</v>
          </cell>
        </row>
        <row r="11">
          <cell r="A11" t="str">
            <v>92305</v>
          </cell>
          <cell r="C11">
            <v>813.5</v>
          </cell>
          <cell r="D11">
            <v>-300000</v>
          </cell>
          <cell r="G11">
            <v>2325000</v>
          </cell>
          <cell r="H11">
            <v>1666</v>
          </cell>
          <cell r="O11" t="str">
            <v>92305</v>
          </cell>
          <cell r="P11">
            <v>0</v>
          </cell>
          <cell r="Q11">
            <v>813.5</v>
          </cell>
          <cell r="R11">
            <v>-299186.5</v>
          </cell>
          <cell r="S11">
            <v>-299186.5</v>
          </cell>
          <cell r="T11">
            <v>-299186.5</v>
          </cell>
          <cell r="U11">
            <v>2025813.5</v>
          </cell>
          <cell r="V11">
            <v>2027479.5</v>
          </cell>
          <cell r="W11">
            <v>2027479.5</v>
          </cell>
          <cell r="X11">
            <v>2027479.5</v>
          </cell>
          <cell r="Y11">
            <v>2027479.5</v>
          </cell>
          <cell r="Z11">
            <v>2027479.5</v>
          </cell>
          <cell r="AA11">
            <v>2027479.5</v>
          </cell>
        </row>
        <row r="12">
          <cell r="A12" t="str">
            <v>92310</v>
          </cell>
          <cell r="C12">
            <v>-0.16000000000349246</v>
          </cell>
          <cell r="D12">
            <v>767</v>
          </cell>
          <cell r="H12">
            <v>1153</v>
          </cell>
          <cell r="I12">
            <v>83760</v>
          </cell>
          <cell r="J12">
            <v>34276.18</v>
          </cell>
          <cell r="O12" t="str">
            <v>92310</v>
          </cell>
          <cell r="P12">
            <v>0</v>
          </cell>
          <cell r="Q12">
            <v>-0.16000000000349246</v>
          </cell>
          <cell r="R12">
            <v>766.83999999999651</v>
          </cell>
          <cell r="S12">
            <v>766.83999999999651</v>
          </cell>
          <cell r="T12">
            <v>766.83999999999651</v>
          </cell>
          <cell r="U12">
            <v>766.83999999999651</v>
          </cell>
          <cell r="V12">
            <v>1919.8399999999965</v>
          </cell>
          <cell r="W12">
            <v>85679.84</v>
          </cell>
          <cell r="X12">
            <v>119956.01999999999</v>
          </cell>
          <cell r="Y12">
            <v>119956.01999999999</v>
          </cell>
          <cell r="Z12">
            <v>119956.01999999999</v>
          </cell>
          <cell r="AA12">
            <v>119956.01999999999</v>
          </cell>
        </row>
        <row r="13">
          <cell r="A13" t="str">
            <v>92320</v>
          </cell>
          <cell r="G13">
            <v>767.21</v>
          </cell>
          <cell r="J13">
            <v>32395.7</v>
          </cell>
          <cell r="O13" t="str">
            <v>92320</v>
          </cell>
          <cell r="P13">
            <v>0</v>
          </cell>
          <cell r="Q13">
            <v>0</v>
          </cell>
          <cell r="R13">
            <v>0</v>
          </cell>
          <cell r="S13">
            <v>0</v>
          </cell>
          <cell r="T13">
            <v>0</v>
          </cell>
          <cell r="U13">
            <v>767.21</v>
          </cell>
          <cell r="V13">
            <v>767.21</v>
          </cell>
          <cell r="W13">
            <v>767.21</v>
          </cell>
          <cell r="X13">
            <v>33162.910000000003</v>
          </cell>
          <cell r="Y13">
            <v>33162.910000000003</v>
          </cell>
          <cell r="Z13">
            <v>33162.910000000003</v>
          </cell>
          <cell r="AA13">
            <v>33162.910000000003</v>
          </cell>
        </row>
        <row r="14">
          <cell r="A14" t="str">
            <v>92325</v>
          </cell>
          <cell r="B14">
            <v>2310</v>
          </cell>
          <cell r="C14">
            <v>1970</v>
          </cell>
          <cell r="D14">
            <v>5995.72</v>
          </cell>
          <cell r="E14">
            <v>11770</v>
          </cell>
          <cell r="F14">
            <v>30554</v>
          </cell>
          <cell r="G14">
            <v>44286.95</v>
          </cell>
          <cell r="H14">
            <v>86700</v>
          </cell>
          <cell r="I14">
            <v>162097.73000000001</v>
          </cell>
          <cell r="J14">
            <v>163630.28</v>
          </cell>
          <cell r="O14" t="str">
            <v>92325</v>
          </cell>
          <cell r="P14">
            <v>2310</v>
          </cell>
          <cell r="Q14">
            <v>4280</v>
          </cell>
          <cell r="R14">
            <v>10275.720000000001</v>
          </cell>
          <cell r="S14">
            <v>22045.72</v>
          </cell>
          <cell r="T14">
            <v>52599.72</v>
          </cell>
          <cell r="U14">
            <v>96886.67</v>
          </cell>
          <cell r="V14">
            <v>183586.66999999998</v>
          </cell>
          <cell r="W14">
            <v>345684.4</v>
          </cell>
          <cell r="X14">
            <v>509314.68000000005</v>
          </cell>
          <cell r="Y14">
            <v>509314.68000000005</v>
          </cell>
          <cell r="Z14">
            <v>509314.68000000005</v>
          </cell>
          <cell r="AA14">
            <v>509314.68000000005</v>
          </cell>
        </row>
        <row r="15">
          <cell r="A15" t="str">
            <v>92330</v>
          </cell>
          <cell r="F15">
            <v>1942.25</v>
          </cell>
          <cell r="O15" t="str">
            <v>92330</v>
          </cell>
          <cell r="P15">
            <v>0</v>
          </cell>
          <cell r="Q15">
            <v>0</v>
          </cell>
          <cell r="R15">
            <v>0</v>
          </cell>
          <cell r="S15">
            <v>0</v>
          </cell>
          <cell r="T15">
            <v>1942.25</v>
          </cell>
          <cell r="U15">
            <v>1942.25</v>
          </cell>
          <cell r="V15">
            <v>1942.25</v>
          </cell>
          <cell r="W15">
            <v>1942.25</v>
          </cell>
          <cell r="X15">
            <v>1942.25</v>
          </cell>
          <cell r="Y15">
            <v>1942.25</v>
          </cell>
          <cell r="Z15">
            <v>1942.25</v>
          </cell>
          <cell r="AA15">
            <v>1942.25</v>
          </cell>
        </row>
        <row r="16">
          <cell r="A16" t="str">
            <v>92335</v>
          </cell>
          <cell r="D16">
            <v>55633.68</v>
          </cell>
          <cell r="E16">
            <v>1743.93</v>
          </cell>
          <cell r="O16" t="str">
            <v>92335</v>
          </cell>
          <cell r="P16">
            <v>0</v>
          </cell>
          <cell r="Q16">
            <v>0</v>
          </cell>
          <cell r="R16">
            <v>55633.68</v>
          </cell>
          <cell r="S16">
            <v>57377.61</v>
          </cell>
          <cell r="T16">
            <v>57377.61</v>
          </cell>
          <cell r="U16">
            <v>57377.61</v>
          </cell>
          <cell r="V16">
            <v>57377.61</v>
          </cell>
          <cell r="W16">
            <v>57377.61</v>
          </cell>
          <cell r="X16">
            <v>57377.61</v>
          </cell>
          <cell r="Y16">
            <v>57377.61</v>
          </cell>
          <cell r="Z16">
            <v>57377.61</v>
          </cell>
          <cell r="AA16">
            <v>57377.61</v>
          </cell>
        </row>
        <row r="17">
          <cell r="A17" t="str">
            <v>92340</v>
          </cell>
          <cell r="C17">
            <v>64</v>
          </cell>
          <cell r="O17" t="str">
            <v>92340</v>
          </cell>
          <cell r="P17">
            <v>0</v>
          </cell>
          <cell r="Q17">
            <v>64</v>
          </cell>
          <cell r="R17">
            <v>64</v>
          </cell>
          <cell r="S17">
            <v>64</v>
          </cell>
          <cell r="T17">
            <v>64</v>
          </cell>
          <cell r="U17">
            <v>64</v>
          </cell>
          <cell r="V17">
            <v>64</v>
          </cell>
          <cell r="W17">
            <v>64</v>
          </cell>
          <cell r="X17">
            <v>64</v>
          </cell>
          <cell r="Y17">
            <v>64</v>
          </cell>
          <cell r="Z17">
            <v>64</v>
          </cell>
          <cell r="AA17">
            <v>64</v>
          </cell>
        </row>
        <row r="18">
          <cell r="A18" t="str">
            <v>92350</v>
          </cell>
          <cell r="F18">
            <v>258</v>
          </cell>
          <cell r="G18">
            <v>140</v>
          </cell>
          <cell r="O18" t="str">
            <v>92350</v>
          </cell>
          <cell r="P18">
            <v>0</v>
          </cell>
          <cell r="Q18">
            <v>0</v>
          </cell>
          <cell r="R18">
            <v>0</v>
          </cell>
          <cell r="S18">
            <v>0</v>
          </cell>
          <cell r="T18">
            <v>258</v>
          </cell>
          <cell r="U18">
            <v>398</v>
          </cell>
          <cell r="V18">
            <v>398</v>
          </cell>
          <cell r="W18">
            <v>398</v>
          </cell>
          <cell r="X18">
            <v>398</v>
          </cell>
          <cell r="Y18">
            <v>398</v>
          </cell>
          <cell r="Z18">
            <v>398</v>
          </cell>
          <cell r="AA18">
            <v>398</v>
          </cell>
        </row>
        <row r="19">
          <cell r="A19" t="str">
            <v>92355</v>
          </cell>
          <cell r="C19">
            <v>2995.3499999999767</v>
          </cell>
          <cell r="D19">
            <v>4280.38</v>
          </cell>
          <cell r="E19">
            <v>88460.32</v>
          </cell>
          <cell r="F19">
            <v>22633.599999999999</v>
          </cell>
          <cell r="G19">
            <v>276.91000000000003</v>
          </cell>
          <cell r="H19">
            <v>464.1</v>
          </cell>
          <cell r="O19" t="str">
            <v>92355</v>
          </cell>
          <cell r="P19">
            <v>0</v>
          </cell>
          <cell r="Q19">
            <v>2995.3499999999767</v>
          </cell>
          <cell r="R19">
            <v>7275.7299999999768</v>
          </cell>
          <cell r="S19">
            <v>95736.049999999988</v>
          </cell>
          <cell r="T19">
            <v>118369.65</v>
          </cell>
          <cell r="U19">
            <v>118646.56</v>
          </cell>
          <cell r="V19">
            <v>119110.66</v>
          </cell>
          <cell r="W19">
            <v>119110.66</v>
          </cell>
          <cell r="X19">
            <v>119110.66</v>
          </cell>
          <cell r="Y19">
            <v>119110.66</v>
          </cell>
          <cell r="Z19">
            <v>119110.66</v>
          </cell>
          <cell r="AA19">
            <v>119110.66</v>
          </cell>
        </row>
        <row r="20">
          <cell r="A20" t="str">
            <v>92360</v>
          </cell>
          <cell r="C20">
            <v>784.68</v>
          </cell>
          <cell r="O20" t="str">
            <v>92360</v>
          </cell>
          <cell r="P20">
            <v>0</v>
          </cell>
          <cell r="Q20">
            <v>784.68</v>
          </cell>
          <cell r="R20">
            <v>784.68</v>
          </cell>
          <cell r="S20">
            <v>784.68</v>
          </cell>
          <cell r="T20">
            <v>784.68</v>
          </cell>
          <cell r="U20">
            <v>784.68</v>
          </cell>
          <cell r="V20">
            <v>784.68</v>
          </cell>
          <cell r="W20">
            <v>784.68</v>
          </cell>
          <cell r="X20">
            <v>784.68</v>
          </cell>
          <cell r="Y20">
            <v>784.68</v>
          </cell>
          <cell r="Z20">
            <v>784.68</v>
          </cell>
          <cell r="AA20">
            <v>784.68</v>
          </cell>
        </row>
        <row r="21">
          <cell r="A21" t="str">
            <v>92365</v>
          </cell>
          <cell r="J21">
            <v>0</v>
          </cell>
          <cell r="O21" t="str">
            <v>92365</v>
          </cell>
          <cell r="P21">
            <v>0</v>
          </cell>
          <cell r="Q21">
            <v>0</v>
          </cell>
          <cell r="R21">
            <v>0</v>
          </cell>
          <cell r="S21">
            <v>0</v>
          </cell>
          <cell r="T21">
            <v>0</v>
          </cell>
          <cell r="U21">
            <v>0</v>
          </cell>
          <cell r="V21">
            <v>0</v>
          </cell>
          <cell r="W21">
            <v>0</v>
          </cell>
          <cell r="X21">
            <v>0</v>
          </cell>
          <cell r="Y21">
            <v>0</v>
          </cell>
          <cell r="Z21">
            <v>0</v>
          </cell>
          <cell r="AA21">
            <v>0</v>
          </cell>
        </row>
        <row r="22">
          <cell r="A22" t="str">
            <v>92370</v>
          </cell>
          <cell r="C22">
            <v>5334</v>
          </cell>
          <cell r="D22">
            <v>0</v>
          </cell>
          <cell r="I22">
            <v>406.5</v>
          </cell>
          <cell r="O22" t="str">
            <v>92370</v>
          </cell>
          <cell r="P22">
            <v>0</v>
          </cell>
          <cell r="Q22">
            <v>5334</v>
          </cell>
          <cell r="R22">
            <v>5334</v>
          </cell>
          <cell r="S22">
            <v>5334</v>
          </cell>
          <cell r="T22">
            <v>5334</v>
          </cell>
          <cell r="U22">
            <v>5334</v>
          </cell>
          <cell r="V22">
            <v>5334</v>
          </cell>
          <cell r="W22">
            <v>5740.5</v>
          </cell>
          <cell r="X22">
            <v>5740.5</v>
          </cell>
          <cell r="Y22">
            <v>5740.5</v>
          </cell>
          <cell r="Z22">
            <v>5740.5</v>
          </cell>
          <cell r="AA22">
            <v>5740.5</v>
          </cell>
        </row>
        <row r="23">
          <cell r="A23" t="str">
            <v>92375</v>
          </cell>
          <cell r="C23">
            <v>5069.76</v>
          </cell>
          <cell r="D23">
            <v>863.71</v>
          </cell>
          <cell r="F23">
            <v>4700.6499999999996</v>
          </cell>
          <cell r="H23">
            <v>101.82</v>
          </cell>
          <cell r="O23" t="str">
            <v>92375</v>
          </cell>
          <cell r="P23">
            <v>0</v>
          </cell>
          <cell r="Q23">
            <v>5069.76</v>
          </cell>
          <cell r="R23">
            <v>5933.47</v>
          </cell>
          <cell r="S23">
            <v>5933.47</v>
          </cell>
          <cell r="T23">
            <v>10634.119999999999</v>
          </cell>
          <cell r="U23">
            <v>10634.119999999999</v>
          </cell>
          <cell r="V23">
            <v>10735.939999999999</v>
          </cell>
          <cell r="W23">
            <v>10735.939999999999</v>
          </cell>
          <cell r="X23">
            <v>10735.939999999999</v>
          </cell>
          <cell r="Y23">
            <v>10735.939999999999</v>
          </cell>
          <cell r="Z23">
            <v>10735.939999999999</v>
          </cell>
          <cell r="AA23">
            <v>10735.939999999999</v>
          </cell>
        </row>
        <row r="24">
          <cell r="A24" t="str">
            <v>92387</v>
          </cell>
          <cell r="G24">
            <v>12181.01</v>
          </cell>
          <cell r="J24">
            <v>1330</v>
          </cell>
          <cell r="O24" t="str">
            <v>92387</v>
          </cell>
          <cell r="P24">
            <v>0</v>
          </cell>
          <cell r="Q24">
            <v>0</v>
          </cell>
          <cell r="R24">
            <v>0</v>
          </cell>
          <cell r="S24">
            <v>0</v>
          </cell>
          <cell r="T24">
            <v>0</v>
          </cell>
          <cell r="U24">
            <v>12181.01</v>
          </cell>
          <cell r="V24">
            <v>12181.01</v>
          </cell>
          <cell r="W24">
            <v>12181.01</v>
          </cell>
          <cell r="X24">
            <v>13511.01</v>
          </cell>
          <cell r="Y24">
            <v>13511.01</v>
          </cell>
          <cell r="Z24">
            <v>13511.01</v>
          </cell>
          <cell r="AA24">
            <v>13511.01</v>
          </cell>
        </row>
        <row r="25">
          <cell r="A25" t="str">
            <v>92390</v>
          </cell>
          <cell r="B25">
            <v>67167.44</v>
          </cell>
          <cell r="C25">
            <v>58636.98</v>
          </cell>
          <cell r="D25">
            <v>232738</v>
          </cell>
          <cell r="E25">
            <v>29266.03</v>
          </cell>
          <cell r="F25">
            <v>330.5</v>
          </cell>
          <cell r="H25">
            <v>1764.53</v>
          </cell>
          <cell r="I25">
            <v>87348.58</v>
          </cell>
          <cell r="J25">
            <v>17985.02</v>
          </cell>
          <cell r="O25" t="str">
            <v>92390</v>
          </cell>
          <cell r="P25">
            <v>67167.44</v>
          </cell>
          <cell r="Q25">
            <v>125804.42000000001</v>
          </cell>
          <cell r="R25">
            <v>358542.42000000004</v>
          </cell>
          <cell r="S25">
            <v>387808.45000000007</v>
          </cell>
          <cell r="T25">
            <v>388138.95000000007</v>
          </cell>
          <cell r="U25">
            <v>388138.95000000007</v>
          </cell>
          <cell r="V25">
            <v>389903.4800000001</v>
          </cell>
          <cell r="W25">
            <v>477252.06000000011</v>
          </cell>
          <cell r="X25">
            <v>495237.08000000013</v>
          </cell>
          <cell r="Y25">
            <v>495237.08000000013</v>
          </cell>
          <cell r="Z25">
            <v>495237.08000000013</v>
          </cell>
          <cell r="AA25">
            <v>495237.08000000013</v>
          </cell>
        </row>
        <row r="26">
          <cell r="A26" t="str">
            <v>92395</v>
          </cell>
          <cell r="D26">
            <v>494</v>
          </cell>
          <cell r="E26">
            <v>655.35</v>
          </cell>
          <cell r="H26">
            <v>666.4</v>
          </cell>
          <cell r="O26" t="str">
            <v>92395</v>
          </cell>
          <cell r="P26">
            <v>0</v>
          </cell>
          <cell r="Q26">
            <v>0</v>
          </cell>
          <cell r="R26">
            <v>494</v>
          </cell>
          <cell r="S26">
            <v>1149.3499999999999</v>
          </cell>
          <cell r="T26">
            <v>1149.3499999999999</v>
          </cell>
          <cell r="U26">
            <v>1149.3499999999999</v>
          </cell>
          <cell r="V26">
            <v>1815.75</v>
          </cell>
          <cell r="W26">
            <v>1815.75</v>
          </cell>
          <cell r="X26">
            <v>1815.75</v>
          </cell>
          <cell r="Y26">
            <v>1815.75</v>
          </cell>
          <cell r="Z26">
            <v>1815.75</v>
          </cell>
          <cell r="AA26">
            <v>1815.75</v>
          </cell>
        </row>
        <row r="27">
          <cell r="A27" t="str">
            <v>93000</v>
          </cell>
          <cell r="B27">
            <v>148262.76999999999</v>
          </cell>
          <cell r="C27">
            <v>230750.43</v>
          </cell>
          <cell r="D27">
            <v>250927.11</v>
          </cell>
          <cell r="E27">
            <v>250453.09</v>
          </cell>
          <cell r="F27">
            <v>163469.38</v>
          </cell>
          <cell r="G27">
            <v>218457.27</v>
          </cell>
          <cell r="H27">
            <v>210941.85</v>
          </cell>
          <cell r="I27">
            <v>144187.63</v>
          </cell>
          <cell r="J27">
            <v>221217.87</v>
          </cell>
          <cell r="O27" t="str">
            <v>93000</v>
          </cell>
          <cell r="P27">
            <v>148262.76999999999</v>
          </cell>
          <cell r="Q27">
            <v>379013.19999999995</v>
          </cell>
          <cell r="R27">
            <v>629940.30999999994</v>
          </cell>
          <cell r="S27">
            <v>880393.39999999991</v>
          </cell>
          <cell r="T27">
            <v>1043862.7799999999</v>
          </cell>
          <cell r="U27">
            <v>1262320.0499999998</v>
          </cell>
          <cell r="V27">
            <v>1473261.9</v>
          </cell>
          <cell r="W27">
            <v>1617449.5299999998</v>
          </cell>
          <cell r="X27">
            <v>1838667.4</v>
          </cell>
          <cell r="Y27">
            <v>1838667.4</v>
          </cell>
          <cell r="Z27">
            <v>1838667.4</v>
          </cell>
          <cell r="AA27">
            <v>1838667.4</v>
          </cell>
        </row>
        <row r="28">
          <cell r="A28" t="str">
            <v>93110</v>
          </cell>
          <cell r="B28">
            <v>838111.01</v>
          </cell>
          <cell r="C28">
            <v>-350432.81</v>
          </cell>
          <cell r="D28">
            <v>275632.12</v>
          </cell>
          <cell r="E28">
            <v>316121.59999999998</v>
          </cell>
          <cell r="F28">
            <v>246404.74</v>
          </cell>
          <cell r="G28">
            <v>179780.08</v>
          </cell>
          <cell r="H28">
            <v>179511.45</v>
          </cell>
          <cell r="I28">
            <v>266467.59000000003</v>
          </cell>
          <cell r="J28">
            <v>253212.84</v>
          </cell>
          <cell r="O28" t="str">
            <v>93110</v>
          </cell>
          <cell r="P28">
            <v>838111.01</v>
          </cell>
          <cell r="Q28">
            <v>487678.2</v>
          </cell>
          <cell r="R28">
            <v>763310.32000000007</v>
          </cell>
          <cell r="S28">
            <v>1079431.92</v>
          </cell>
          <cell r="T28">
            <v>1325836.6599999999</v>
          </cell>
          <cell r="U28">
            <v>1505616.74</v>
          </cell>
          <cell r="V28">
            <v>1685128.19</v>
          </cell>
          <cell r="W28">
            <v>1951595.78</v>
          </cell>
          <cell r="X28">
            <v>2204808.62</v>
          </cell>
          <cell r="Y28">
            <v>2204808.62</v>
          </cell>
          <cell r="Z28">
            <v>2204808.62</v>
          </cell>
          <cell r="AA28">
            <v>2204808.62</v>
          </cell>
        </row>
        <row r="29">
          <cell r="A29" t="str">
            <v>93120</v>
          </cell>
          <cell r="B29">
            <v>35616.31</v>
          </cell>
          <cell r="C29">
            <v>437094.41</v>
          </cell>
          <cell r="D29">
            <v>147177.75</v>
          </cell>
          <cell r="E29">
            <v>250063.59</v>
          </cell>
          <cell r="F29">
            <v>234113.01</v>
          </cell>
          <cell r="G29">
            <v>207419.15</v>
          </cell>
          <cell r="H29">
            <v>153930.07999999999</v>
          </cell>
          <cell r="I29">
            <v>281520.03000000003</v>
          </cell>
          <cell r="J29">
            <v>246177.5</v>
          </cell>
          <cell r="O29" t="str">
            <v>93120</v>
          </cell>
          <cell r="P29">
            <v>35616.31</v>
          </cell>
          <cell r="Q29">
            <v>472710.72</v>
          </cell>
          <cell r="R29">
            <v>619888.47</v>
          </cell>
          <cell r="S29">
            <v>869952.05999999994</v>
          </cell>
          <cell r="T29">
            <v>1104065.0699999998</v>
          </cell>
          <cell r="U29">
            <v>1311484.2199999997</v>
          </cell>
          <cell r="V29">
            <v>1465414.2999999998</v>
          </cell>
          <cell r="W29">
            <v>1746934.3299999998</v>
          </cell>
          <cell r="X29">
            <v>1993111.8299999998</v>
          </cell>
          <cell r="Y29">
            <v>1993111.8299999998</v>
          </cell>
          <cell r="Z29">
            <v>1993111.8299999998</v>
          </cell>
          <cell r="AA29">
            <v>1993111.8299999998</v>
          </cell>
        </row>
        <row r="30">
          <cell r="A30" t="str">
            <v>93130</v>
          </cell>
          <cell r="B30">
            <v>402161.65</v>
          </cell>
          <cell r="C30">
            <v>316456.31</v>
          </cell>
          <cell r="D30">
            <v>255215.4</v>
          </cell>
          <cell r="E30">
            <v>331939.51</v>
          </cell>
          <cell r="F30">
            <v>319634.78999999998</v>
          </cell>
          <cell r="G30">
            <v>220350.23</v>
          </cell>
          <cell r="H30">
            <v>217547.94</v>
          </cell>
          <cell r="I30">
            <v>301201.89</v>
          </cell>
          <cell r="J30">
            <v>336939.35</v>
          </cell>
          <cell r="O30" t="str">
            <v>93130</v>
          </cell>
          <cell r="P30">
            <v>402161.65</v>
          </cell>
          <cell r="Q30">
            <v>718617.96</v>
          </cell>
          <cell r="R30">
            <v>973833.36</v>
          </cell>
          <cell r="S30">
            <v>1305772.8700000001</v>
          </cell>
          <cell r="T30">
            <v>1625407.6600000001</v>
          </cell>
          <cell r="U30">
            <v>1845757.8900000001</v>
          </cell>
          <cell r="V30">
            <v>2063305.83</v>
          </cell>
          <cell r="W30">
            <v>2364507.7200000002</v>
          </cell>
          <cell r="X30">
            <v>2701447.0700000003</v>
          </cell>
          <cell r="Y30">
            <v>2701447.0700000003</v>
          </cell>
          <cell r="Z30">
            <v>2701447.0700000003</v>
          </cell>
          <cell r="AA30">
            <v>2701447.0700000003</v>
          </cell>
        </row>
        <row r="31">
          <cell r="A31" t="str">
            <v>93150</v>
          </cell>
          <cell r="B31">
            <v>40482.629999999997</v>
          </cell>
          <cell r="C31">
            <v>174544.55</v>
          </cell>
          <cell r="D31">
            <v>144281.84</v>
          </cell>
          <cell r="E31">
            <v>9173.06</v>
          </cell>
          <cell r="F31">
            <v>107321.3</v>
          </cell>
          <cell r="G31">
            <v>68657.23</v>
          </cell>
          <cell r="H31">
            <v>100005.52</v>
          </cell>
          <cell r="I31">
            <v>120258.91</v>
          </cell>
          <cell r="J31">
            <v>121412.44</v>
          </cell>
          <cell r="O31" t="str">
            <v>93150</v>
          </cell>
          <cell r="P31">
            <v>40482.629999999997</v>
          </cell>
          <cell r="Q31">
            <v>215027.18</v>
          </cell>
          <cell r="R31">
            <v>359309.02</v>
          </cell>
          <cell r="S31">
            <v>368482.08</v>
          </cell>
          <cell r="T31">
            <v>475803.38</v>
          </cell>
          <cell r="U31">
            <v>544460.61</v>
          </cell>
          <cell r="V31">
            <v>644466.13</v>
          </cell>
          <cell r="W31">
            <v>764725.04</v>
          </cell>
          <cell r="X31">
            <v>886137.48</v>
          </cell>
          <cell r="Y31">
            <v>886137.48</v>
          </cell>
          <cell r="Z31">
            <v>886137.48</v>
          </cell>
          <cell r="AA31">
            <v>886137.48</v>
          </cell>
        </row>
        <row r="32">
          <cell r="A32" t="str">
            <v>93200</v>
          </cell>
          <cell r="B32">
            <v>466430.75</v>
          </cell>
          <cell r="C32">
            <v>632403.06999999995</v>
          </cell>
          <cell r="D32">
            <v>534486.89</v>
          </cell>
          <cell r="E32">
            <v>607306.52</v>
          </cell>
          <cell r="F32">
            <v>549195.06999999995</v>
          </cell>
          <cell r="G32">
            <v>462982.16</v>
          </cell>
          <cell r="H32">
            <v>328035.63</v>
          </cell>
          <cell r="I32">
            <v>571094.92000000004</v>
          </cell>
          <cell r="J32">
            <v>615783.69999999995</v>
          </cell>
          <cell r="O32" t="str">
            <v>93200</v>
          </cell>
          <cell r="P32">
            <v>466430.75</v>
          </cell>
          <cell r="Q32">
            <v>1098833.8199999998</v>
          </cell>
          <cell r="R32">
            <v>1633320.71</v>
          </cell>
          <cell r="S32">
            <v>2240627.23</v>
          </cell>
          <cell r="T32">
            <v>2789822.3</v>
          </cell>
          <cell r="U32">
            <v>3252804.46</v>
          </cell>
          <cell r="V32">
            <v>3580840.09</v>
          </cell>
          <cell r="W32">
            <v>4151935.01</v>
          </cell>
          <cell r="X32">
            <v>4767718.71</v>
          </cell>
          <cell r="Y32">
            <v>4767718.71</v>
          </cell>
          <cell r="Z32">
            <v>4767718.71</v>
          </cell>
          <cell r="AA32">
            <v>4767718.71</v>
          </cell>
        </row>
        <row r="33">
          <cell r="A33" t="str">
            <v>93300</v>
          </cell>
          <cell r="B33">
            <v>318087.92</v>
          </cell>
          <cell r="C33">
            <v>399476.15</v>
          </cell>
          <cell r="D33">
            <v>423306.91</v>
          </cell>
          <cell r="E33">
            <v>418291.79</v>
          </cell>
          <cell r="F33">
            <v>353357.96</v>
          </cell>
          <cell r="G33">
            <v>384061.18</v>
          </cell>
          <cell r="H33">
            <v>258426.69</v>
          </cell>
          <cell r="I33">
            <v>385136.55</v>
          </cell>
          <cell r="J33">
            <v>434136.87</v>
          </cell>
          <cell r="O33" t="str">
            <v>93300</v>
          </cell>
          <cell r="P33">
            <v>318087.92</v>
          </cell>
          <cell r="Q33">
            <v>717564.07000000007</v>
          </cell>
          <cell r="R33">
            <v>1140870.98</v>
          </cell>
          <cell r="S33">
            <v>1559162.77</v>
          </cell>
          <cell r="T33">
            <v>1912520.73</v>
          </cell>
          <cell r="U33">
            <v>2296581.91</v>
          </cell>
          <cell r="V33">
            <v>2555008.6</v>
          </cell>
          <cell r="W33">
            <v>2940145.15</v>
          </cell>
          <cell r="X33">
            <v>3374282.02</v>
          </cell>
          <cell r="Y33">
            <v>3374282.02</v>
          </cell>
          <cell r="Z33">
            <v>3374282.02</v>
          </cell>
          <cell r="AA33">
            <v>3374282.02</v>
          </cell>
        </row>
        <row r="34">
          <cell r="A34" t="str">
            <v>93400</v>
          </cell>
          <cell r="B34">
            <v>166675.70000000001</v>
          </cell>
          <cell r="C34">
            <v>884139.99</v>
          </cell>
          <cell r="D34">
            <v>446130.11</v>
          </cell>
          <cell r="E34">
            <v>350469.27</v>
          </cell>
          <cell r="F34">
            <v>414043.75</v>
          </cell>
          <cell r="G34">
            <v>479006.54</v>
          </cell>
          <cell r="H34">
            <v>396794.95</v>
          </cell>
          <cell r="I34">
            <v>494917.31</v>
          </cell>
          <cell r="J34">
            <v>410201.34</v>
          </cell>
          <cell r="O34" t="str">
            <v>93400</v>
          </cell>
          <cell r="P34">
            <v>166675.70000000001</v>
          </cell>
          <cell r="Q34">
            <v>1050815.69</v>
          </cell>
          <cell r="R34">
            <v>1496945.7999999998</v>
          </cell>
          <cell r="S34">
            <v>1847415.0699999998</v>
          </cell>
          <cell r="T34">
            <v>2261458.8199999998</v>
          </cell>
          <cell r="U34">
            <v>2740465.36</v>
          </cell>
          <cell r="V34">
            <v>3137260.31</v>
          </cell>
          <cell r="W34">
            <v>3632177.62</v>
          </cell>
          <cell r="X34">
            <v>4042378.96</v>
          </cell>
          <cell r="Y34">
            <v>4042378.96</v>
          </cell>
          <cell r="Z34">
            <v>4042378.96</v>
          </cell>
          <cell r="AA34">
            <v>4042378.96</v>
          </cell>
        </row>
        <row r="35">
          <cell r="A35" t="str">
            <v>93500</v>
          </cell>
          <cell r="B35">
            <v>574802.68000000005</v>
          </cell>
          <cell r="C35">
            <v>56956.49</v>
          </cell>
          <cell r="D35">
            <v>187665.51</v>
          </cell>
          <cell r="E35">
            <v>448583.7</v>
          </cell>
          <cell r="F35">
            <v>967807.07</v>
          </cell>
          <cell r="G35">
            <v>86891.040000000066</v>
          </cell>
          <cell r="H35">
            <v>980962.6</v>
          </cell>
          <cell r="I35">
            <v>473239.34</v>
          </cell>
          <cell r="J35">
            <v>544567.19999999995</v>
          </cell>
          <cell r="O35" t="str">
            <v>93500</v>
          </cell>
          <cell r="P35">
            <v>574802.68000000005</v>
          </cell>
          <cell r="Q35">
            <v>631759.17000000004</v>
          </cell>
          <cell r="R35">
            <v>819424.68</v>
          </cell>
          <cell r="S35">
            <v>1268008.3800000001</v>
          </cell>
          <cell r="T35">
            <v>2235815.4500000002</v>
          </cell>
          <cell r="U35">
            <v>2322706.4900000002</v>
          </cell>
          <cell r="V35">
            <v>3303669.0900000003</v>
          </cell>
          <cell r="W35">
            <v>3776908.43</v>
          </cell>
          <cell r="X35">
            <v>4321475.63</v>
          </cell>
          <cell r="Y35">
            <v>4321475.63</v>
          </cell>
          <cell r="Z35">
            <v>4321475.63</v>
          </cell>
          <cell r="AA35">
            <v>4321475.63</v>
          </cell>
        </row>
        <row r="36">
          <cell r="A36" t="str">
            <v>93550</v>
          </cell>
          <cell r="B36">
            <v>775470.37</v>
          </cell>
          <cell r="C36">
            <v>660106.03</v>
          </cell>
          <cell r="D36">
            <v>677748.4</v>
          </cell>
          <cell r="E36">
            <v>801176.83</v>
          </cell>
          <cell r="F36">
            <v>735927.51</v>
          </cell>
          <cell r="G36">
            <v>547091.32999999996</v>
          </cell>
          <cell r="H36">
            <v>858161.08</v>
          </cell>
          <cell r="I36">
            <v>625363.65</v>
          </cell>
          <cell r="J36">
            <v>715900.49</v>
          </cell>
          <cell r="O36" t="str">
            <v>93550</v>
          </cell>
          <cell r="P36">
            <v>775470.37</v>
          </cell>
          <cell r="Q36">
            <v>1435576.4</v>
          </cell>
          <cell r="R36">
            <v>2113324.7999999998</v>
          </cell>
          <cell r="S36">
            <v>2914501.63</v>
          </cell>
          <cell r="T36">
            <v>3650429.1399999997</v>
          </cell>
          <cell r="U36">
            <v>4197520.47</v>
          </cell>
          <cell r="V36">
            <v>5055681.55</v>
          </cell>
          <cell r="W36">
            <v>5681045.2000000002</v>
          </cell>
          <cell r="X36">
            <v>6396945.6900000004</v>
          </cell>
          <cell r="Y36">
            <v>6396945.6900000004</v>
          </cell>
          <cell r="Z36">
            <v>6396945.6900000004</v>
          </cell>
          <cell r="AA36">
            <v>6396945.6900000004</v>
          </cell>
        </row>
        <row r="37">
          <cell r="A37" t="str">
            <v>93600</v>
          </cell>
          <cell r="B37">
            <v>1218911.99</v>
          </cell>
          <cell r="C37">
            <v>1194422.7</v>
          </cell>
          <cell r="D37">
            <v>1061550.6100000001</v>
          </cell>
          <cell r="E37">
            <v>1060979.99</v>
          </cell>
          <cell r="F37">
            <v>1203023.8600000001</v>
          </cell>
          <cell r="G37">
            <v>1165314.1499999999</v>
          </cell>
          <cell r="H37">
            <v>1165579.3899999999</v>
          </cell>
          <cell r="I37">
            <v>1294197.93</v>
          </cell>
          <cell r="J37">
            <v>1133771.8</v>
          </cell>
          <cell r="O37" t="str">
            <v>93600</v>
          </cell>
          <cell r="P37">
            <v>1218911.99</v>
          </cell>
          <cell r="Q37">
            <v>2413334.69</v>
          </cell>
          <cell r="R37">
            <v>3474885.3</v>
          </cell>
          <cell r="S37">
            <v>4535865.29</v>
          </cell>
          <cell r="T37">
            <v>5738889.1500000004</v>
          </cell>
          <cell r="U37">
            <v>6904203.3000000007</v>
          </cell>
          <cell r="V37">
            <v>8069782.6900000004</v>
          </cell>
          <cell r="W37">
            <v>9363980.620000001</v>
          </cell>
          <cell r="X37">
            <v>10497752.420000002</v>
          </cell>
          <cell r="Y37">
            <v>10497752.420000002</v>
          </cell>
          <cell r="Z37">
            <v>10497752.420000002</v>
          </cell>
          <cell r="AA37">
            <v>10497752.420000002</v>
          </cell>
        </row>
        <row r="38">
          <cell r="A38" t="str">
            <v>93650</v>
          </cell>
          <cell r="B38">
            <v>2358279.0499999998</v>
          </cell>
          <cell r="C38">
            <v>1683877.04</v>
          </cell>
          <cell r="D38">
            <v>2202545.4700000002</v>
          </cell>
          <cell r="E38">
            <v>2226436.61</v>
          </cell>
          <cell r="F38">
            <v>1716917.06</v>
          </cell>
          <cell r="G38">
            <v>3140712.33</v>
          </cell>
          <cell r="H38">
            <v>2456515.4700000002</v>
          </cell>
          <cell r="I38">
            <v>2209956.81</v>
          </cell>
          <cell r="J38">
            <v>5419539.0000000019</v>
          </cell>
          <cell r="O38" t="str">
            <v>93650</v>
          </cell>
          <cell r="P38">
            <v>2358279.0499999998</v>
          </cell>
          <cell r="Q38">
            <v>4042156.09</v>
          </cell>
          <cell r="R38">
            <v>6244701.5600000005</v>
          </cell>
          <cell r="S38">
            <v>8471138.1699999999</v>
          </cell>
          <cell r="T38">
            <v>10188055.23</v>
          </cell>
          <cell r="U38">
            <v>13328767.560000001</v>
          </cell>
          <cell r="V38">
            <v>15785283.030000001</v>
          </cell>
          <cell r="W38">
            <v>17995239.84</v>
          </cell>
          <cell r="X38">
            <v>23414778.840000004</v>
          </cell>
          <cell r="Y38">
            <v>23414778.840000004</v>
          </cell>
          <cell r="Z38">
            <v>23414778.840000004</v>
          </cell>
          <cell r="AA38">
            <v>23414778.840000004</v>
          </cell>
        </row>
        <row r="39">
          <cell r="A39" t="str">
            <v>93700</v>
          </cell>
          <cell r="B39">
            <v>727319.35</v>
          </cell>
          <cell r="C39">
            <v>438319.41</v>
          </cell>
          <cell r="D39">
            <v>780954.1</v>
          </cell>
          <cell r="E39">
            <v>671152.48</v>
          </cell>
          <cell r="F39">
            <v>670773.32999999996</v>
          </cell>
          <cell r="G39">
            <v>669424.89</v>
          </cell>
          <cell r="H39">
            <v>532002.03</v>
          </cell>
          <cell r="I39">
            <v>598141.31000000006</v>
          </cell>
          <cell r="J39">
            <v>678485.71</v>
          </cell>
          <cell r="O39" t="str">
            <v>93700</v>
          </cell>
          <cell r="P39">
            <v>727319.35</v>
          </cell>
          <cell r="Q39">
            <v>1165638.76</v>
          </cell>
          <cell r="R39">
            <v>1946592.8599999999</v>
          </cell>
          <cell r="S39">
            <v>2617745.34</v>
          </cell>
          <cell r="T39">
            <v>3288518.67</v>
          </cell>
          <cell r="U39">
            <v>3957943.56</v>
          </cell>
          <cell r="V39">
            <v>4489945.59</v>
          </cell>
          <cell r="W39">
            <v>5088086.9000000004</v>
          </cell>
          <cell r="X39">
            <v>5766572.6100000003</v>
          </cell>
          <cell r="Y39">
            <v>5766572.6100000003</v>
          </cell>
          <cell r="Z39">
            <v>5766572.6100000003</v>
          </cell>
          <cell r="AA39">
            <v>5766572.6100000003</v>
          </cell>
        </row>
        <row r="40">
          <cell r="A40" t="str">
            <v>93750</v>
          </cell>
          <cell r="B40">
            <v>1111973.77</v>
          </cell>
          <cell r="C40">
            <v>1498143.25</v>
          </cell>
          <cell r="D40">
            <v>999781.04</v>
          </cell>
          <cell r="E40">
            <v>1300780.54</v>
          </cell>
          <cell r="F40">
            <v>1240287.68</v>
          </cell>
          <cell r="G40">
            <v>1044857.09</v>
          </cell>
          <cell r="H40">
            <v>944630.37</v>
          </cell>
          <cell r="I40">
            <v>1405966.99</v>
          </cell>
          <cell r="J40">
            <v>1240348.3400000001</v>
          </cell>
          <cell r="O40" t="str">
            <v>93750</v>
          </cell>
          <cell r="P40">
            <v>1111973.77</v>
          </cell>
          <cell r="Q40">
            <v>2610117.02</v>
          </cell>
          <cell r="R40">
            <v>3609898.06</v>
          </cell>
          <cell r="S40">
            <v>4910678.5999999996</v>
          </cell>
          <cell r="T40">
            <v>6150966.2799999993</v>
          </cell>
          <cell r="U40">
            <v>7195823.3699999992</v>
          </cell>
          <cell r="V40">
            <v>8140453.7399999993</v>
          </cell>
          <cell r="W40">
            <v>9546420.7299999986</v>
          </cell>
          <cell r="X40">
            <v>10786769.069999998</v>
          </cell>
          <cell r="Y40">
            <v>10786769.069999998</v>
          </cell>
          <cell r="Z40">
            <v>10786769.069999998</v>
          </cell>
          <cell r="AA40">
            <v>10786769.069999998</v>
          </cell>
        </row>
        <row r="41">
          <cell r="A41" t="str">
            <v>93755</v>
          </cell>
          <cell r="E41">
            <v>511881.91</v>
          </cell>
          <cell r="F41">
            <v>368461.5</v>
          </cell>
          <cell r="G41">
            <v>360739.09</v>
          </cell>
          <cell r="H41">
            <v>307714.59999999998</v>
          </cell>
          <cell r="I41">
            <v>450936.79</v>
          </cell>
          <cell r="J41">
            <v>539852.43000000005</v>
          </cell>
          <cell r="O41" t="str">
            <v>93755</v>
          </cell>
          <cell r="P41">
            <v>0</v>
          </cell>
          <cell r="Q41">
            <v>0</v>
          </cell>
          <cell r="R41">
            <v>0</v>
          </cell>
          <cell r="S41">
            <v>511881.91</v>
          </cell>
          <cell r="T41">
            <v>880343.40999999992</v>
          </cell>
          <cell r="U41">
            <v>1241082.5</v>
          </cell>
          <cell r="V41">
            <v>1548797.1</v>
          </cell>
          <cell r="W41">
            <v>1999733.8900000001</v>
          </cell>
          <cell r="X41">
            <v>2539586.3200000003</v>
          </cell>
          <cell r="Y41">
            <v>2539586.3200000003</v>
          </cell>
          <cell r="Z41">
            <v>2539586.3200000003</v>
          </cell>
          <cell r="AA41">
            <v>2539586.3200000003</v>
          </cell>
        </row>
        <row r="42">
          <cell r="A42" t="str">
            <v>93800</v>
          </cell>
          <cell r="B42">
            <v>572866.98</v>
          </cell>
          <cell r="C42">
            <v>1369316.31</v>
          </cell>
          <cell r="D42">
            <v>758405.56</v>
          </cell>
          <cell r="E42">
            <v>1106107.7</v>
          </cell>
          <cell r="F42">
            <v>638145.28000000003</v>
          </cell>
          <cell r="G42">
            <v>715703.27</v>
          </cell>
          <cell r="H42">
            <v>474723</v>
          </cell>
          <cell r="I42">
            <v>821912.5</v>
          </cell>
          <cell r="J42">
            <v>598235.06000000006</v>
          </cell>
          <cell r="O42" t="str">
            <v>93800</v>
          </cell>
          <cell r="P42">
            <v>572866.98</v>
          </cell>
          <cell r="Q42">
            <v>1942183.29</v>
          </cell>
          <cell r="R42">
            <v>2700588.85</v>
          </cell>
          <cell r="S42">
            <v>3806696.55</v>
          </cell>
          <cell r="T42">
            <v>4444841.83</v>
          </cell>
          <cell r="U42">
            <v>5160545.0999999996</v>
          </cell>
          <cell r="V42">
            <v>5635268.0999999996</v>
          </cell>
          <cell r="W42">
            <v>6457180.5999999996</v>
          </cell>
          <cell r="X42">
            <v>7055415.6600000001</v>
          </cell>
          <cell r="Y42">
            <v>7055415.6600000001</v>
          </cell>
          <cell r="Z42">
            <v>7055415.6600000001</v>
          </cell>
          <cell r="AA42">
            <v>7055415.6600000001</v>
          </cell>
        </row>
        <row r="43">
          <cell r="A43" t="str">
            <v>93850</v>
          </cell>
          <cell r="B43">
            <v>759733.8</v>
          </cell>
          <cell r="C43">
            <v>800381.13</v>
          </cell>
          <cell r="D43">
            <v>750862.33</v>
          </cell>
          <cell r="E43">
            <v>645342.57999999996</v>
          </cell>
          <cell r="F43">
            <v>740134.77</v>
          </cell>
          <cell r="G43">
            <v>622517.11</v>
          </cell>
          <cell r="H43">
            <v>602597.02</v>
          </cell>
          <cell r="I43">
            <v>633334.91</v>
          </cell>
          <cell r="J43">
            <v>553335.21</v>
          </cell>
          <cell r="O43" t="str">
            <v>93850</v>
          </cell>
          <cell r="P43">
            <v>759733.8</v>
          </cell>
          <cell r="Q43">
            <v>1560114.9300000002</v>
          </cell>
          <cell r="R43">
            <v>2310977.2600000002</v>
          </cell>
          <cell r="S43">
            <v>2956319.8400000003</v>
          </cell>
          <cell r="T43">
            <v>3696454.6100000003</v>
          </cell>
          <cell r="U43">
            <v>4318971.7200000007</v>
          </cell>
          <cell r="V43">
            <v>4921568.74</v>
          </cell>
          <cell r="W43">
            <v>5554903.6500000004</v>
          </cell>
          <cell r="X43">
            <v>6108238.8600000003</v>
          </cell>
          <cell r="Y43">
            <v>6108238.8600000003</v>
          </cell>
          <cell r="Z43">
            <v>6108238.8600000003</v>
          </cell>
          <cell r="AA43">
            <v>6108238.8600000003</v>
          </cell>
        </row>
        <row r="44">
          <cell r="A44" t="str">
            <v>93900</v>
          </cell>
          <cell r="B44">
            <v>197200.52</v>
          </cell>
          <cell r="C44">
            <v>149903.72</v>
          </cell>
          <cell r="D44">
            <v>139839.48000000001</v>
          </cell>
          <cell r="E44">
            <v>172218.21</v>
          </cell>
          <cell r="F44">
            <v>196478.18</v>
          </cell>
          <cell r="G44">
            <v>168157.74</v>
          </cell>
          <cell r="H44">
            <v>184461.13</v>
          </cell>
          <cell r="I44">
            <v>183368.55</v>
          </cell>
          <cell r="J44">
            <v>102828.86</v>
          </cell>
          <cell r="O44" t="str">
            <v>93900</v>
          </cell>
          <cell r="P44">
            <v>197200.52</v>
          </cell>
          <cell r="Q44">
            <v>347104.24</v>
          </cell>
          <cell r="R44">
            <v>486943.72</v>
          </cell>
          <cell r="S44">
            <v>659161.92999999993</v>
          </cell>
          <cell r="T44">
            <v>855640.10999999987</v>
          </cell>
          <cell r="U44">
            <v>1023797.8499999999</v>
          </cell>
          <cell r="V44">
            <v>1208258.98</v>
          </cell>
          <cell r="W44">
            <v>1391627.53</v>
          </cell>
          <cell r="X44">
            <v>1494456.3900000001</v>
          </cell>
          <cell r="Y44">
            <v>1494456.3900000001</v>
          </cell>
          <cell r="Z44">
            <v>1494456.3900000001</v>
          </cell>
          <cell r="AA44">
            <v>1494456.3900000001</v>
          </cell>
        </row>
        <row r="45">
          <cell r="A45" t="str">
            <v>93910</v>
          </cell>
          <cell r="B45">
            <v>463042.39</v>
          </cell>
          <cell r="C45">
            <v>739315.9</v>
          </cell>
          <cell r="D45">
            <v>624629.06000000006</v>
          </cell>
          <cell r="E45">
            <v>515284.52</v>
          </cell>
          <cell r="F45">
            <v>647018.17000000004</v>
          </cell>
          <cell r="G45">
            <v>701803.98</v>
          </cell>
          <cell r="H45">
            <v>607567.79</v>
          </cell>
          <cell r="I45">
            <v>596272.54</v>
          </cell>
          <cell r="J45">
            <v>510434.79</v>
          </cell>
          <cell r="O45" t="str">
            <v>93910</v>
          </cell>
          <cell r="P45">
            <v>463042.39</v>
          </cell>
          <cell r="Q45">
            <v>1202358.29</v>
          </cell>
          <cell r="R45">
            <v>1826987.35</v>
          </cell>
          <cell r="S45">
            <v>2342271.87</v>
          </cell>
          <cell r="T45">
            <v>2989290.04</v>
          </cell>
          <cell r="U45">
            <v>3691094.02</v>
          </cell>
          <cell r="V45">
            <v>4298661.8100000005</v>
          </cell>
          <cell r="W45">
            <v>4894934.3500000006</v>
          </cell>
          <cell r="X45">
            <v>5405369.1400000006</v>
          </cell>
          <cell r="Y45">
            <v>5405369.1400000006</v>
          </cell>
          <cell r="Z45">
            <v>5405369.1400000006</v>
          </cell>
          <cell r="AA45">
            <v>5405369.1400000006</v>
          </cell>
        </row>
        <row r="46">
          <cell r="A46" t="str">
            <v>93920</v>
          </cell>
          <cell r="B46">
            <v>1083120.26</v>
          </cell>
          <cell r="C46">
            <v>375386.28</v>
          </cell>
          <cell r="D46">
            <v>227947.08</v>
          </cell>
          <cell r="E46">
            <v>682570.17</v>
          </cell>
          <cell r="F46">
            <v>622381.71</v>
          </cell>
          <cell r="G46">
            <v>587426.86</v>
          </cell>
          <cell r="H46">
            <v>1097771.8500000001</v>
          </cell>
          <cell r="I46">
            <v>557018.4</v>
          </cell>
          <cell r="J46">
            <v>1241134.95</v>
          </cell>
          <cell r="O46" t="str">
            <v>93920</v>
          </cell>
          <cell r="P46">
            <v>1083120.26</v>
          </cell>
          <cell r="Q46">
            <v>1458506.54</v>
          </cell>
          <cell r="R46">
            <v>1686453.62</v>
          </cell>
          <cell r="S46">
            <v>2369023.79</v>
          </cell>
          <cell r="T46">
            <v>2991405.5</v>
          </cell>
          <cell r="U46">
            <v>3578832.36</v>
          </cell>
          <cell r="V46">
            <v>4676604.21</v>
          </cell>
          <cell r="W46">
            <v>5233622.6100000003</v>
          </cell>
          <cell r="X46">
            <v>6474757.5600000005</v>
          </cell>
          <cell r="Y46">
            <v>6474757.5600000005</v>
          </cell>
          <cell r="Z46">
            <v>6474757.5600000005</v>
          </cell>
          <cell r="AA46">
            <v>6474757.5600000005</v>
          </cell>
        </row>
        <row r="47">
          <cell r="A47" t="str">
            <v>93930</v>
          </cell>
          <cell r="B47">
            <v>503253.07</v>
          </cell>
          <cell r="C47">
            <v>649279.89</v>
          </cell>
          <cell r="D47">
            <v>173137.34</v>
          </cell>
          <cell r="E47">
            <v>723989.02</v>
          </cell>
          <cell r="F47">
            <v>392686.9</v>
          </cell>
          <cell r="G47">
            <v>581295.93999999994</v>
          </cell>
          <cell r="H47">
            <v>565798.24</v>
          </cell>
          <cell r="I47">
            <v>501445.91</v>
          </cell>
          <cell r="J47">
            <v>572687</v>
          </cell>
          <cell r="O47" t="str">
            <v>93930</v>
          </cell>
          <cell r="P47">
            <v>503253.07</v>
          </cell>
          <cell r="Q47">
            <v>1152532.96</v>
          </cell>
          <cell r="R47">
            <v>1325670.3</v>
          </cell>
          <cell r="S47">
            <v>2049659.32</v>
          </cell>
          <cell r="T47">
            <v>2442346.2200000002</v>
          </cell>
          <cell r="U47">
            <v>3023642.16</v>
          </cell>
          <cell r="V47">
            <v>3589440.4000000004</v>
          </cell>
          <cell r="W47">
            <v>4090886.3100000005</v>
          </cell>
          <cell r="X47">
            <v>4663573.3100000005</v>
          </cell>
          <cell r="Y47">
            <v>4663573.3100000005</v>
          </cell>
          <cell r="Z47">
            <v>4663573.3100000005</v>
          </cell>
          <cell r="AA47">
            <v>4663573.3100000005</v>
          </cell>
        </row>
        <row r="48">
          <cell r="A48" t="str">
            <v>93940</v>
          </cell>
          <cell r="B48">
            <v>252585.82</v>
          </cell>
          <cell r="C48">
            <v>411386.43</v>
          </cell>
          <cell r="D48">
            <v>258155.07</v>
          </cell>
          <cell r="E48">
            <v>292729.99</v>
          </cell>
          <cell r="F48">
            <v>345405.52</v>
          </cell>
          <cell r="G48">
            <v>333705.39</v>
          </cell>
          <cell r="H48">
            <v>274337.63</v>
          </cell>
          <cell r="I48">
            <v>295643.25</v>
          </cell>
          <cell r="J48">
            <v>308278.09000000003</v>
          </cell>
          <cell r="O48" t="str">
            <v>93940</v>
          </cell>
          <cell r="P48">
            <v>252585.82</v>
          </cell>
          <cell r="Q48">
            <v>663972.25</v>
          </cell>
          <cell r="R48">
            <v>922127.32000000007</v>
          </cell>
          <cell r="S48">
            <v>1214857.31</v>
          </cell>
          <cell r="T48">
            <v>1560262.83</v>
          </cell>
          <cell r="U48">
            <v>1893968.2200000002</v>
          </cell>
          <cell r="V48">
            <v>2168305.85</v>
          </cell>
          <cell r="W48">
            <v>2463949.1</v>
          </cell>
          <cell r="X48">
            <v>2772227.19</v>
          </cell>
          <cell r="Y48">
            <v>2772227.19</v>
          </cell>
          <cell r="Z48">
            <v>2772227.19</v>
          </cell>
          <cell r="AA48">
            <v>2772227.19</v>
          </cell>
        </row>
        <row r="49">
          <cell r="A49" t="str">
            <v>93950</v>
          </cell>
          <cell r="B49">
            <v>538864.72</v>
          </cell>
          <cell r="C49">
            <v>456766.91</v>
          </cell>
          <cell r="D49">
            <v>678204.88</v>
          </cell>
          <cell r="E49">
            <v>262510.24</v>
          </cell>
          <cell r="F49">
            <v>240521.89</v>
          </cell>
          <cell r="G49">
            <v>375490.56</v>
          </cell>
          <cell r="H49">
            <v>374488.03</v>
          </cell>
          <cell r="I49">
            <v>434291.88</v>
          </cell>
          <cell r="J49">
            <v>327398.58</v>
          </cell>
          <cell r="O49" t="str">
            <v>93950</v>
          </cell>
          <cell r="P49">
            <v>538864.72</v>
          </cell>
          <cell r="Q49">
            <v>995631.62999999989</v>
          </cell>
          <cell r="R49">
            <v>1673836.5099999998</v>
          </cell>
          <cell r="S49">
            <v>1936346.7499999998</v>
          </cell>
          <cell r="T49">
            <v>2176868.6399999997</v>
          </cell>
          <cell r="U49">
            <v>2552359.1999999997</v>
          </cell>
          <cell r="V49">
            <v>2926847.2299999995</v>
          </cell>
          <cell r="W49">
            <v>3361139.1099999994</v>
          </cell>
          <cell r="X49">
            <v>3688537.6899999995</v>
          </cell>
          <cell r="Y49">
            <v>3688537.6899999995</v>
          </cell>
          <cell r="Z49">
            <v>3688537.6899999995</v>
          </cell>
          <cell r="AA49">
            <v>3688537.6899999995</v>
          </cell>
        </row>
        <row r="50">
          <cell r="A50" t="str">
            <v>92345</v>
          </cell>
          <cell r="J50">
            <v>10595</v>
          </cell>
          <cell r="O50" t="str">
            <v>92345</v>
          </cell>
          <cell r="P50">
            <v>0</v>
          </cell>
          <cell r="Q50">
            <v>0</v>
          </cell>
          <cell r="R50">
            <v>0</v>
          </cell>
          <cell r="S50">
            <v>0</v>
          </cell>
          <cell r="T50">
            <v>0</v>
          </cell>
          <cell r="U50">
            <v>0</v>
          </cell>
          <cell r="V50">
            <v>0</v>
          </cell>
          <cell r="W50">
            <v>0</v>
          </cell>
          <cell r="X50">
            <v>10595</v>
          </cell>
          <cell r="Y50">
            <v>10595</v>
          </cell>
          <cell r="Z50">
            <v>10595</v>
          </cell>
          <cell r="AA50">
            <v>10595</v>
          </cell>
        </row>
        <row r="51">
          <cell r="A51" t="str">
            <v>92356</v>
          </cell>
          <cell r="I51">
            <v>2011.79</v>
          </cell>
          <cell r="J51">
            <v>-105.85</v>
          </cell>
          <cell r="O51" t="str">
            <v>92356</v>
          </cell>
          <cell r="P51">
            <v>0</v>
          </cell>
          <cell r="Q51">
            <v>0</v>
          </cell>
          <cell r="R51">
            <v>0</v>
          </cell>
          <cell r="S51">
            <v>0</v>
          </cell>
          <cell r="T51">
            <v>0</v>
          </cell>
          <cell r="U51">
            <v>0</v>
          </cell>
          <cell r="V51">
            <v>0</v>
          </cell>
          <cell r="W51">
            <v>2011.79</v>
          </cell>
          <cell r="X51">
            <v>1905.94</v>
          </cell>
          <cell r="Y51">
            <v>1905.94</v>
          </cell>
          <cell r="Z51">
            <v>1905.94</v>
          </cell>
          <cell r="AA51">
            <v>1905.94</v>
          </cell>
        </row>
        <row r="52">
          <cell r="A52" t="str">
            <v>92394</v>
          </cell>
          <cell r="J52">
            <v>2261.09</v>
          </cell>
          <cell r="O52" t="str">
            <v>92394</v>
          </cell>
          <cell r="P52">
            <v>0</v>
          </cell>
          <cell r="Q52">
            <v>0</v>
          </cell>
          <cell r="R52">
            <v>0</v>
          </cell>
          <cell r="S52">
            <v>0</v>
          </cell>
          <cell r="T52">
            <v>0</v>
          </cell>
          <cell r="U52">
            <v>0</v>
          </cell>
          <cell r="V52">
            <v>0</v>
          </cell>
          <cell r="W52">
            <v>0</v>
          </cell>
          <cell r="X52">
            <v>2261.09</v>
          </cell>
          <cell r="Y52">
            <v>2261.09</v>
          </cell>
          <cell r="Z52">
            <v>2261.09</v>
          </cell>
          <cell r="AA52">
            <v>2261.09</v>
          </cell>
        </row>
        <row r="53">
          <cell r="O53" t="str">
            <v>Totalt</v>
          </cell>
          <cell r="P53">
            <v>15158173.500000002</v>
          </cell>
          <cell r="Q53">
            <v>30240132.810000002</v>
          </cell>
          <cell r="R53">
            <v>44023400.440000005</v>
          </cell>
          <cell r="S53">
            <v>60007732.700000003</v>
          </cell>
          <cell r="T53">
            <v>74873996.210000008</v>
          </cell>
          <cell r="U53">
            <v>92908293.300000012</v>
          </cell>
          <cell r="V53">
            <v>107912361.93000001</v>
          </cell>
          <cell r="W53">
            <v>123948291.04000001</v>
          </cell>
          <cell r="X53">
            <v>143766527.56</v>
          </cell>
          <cell r="Y53">
            <v>143766527.56</v>
          </cell>
          <cell r="Z53">
            <v>143766527.56</v>
          </cell>
          <cell r="AA53">
            <v>143766527.56</v>
          </cell>
        </row>
        <row r="54">
          <cell r="O54">
            <v>0</v>
          </cell>
          <cell r="P54">
            <v>0</v>
          </cell>
          <cell r="Q54">
            <v>0</v>
          </cell>
          <cell r="R54">
            <v>0</v>
          </cell>
          <cell r="S54">
            <v>0</v>
          </cell>
          <cell r="T54">
            <v>0</v>
          </cell>
          <cell r="U54">
            <v>0</v>
          </cell>
          <cell r="V54">
            <v>0</v>
          </cell>
          <cell r="W54">
            <v>0</v>
          </cell>
          <cell r="X54">
            <v>0</v>
          </cell>
          <cell r="Y54">
            <v>0</v>
          </cell>
          <cell r="Z54">
            <v>0</v>
          </cell>
          <cell r="AA54">
            <v>0</v>
          </cell>
        </row>
        <row r="55">
          <cell r="O55">
            <v>0</v>
          </cell>
          <cell r="P55">
            <v>0</v>
          </cell>
          <cell r="Q55">
            <v>0</v>
          </cell>
          <cell r="R55">
            <v>0</v>
          </cell>
          <cell r="S55">
            <v>0</v>
          </cell>
          <cell r="T55">
            <v>0</v>
          </cell>
          <cell r="U55">
            <v>0</v>
          </cell>
          <cell r="V55">
            <v>0</v>
          </cell>
          <cell r="W55">
            <v>0</v>
          </cell>
          <cell r="X55">
            <v>0</v>
          </cell>
          <cell r="Y55">
            <v>0</v>
          </cell>
          <cell r="Z55">
            <v>0</v>
          </cell>
          <cell r="AA55">
            <v>0</v>
          </cell>
        </row>
        <row r="56">
          <cell r="O56">
            <v>0</v>
          </cell>
          <cell r="P56">
            <v>0</v>
          </cell>
          <cell r="Q56">
            <v>0</v>
          </cell>
          <cell r="R56">
            <v>0</v>
          </cell>
          <cell r="S56">
            <v>0</v>
          </cell>
          <cell r="T56">
            <v>0</v>
          </cell>
          <cell r="U56">
            <v>0</v>
          </cell>
          <cell r="V56">
            <v>0</v>
          </cell>
          <cell r="W56">
            <v>0</v>
          </cell>
          <cell r="X56">
            <v>0</v>
          </cell>
          <cell r="Y56">
            <v>0</v>
          </cell>
          <cell r="Z56">
            <v>0</v>
          </cell>
          <cell r="AA56">
            <v>0</v>
          </cell>
        </row>
        <row r="57">
          <cell r="O57">
            <v>0</v>
          </cell>
          <cell r="P57">
            <v>0</v>
          </cell>
          <cell r="Q57">
            <v>0</v>
          </cell>
          <cell r="R57">
            <v>0</v>
          </cell>
          <cell r="S57">
            <v>0</v>
          </cell>
          <cell r="T57">
            <v>0</v>
          </cell>
          <cell r="U57">
            <v>0</v>
          </cell>
          <cell r="V57">
            <v>0</v>
          </cell>
          <cell r="W57">
            <v>0</v>
          </cell>
          <cell r="X57">
            <v>0</v>
          </cell>
          <cell r="Y57">
            <v>0</v>
          </cell>
          <cell r="Z57">
            <v>0</v>
          </cell>
          <cell r="AA57">
            <v>0</v>
          </cell>
        </row>
        <row r="58">
          <cell r="O58">
            <v>0</v>
          </cell>
          <cell r="P58">
            <v>0</v>
          </cell>
          <cell r="Q58">
            <v>0</v>
          </cell>
          <cell r="R58">
            <v>0</v>
          </cell>
          <cell r="S58">
            <v>0</v>
          </cell>
          <cell r="T58">
            <v>0</v>
          </cell>
          <cell r="U58">
            <v>0</v>
          </cell>
          <cell r="V58">
            <v>0</v>
          </cell>
          <cell r="W58">
            <v>0</v>
          </cell>
          <cell r="X58">
            <v>0</v>
          </cell>
          <cell r="Y58">
            <v>0</v>
          </cell>
          <cell r="Z58">
            <v>0</v>
          </cell>
          <cell r="AA58">
            <v>0</v>
          </cell>
        </row>
        <row r="59">
          <cell r="O59">
            <v>0</v>
          </cell>
          <cell r="P59">
            <v>0</v>
          </cell>
          <cell r="Q59">
            <v>0</v>
          </cell>
          <cell r="R59">
            <v>0</v>
          </cell>
          <cell r="S59">
            <v>0</v>
          </cell>
          <cell r="T59">
            <v>0</v>
          </cell>
          <cell r="U59">
            <v>0</v>
          </cell>
          <cell r="V59">
            <v>0</v>
          </cell>
          <cell r="W59">
            <v>0</v>
          </cell>
          <cell r="X59">
            <v>0</v>
          </cell>
          <cell r="Y59">
            <v>0</v>
          </cell>
          <cell r="Z59">
            <v>0</v>
          </cell>
          <cell r="AA59">
            <v>0</v>
          </cell>
        </row>
      </sheetData>
      <sheetData sheetId="12">
        <row r="8">
          <cell r="O8">
            <v>0</v>
          </cell>
          <cell r="P8">
            <v>-3253058.74</v>
          </cell>
          <cell r="Q8">
            <v>-6804979.9000000004</v>
          </cell>
          <cell r="R8">
            <v>-5587279.3100000005</v>
          </cell>
          <cell r="S8">
            <v>-4555082.0100000007</v>
          </cell>
          <cell r="T8">
            <v>-4029511.3200000008</v>
          </cell>
          <cell r="U8">
            <v>-1975689.6800000009</v>
          </cell>
          <cell r="V8">
            <v>-1862725.9000000008</v>
          </cell>
          <cell r="W8">
            <v>-801891.48000000091</v>
          </cell>
          <cell r="X8">
            <v>-226879.35000000149</v>
          </cell>
          <cell r="Y8">
            <v>-226879.35000000149</v>
          </cell>
          <cell r="Z8">
            <v>-226879.35000000149</v>
          </cell>
          <cell r="AA8">
            <v>-226879.35000000149</v>
          </cell>
        </row>
        <row r="9">
          <cell r="A9" t="str">
            <v>1000</v>
          </cell>
          <cell r="C9">
            <v>10734.55</v>
          </cell>
          <cell r="D9">
            <v>99372.68</v>
          </cell>
          <cell r="E9">
            <v>105783.9</v>
          </cell>
          <cell r="F9">
            <v>1945.82</v>
          </cell>
          <cell r="G9">
            <v>105987.06</v>
          </cell>
          <cell r="H9">
            <v>310557.03000000003</v>
          </cell>
          <cell r="I9">
            <v>30048.79</v>
          </cell>
          <cell r="J9">
            <v>69861.3</v>
          </cell>
          <cell r="O9" t="str">
            <v>1000</v>
          </cell>
          <cell r="P9">
            <v>0</v>
          </cell>
          <cell r="Q9">
            <v>10734.55</v>
          </cell>
          <cell r="R9">
            <v>110107.23</v>
          </cell>
          <cell r="S9">
            <v>215891.13</v>
          </cell>
          <cell r="T9">
            <v>217836.95</v>
          </cell>
          <cell r="U9">
            <v>323824.01</v>
          </cell>
          <cell r="V9">
            <v>634381.04</v>
          </cell>
          <cell r="W9">
            <v>664429.83000000007</v>
          </cell>
          <cell r="X9">
            <v>734291.13000000012</v>
          </cell>
          <cell r="Y9">
            <v>734291.13000000012</v>
          </cell>
          <cell r="Z9">
            <v>734291.13000000012</v>
          </cell>
          <cell r="AA9">
            <v>734291.13000000012</v>
          </cell>
        </row>
        <row r="10">
          <cell r="A10" t="str">
            <v>1001</v>
          </cell>
          <cell r="C10">
            <v>783</v>
          </cell>
          <cell r="D10">
            <v>13757.66</v>
          </cell>
          <cell r="E10">
            <v>980.31</v>
          </cell>
          <cell r="G10">
            <v>6624.6</v>
          </cell>
          <cell r="H10">
            <v>9402.5</v>
          </cell>
          <cell r="J10">
            <v>4466.13</v>
          </cell>
          <cell r="O10" t="str">
            <v>1001</v>
          </cell>
          <cell r="P10">
            <v>0</v>
          </cell>
          <cell r="Q10">
            <v>783</v>
          </cell>
          <cell r="R10">
            <v>14540.66</v>
          </cell>
          <cell r="S10">
            <v>15520.97</v>
          </cell>
          <cell r="T10">
            <v>15520.97</v>
          </cell>
          <cell r="U10">
            <v>22145.57</v>
          </cell>
          <cell r="V10">
            <v>31548.07</v>
          </cell>
          <cell r="W10">
            <v>31548.07</v>
          </cell>
          <cell r="X10">
            <v>36014.199999999997</v>
          </cell>
          <cell r="Y10">
            <v>36014.199999999997</v>
          </cell>
          <cell r="Z10">
            <v>36014.199999999997</v>
          </cell>
          <cell r="AA10">
            <v>36014.199999999997</v>
          </cell>
        </row>
        <row r="11">
          <cell r="A11" t="str">
            <v>1003</v>
          </cell>
          <cell r="B11">
            <v>7252.82</v>
          </cell>
          <cell r="C11">
            <v>11719.36</v>
          </cell>
          <cell r="H11">
            <v>16566.939999999999</v>
          </cell>
          <cell r="O11" t="str">
            <v>1003</v>
          </cell>
          <cell r="P11">
            <v>7252.82</v>
          </cell>
          <cell r="Q11">
            <v>18972.18</v>
          </cell>
          <cell r="R11">
            <v>18972.18</v>
          </cell>
          <cell r="S11">
            <v>18972.18</v>
          </cell>
          <cell r="T11">
            <v>18972.18</v>
          </cell>
          <cell r="U11">
            <v>18972.18</v>
          </cell>
          <cell r="V11">
            <v>35539.119999999995</v>
          </cell>
          <cell r="W11">
            <v>35539.119999999995</v>
          </cell>
          <cell r="X11">
            <v>35539.119999999995</v>
          </cell>
          <cell r="Y11">
            <v>35539.119999999995</v>
          </cell>
          <cell r="Z11">
            <v>35539.119999999995</v>
          </cell>
          <cell r="AA11">
            <v>35539.119999999995</v>
          </cell>
        </row>
        <row r="12">
          <cell r="A12" t="str">
            <v>1004</v>
          </cell>
          <cell r="B12">
            <v>125256.69</v>
          </cell>
          <cell r="C12">
            <v>152568.29</v>
          </cell>
          <cell r="D12">
            <v>254694.15</v>
          </cell>
          <cell r="E12">
            <v>255796.06</v>
          </cell>
          <cell r="F12">
            <v>373843.05</v>
          </cell>
          <cell r="G12">
            <v>218222.04</v>
          </cell>
          <cell r="H12">
            <v>193944.73</v>
          </cell>
          <cell r="I12">
            <v>230540.95</v>
          </cell>
          <cell r="J12">
            <v>231949.71</v>
          </cell>
          <cell r="O12" t="str">
            <v>1004</v>
          </cell>
          <cell r="P12">
            <v>125256.69</v>
          </cell>
          <cell r="Q12">
            <v>277824.98</v>
          </cell>
          <cell r="R12">
            <v>532519.13</v>
          </cell>
          <cell r="S12">
            <v>788315.19</v>
          </cell>
          <cell r="T12">
            <v>1162158.24</v>
          </cell>
          <cell r="U12">
            <v>1380380.28</v>
          </cell>
          <cell r="V12">
            <v>1574325.01</v>
          </cell>
          <cell r="W12">
            <v>1804865.96</v>
          </cell>
          <cell r="X12">
            <v>2036815.67</v>
          </cell>
          <cell r="Y12">
            <v>2036815.67</v>
          </cell>
          <cell r="Z12">
            <v>2036815.67</v>
          </cell>
          <cell r="AA12">
            <v>2036815.67</v>
          </cell>
        </row>
        <row r="13">
          <cell r="A13" t="str">
            <v>1005</v>
          </cell>
          <cell r="C13">
            <v>70422.179999999993</v>
          </cell>
          <cell r="E13">
            <v>0</v>
          </cell>
          <cell r="O13" t="str">
            <v>1005</v>
          </cell>
          <cell r="P13">
            <v>0</v>
          </cell>
          <cell r="Q13">
            <v>70422.179999999993</v>
          </cell>
          <cell r="R13">
            <v>70422.179999999993</v>
          </cell>
          <cell r="S13">
            <v>70422.179999999993</v>
          </cell>
          <cell r="T13">
            <v>70422.179999999993</v>
          </cell>
          <cell r="U13">
            <v>70422.179999999993</v>
          </cell>
          <cell r="V13">
            <v>70422.179999999993</v>
          </cell>
          <cell r="W13">
            <v>70422.179999999993</v>
          </cell>
          <cell r="X13">
            <v>70422.179999999993</v>
          </cell>
          <cell r="Y13">
            <v>70422.179999999993</v>
          </cell>
          <cell r="Z13">
            <v>70422.179999999993</v>
          </cell>
          <cell r="AA13">
            <v>70422.179999999993</v>
          </cell>
        </row>
        <row r="14">
          <cell r="A14" t="str">
            <v>1006</v>
          </cell>
          <cell r="B14">
            <v>125329.58</v>
          </cell>
          <cell r="C14">
            <v>72683.47</v>
          </cell>
          <cell r="D14">
            <v>2657.66</v>
          </cell>
          <cell r="E14">
            <v>97391.8</v>
          </cell>
          <cell r="F14">
            <v>32741.93</v>
          </cell>
          <cell r="G14">
            <v>79330.53</v>
          </cell>
          <cell r="H14">
            <v>96612.89</v>
          </cell>
          <cell r="I14">
            <v>9633.06</v>
          </cell>
          <cell r="J14">
            <v>50100.41</v>
          </cell>
          <cell r="O14" t="str">
            <v>1006</v>
          </cell>
          <cell r="P14">
            <v>125329.58</v>
          </cell>
          <cell r="Q14">
            <v>198013.05</v>
          </cell>
          <cell r="R14">
            <v>200670.71</v>
          </cell>
          <cell r="S14">
            <v>298062.51</v>
          </cell>
          <cell r="T14">
            <v>330804.44</v>
          </cell>
          <cell r="U14">
            <v>410134.97</v>
          </cell>
          <cell r="V14">
            <v>506747.86</v>
          </cell>
          <cell r="W14">
            <v>516380.92</v>
          </cell>
          <cell r="X14">
            <v>566481.32999999996</v>
          </cell>
          <cell r="Y14">
            <v>566481.32999999996</v>
          </cell>
          <cell r="Z14">
            <v>566481.32999999996</v>
          </cell>
          <cell r="AA14">
            <v>566481.32999999996</v>
          </cell>
        </row>
        <row r="15">
          <cell r="A15" t="str">
            <v>1007</v>
          </cell>
          <cell r="C15">
            <v>93265.33</v>
          </cell>
          <cell r="D15">
            <v>104084.64</v>
          </cell>
          <cell r="F15">
            <v>67436.7</v>
          </cell>
          <cell r="H15">
            <v>6677.42</v>
          </cell>
          <cell r="J15">
            <v>71000.009999999995</v>
          </cell>
          <cell r="O15" t="str">
            <v>1007</v>
          </cell>
          <cell r="P15">
            <v>0</v>
          </cell>
          <cell r="Q15">
            <v>93265.33</v>
          </cell>
          <cell r="R15">
            <v>197349.97</v>
          </cell>
          <cell r="S15">
            <v>197349.97</v>
          </cell>
          <cell r="T15">
            <v>264786.67</v>
          </cell>
          <cell r="U15">
            <v>264786.67</v>
          </cell>
          <cell r="V15">
            <v>271464.08999999997</v>
          </cell>
          <cell r="W15">
            <v>271464.08999999997</v>
          </cell>
          <cell r="X15">
            <v>342464.1</v>
          </cell>
          <cell r="Y15">
            <v>342464.1</v>
          </cell>
          <cell r="Z15">
            <v>342464.1</v>
          </cell>
          <cell r="AA15">
            <v>342464.1</v>
          </cell>
        </row>
        <row r="16">
          <cell r="A16" t="str">
            <v>1008</v>
          </cell>
          <cell r="B16">
            <v>65075.49</v>
          </cell>
          <cell r="C16">
            <v>4339.5200000000004</v>
          </cell>
          <cell r="D16">
            <v>1577.82</v>
          </cell>
          <cell r="E16">
            <v>20674.13</v>
          </cell>
          <cell r="F16">
            <v>433.87</v>
          </cell>
          <cell r="G16">
            <v>1880.24</v>
          </cell>
          <cell r="H16">
            <v>51478.720000000001</v>
          </cell>
          <cell r="J16">
            <v>1446.37</v>
          </cell>
          <cell r="O16" t="str">
            <v>1008</v>
          </cell>
          <cell r="P16">
            <v>65075.49</v>
          </cell>
          <cell r="Q16">
            <v>69415.009999999995</v>
          </cell>
          <cell r="R16">
            <v>70992.83</v>
          </cell>
          <cell r="S16">
            <v>91666.96</v>
          </cell>
          <cell r="T16">
            <v>92100.83</v>
          </cell>
          <cell r="U16">
            <v>93981.07</v>
          </cell>
          <cell r="V16">
            <v>145459.79</v>
          </cell>
          <cell r="W16">
            <v>145459.79</v>
          </cell>
          <cell r="X16">
            <v>146906.16</v>
          </cell>
          <cell r="Y16">
            <v>146906.16</v>
          </cell>
          <cell r="Z16">
            <v>146906.16</v>
          </cell>
          <cell r="AA16">
            <v>146906.16</v>
          </cell>
        </row>
        <row r="17">
          <cell r="A17" t="str">
            <v>1012</v>
          </cell>
          <cell r="B17">
            <v>43359.92</v>
          </cell>
          <cell r="C17">
            <v>1703.22</v>
          </cell>
          <cell r="D17">
            <v>1883.87</v>
          </cell>
          <cell r="F17">
            <v>570.53</v>
          </cell>
          <cell r="H17">
            <v>465.56</v>
          </cell>
          <cell r="O17" t="str">
            <v>1012</v>
          </cell>
          <cell r="P17">
            <v>43359.92</v>
          </cell>
          <cell r="Q17">
            <v>45063.14</v>
          </cell>
          <cell r="R17">
            <v>46947.01</v>
          </cell>
          <cell r="S17">
            <v>46947.01</v>
          </cell>
          <cell r="T17">
            <v>47517.54</v>
          </cell>
          <cell r="U17">
            <v>47517.54</v>
          </cell>
          <cell r="V17">
            <v>47983.1</v>
          </cell>
          <cell r="W17">
            <v>47983.1</v>
          </cell>
          <cell r="X17">
            <v>47983.1</v>
          </cell>
          <cell r="Y17">
            <v>47983.1</v>
          </cell>
          <cell r="Z17">
            <v>47983.1</v>
          </cell>
          <cell r="AA17">
            <v>47983.1</v>
          </cell>
        </row>
        <row r="18">
          <cell r="A18" t="str">
            <v>1013</v>
          </cell>
          <cell r="C18">
            <v>3800</v>
          </cell>
          <cell r="D18">
            <v>10462.9</v>
          </cell>
          <cell r="E18">
            <v>13703.63</v>
          </cell>
          <cell r="F18">
            <v>13165.73</v>
          </cell>
          <cell r="G18">
            <v>3600</v>
          </cell>
          <cell r="H18">
            <v>1923.79</v>
          </cell>
          <cell r="O18" t="str">
            <v>1013</v>
          </cell>
          <cell r="P18">
            <v>0</v>
          </cell>
          <cell r="Q18">
            <v>3800</v>
          </cell>
          <cell r="R18">
            <v>14262.9</v>
          </cell>
          <cell r="S18">
            <v>27966.53</v>
          </cell>
          <cell r="T18">
            <v>41132.259999999995</v>
          </cell>
          <cell r="U18">
            <v>44732.259999999995</v>
          </cell>
          <cell r="V18">
            <v>46656.049999999996</v>
          </cell>
          <cell r="W18">
            <v>46656.049999999996</v>
          </cell>
          <cell r="X18">
            <v>46656.049999999996</v>
          </cell>
          <cell r="Y18">
            <v>46656.049999999996</v>
          </cell>
          <cell r="Z18">
            <v>46656.049999999996</v>
          </cell>
          <cell r="AA18">
            <v>46656.049999999996</v>
          </cell>
        </row>
        <row r="19">
          <cell r="A19" t="str">
            <v>1016</v>
          </cell>
          <cell r="D19">
            <v>3514.5</v>
          </cell>
          <cell r="O19" t="str">
            <v>1016</v>
          </cell>
          <cell r="P19">
            <v>0</v>
          </cell>
          <cell r="Q19">
            <v>0</v>
          </cell>
          <cell r="R19">
            <v>3514.5</v>
          </cell>
          <cell r="S19">
            <v>3514.5</v>
          </cell>
          <cell r="T19">
            <v>3514.5</v>
          </cell>
          <cell r="U19">
            <v>3514.5</v>
          </cell>
          <cell r="V19">
            <v>3514.5</v>
          </cell>
          <cell r="W19">
            <v>3514.5</v>
          </cell>
          <cell r="X19">
            <v>3514.5</v>
          </cell>
          <cell r="Y19">
            <v>3514.5</v>
          </cell>
          <cell r="Z19">
            <v>3514.5</v>
          </cell>
          <cell r="AA19">
            <v>3514.5</v>
          </cell>
        </row>
        <row r="20">
          <cell r="A20" t="str">
            <v>1017</v>
          </cell>
          <cell r="C20">
            <v>240346.37</v>
          </cell>
          <cell r="D20">
            <v>5232.26</v>
          </cell>
          <cell r="F20">
            <v>4409.68</v>
          </cell>
          <cell r="G20">
            <v>54895.97</v>
          </cell>
          <cell r="H20">
            <v>79080</v>
          </cell>
          <cell r="I20">
            <v>8561.69</v>
          </cell>
          <cell r="J20">
            <v>55701.61</v>
          </cell>
          <cell r="O20" t="str">
            <v>1017</v>
          </cell>
          <cell r="P20">
            <v>0</v>
          </cell>
          <cell r="Q20">
            <v>240346.37</v>
          </cell>
          <cell r="R20">
            <v>245578.63</v>
          </cell>
          <cell r="S20">
            <v>245578.63</v>
          </cell>
          <cell r="T20">
            <v>249988.31</v>
          </cell>
          <cell r="U20">
            <v>304884.28000000003</v>
          </cell>
          <cell r="V20">
            <v>383964.28</v>
          </cell>
          <cell r="W20">
            <v>392525.97000000003</v>
          </cell>
          <cell r="X20">
            <v>448227.58</v>
          </cell>
          <cell r="Y20">
            <v>448227.58</v>
          </cell>
          <cell r="Z20">
            <v>448227.58</v>
          </cell>
          <cell r="AA20">
            <v>448227.58</v>
          </cell>
        </row>
        <row r="21">
          <cell r="A21" t="str">
            <v>1020</v>
          </cell>
          <cell r="F21">
            <v>8747.98</v>
          </cell>
          <cell r="O21" t="str">
            <v>1020</v>
          </cell>
          <cell r="P21">
            <v>0</v>
          </cell>
          <cell r="Q21">
            <v>0</v>
          </cell>
          <cell r="R21">
            <v>0</v>
          </cell>
          <cell r="S21">
            <v>0</v>
          </cell>
          <cell r="T21">
            <v>8747.98</v>
          </cell>
          <cell r="U21">
            <v>8747.98</v>
          </cell>
          <cell r="V21">
            <v>8747.98</v>
          </cell>
          <cell r="W21">
            <v>8747.98</v>
          </cell>
          <cell r="X21">
            <v>8747.98</v>
          </cell>
          <cell r="Y21">
            <v>8747.98</v>
          </cell>
          <cell r="Z21">
            <v>8747.98</v>
          </cell>
          <cell r="AA21">
            <v>8747.98</v>
          </cell>
        </row>
        <row r="22">
          <cell r="A22" t="str">
            <v>1023</v>
          </cell>
          <cell r="B22">
            <v>186060.88</v>
          </cell>
          <cell r="C22">
            <v>273755.46999999997</v>
          </cell>
          <cell r="D22">
            <v>146726.29</v>
          </cell>
          <cell r="E22">
            <v>13760.05</v>
          </cell>
          <cell r="F22">
            <v>92150</v>
          </cell>
          <cell r="O22" t="str">
            <v>1023</v>
          </cell>
          <cell r="P22">
            <v>186060.88</v>
          </cell>
          <cell r="Q22">
            <v>459816.35</v>
          </cell>
          <cell r="R22">
            <v>606542.64</v>
          </cell>
          <cell r="S22">
            <v>620302.69000000006</v>
          </cell>
          <cell r="T22">
            <v>712452.69000000006</v>
          </cell>
          <cell r="U22">
            <v>712452.69000000006</v>
          </cell>
          <cell r="V22">
            <v>712452.69000000006</v>
          </cell>
          <cell r="W22">
            <v>712452.69000000006</v>
          </cell>
          <cell r="X22">
            <v>712452.69000000006</v>
          </cell>
          <cell r="Y22">
            <v>712452.69000000006</v>
          </cell>
          <cell r="Z22">
            <v>712452.69000000006</v>
          </cell>
          <cell r="AA22">
            <v>712452.69000000006</v>
          </cell>
        </row>
        <row r="23">
          <cell r="A23" t="str">
            <v>1026</v>
          </cell>
          <cell r="B23">
            <v>62901.73</v>
          </cell>
          <cell r="C23">
            <v>38014.53</v>
          </cell>
          <cell r="D23">
            <v>34565.15</v>
          </cell>
          <cell r="E23">
            <v>81638.86</v>
          </cell>
          <cell r="F23">
            <v>2472.1799999999998</v>
          </cell>
          <cell r="G23">
            <v>7131.05</v>
          </cell>
          <cell r="H23">
            <v>35044.94</v>
          </cell>
          <cell r="I23">
            <v>32319.35</v>
          </cell>
          <cell r="J23">
            <v>5726.61</v>
          </cell>
          <cell r="O23" t="str">
            <v>1026</v>
          </cell>
          <cell r="P23">
            <v>62901.73</v>
          </cell>
          <cell r="Q23">
            <v>100916.26000000001</v>
          </cell>
          <cell r="R23">
            <v>135481.41</v>
          </cell>
          <cell r="S23">
            <v>217120.27000000002</v>
          </cell>
          <cell r="T23">
            <v>219592.45</v>
          </cell>
          <cell r="U23">
            <v>226723.5</v>
          </cell>
          <cell r="V23">
            <v>261768.44</v>
          </cell>
          <cell r="W23">
            <v>294087.78999999998</v>
          </cell>
          <cell r="X23">
            <v>299814.39999999997</v>
          </cell>
          <cell r="Y23">
            <v>299814.39999999997</v>
          </cell>
          <cell r="Z23">
            <v>299814.39999999997</v>
          </cell>
          <cell r="AA23">
            <v>299814.39999999997</v>
          </cell>
        </row>
        <row r="24">
          <cell r="A24" t="str">
            <v>1027</v>
          </cell>
          <cell r="B24">
            <v>695086.45</v>
          </cell>
          <cell r="C24">
            <v>115326.13</v>
          </cell>
          <cell r="D24">
            <v>760261.6</v>
          </cell>
          <cell r="E24">
            <v>297089.65000000002</v>
          </cell>
          <cell r="F24">
            <v>326701.17</v>
          </cell>
          <cell r="G24">
            <v>232835.29</v>
          </cell>
          <cell r="H24">
            <v>484816.37</v>
          </cell>
          <cell r="I24">
            <v>9011.7799999999897</v>
          </cell>
          <cell r="J24">
            <v>300199.38</v>
          </cell>
          <cell r="O24" t="str">
            <v>1027</v>
          </cell>
          <cell r="P24">
            <v>695086.45</v>
          </cell>
          <cell r="Q24">
            <v>810412.58</v>
          </cell>
          <cell r="R24">
            <v>1570674.18</v>
          </cell>
          <cell r="S24">
            <v>1867763.83</v>
          </cell>
          <cell r="T24">
            <v>2194465</v>
          </cell>
          <cell r="U24">
            <v>2427300.29</v>
          </cell>
          <cell r="V24">
            <v>2912116.66</v>
          </cell>
          <cell r="W24">
            <v>2921128.44</v>
          </cell>
          <cell r="X24">
            <v>3221327.82</v>
          </cell>
          <cell r="Y24">
            <v>3221327.82</v>
          </cell>
          <cell r="Z24">
            <v>3221327.82</v>
          </cell>
          <cell r="AA24">
            <v>3221327.82</v>
          </cell>
        </row>
        <row r="25">
          <cell r="A25" t="str">
            <v>1029</v>
          </cell>
          <cell r="B25">
            <v>376376.57</v>
          </cell>
          <cell r="C25">
            <v>576810.86</v>
          </cell>
          <cell r="D25">
            <v>461804.34</v>
          </cell>
          <cell r="E25">
            <v>420383.84</v>
          </cell>
          <cell r="F25">
            <v>451789.49</v>
          </cell>
          <cell r="G25">
            <v>613153.30000000005</v>
          </cell>
          <cell r="H25">
            <v>328829.34000000003</v>
          </cell>
          <cell r="I25">
            <v>473806.46</v>
          </cell>
          <cell r="J25">
            <v>330743.55</v>
          </cell>
          <cell r="O25" t="str">
            <v>1029</v>
          </cell>
          <cell r="P25">
            <v>376376.57</v>
          </cell>
          <cell r="Q25">
            <v>953187.42999999993</v>
          </cell>
          <cell r="R25">
            <v>1414991.77</v>
          </cell>
          <cell r="S25">
            <v>1835375.61</v>
          </cell>
          <cell r="T25">
            <v>2287165.1</v>
          </cell>
          <cell r="U25">
            <v>2900318.4000000004</v>
          </cell>
          <cell r="V25">
            <v>3229147.74</v>
          </cell>
          <cell r="W25">
            <v>3702954.2</v>
          </cell>
          <cell r="X25">
            <v>4033697.75</v>
          </cell>
          <cell r="Y25">
            <v>4033697.75</v>
          </cell>
          <cell r="Z25">
            <v>4033697.75</v>
          </cell>
          <cell r="AA25">
            <v>4033697.75</v>
          </cell>
        </row>
        <row r="26">
          <cell r="A26" t="str">
            <v>1032</v>
          </cell>
          <cell r="C26">
            <v>14815</v>
          </cell>
          <cell r="D26">
            <v>2037.9</v>
          </cell>
          <cell r="E26">
            <v>2037.9</v>
          </cell>
          <cell r="F26">
            <v>2037.9</v>
          </cell>
          <cell r="G26">
            <v>2037.9</v>
          </cell>
          <cell r="H26">
            <v>61294.35</v>
          </cell>
          <cell r="I26">
            <v>6113.71</v>
          </cell>
          <cell r="O26" t="str">
            <v>1032</v>
          </cell>
          <cell r="P26">
            <v>0</v>
          </cell>
          <cell r="Q26">
            <v>14815</v>
          </cell>
          <cell r="R26">
            <v>16852.900000000001</v>
          </cell>
          <cell r="S26">
            <v>18890.800000000003</v>
          </cell>
          <cell r="T26">
            <v>20928.700000000004</v>
          </cell>
          <cell r="U26">
            <v>22966.600000000006</v>
          </cell>
          <cell r="V26">
            <v>84260.950000000012</v>
          </cell>
          <cell r="W26">
            <v>90374.660000000018</v>
          </cell>
          <cell r="X26">
            <v>90374.660000000018</v>
          </cell>
          <cell r="Y26">
            <v>90374.660000000018</v>
          </cell>
          <cell r="Z26">
            <v>90374.660000000018</v>
          </cell>
          <cell r="AA26">
            <v>90374.660000000018</v>
          </cell>
        </row>
        <row r="27">
          <cell r="A27" t="str">
            <v>1033</v>
          </cell>
          <cell r="C27">
            <v>5635.5</v>
          </cell>
          <cell r="E27">
            <v>10967.04</v>
          </cell>
          <cell r="G27">
            <v>5369.89</v>
          </cell>
          <cell r="H27">
            <v>3882.51</v>
          </cell>
          <cell r="J27">
            <v>660.98</v>
          </cell>
          <cell r="O27" t="str">
            <v>1033</v>
          </cell>
          <cell r="P27">
            <v>0</v>
          </cell>
          <cell r="Q27">
            <v>5635.5</v>
          </cell>
          <cell r="R27">
            <v>5635.5</v>
          </cell>
          <cell r="S27">
            <v>16602.54</v>
          </cell>
          <cell r="T27">
            <v>16602.54</v>
          </cell>
          <cell r="U27">
            <v>21972.43</v>
          </cell>
          <cell r="V27">
            <v>25854.940000000002</v>
          </cell>
          <cell r="W27">
            <v>25854.940000000002</v>
          </cell>
          <cell r="X27">
            <v>26515.920000000002</v>
          </cell>
          <cell r="Y27">
            <v>26515.920000000002</v>
          </cell>
          <cell r="Z27">
            <v>26515.920000000002</v>
          </cell>
          <cell r="AA27">
            <v>26515.920000000002</v>
          </cell>
        </row>
        <row r="28">
          <cell r="A28" t="str">
            <v>1035</v>
          </cell>
          <cell r="D28">
            <v>74637</v>
          </cell>
          <cell r="O28" t="str">
            <v>1035</v>
          </cell>
          <cell r="P28">
            <v>0</v>
          </cell>
          <cell r="Q28">
            <v>0</v>
          </cell>
          <cell r="R28">
            <v>74637</v>
          </cell>
          <cell r="S28">
            <v>74637</v>
          </cell>
          <cell r="T28">
            <v>74637</v>
          </cell>
          <cell r="U28">
            <v>74637</v>
          </cell>
          <cell r="V28">
            <v>74637</v>
          </cell>
          <cell r="W28">
            <v>74637</v>
          </cell>
          <cell r="X28">
            <v>74637</v>
          </cell>
          <cell r="Y28">
            <v>74637</v>
          </cell>
          <cell r="Z28">
            <v>74637</v>
          </cell>
          <cell r="AA28">
            <v>74637</v>
          </cell>
        </row>
        <row r="29">
          <cell r="A29" t="str">
            <v>1036</v>
          </cell>
          <cell r="D29">
            <v>36366.379999999997</v>
          </cell>
          <cell r="O29" t="str">
            <v>1036</v>
          </cell>
          <cell r="P29">
            <v>0</v>
          </cell>
          <cell r="Q29">
            <v>0</v>
          </cell>
          <cell r="R29">
            <v>36366.379999999997</v>
          </cell>
          <cell r="S29">
            <v>36366.379999999997</v>
          </cell>
          <cell r="T29">
            <v>36366.379999999997</v>
          </cell>
          <cell r="U29">
            <v>36366.379999999997</v>
          </cell>
          <cell r="V29">
            <v>36366.379999999997</v>
          </cell>
          <cell r="W29">
            <v>36366.379999999997</v>
          </cell>
          <cell r="X29">
            <v>36366.379999999997</v>
          </cell>
          <cell r="Y29">
            <v>36366.379999999997</v>
          </cell>
          <cell r="Z29">
            <v>36366.379999999997</v>
          </cell>
          <cell r="AA29">
            <v>36366.379999999997</v>
          </cell>
        </row>
        <row r="30">
          <cell r="A30" t="str">
            <v>1037</v>
          </cell>
          <cell r="E30">
            <v>-14702.36</v>
          </cell>
          <cell r="H30">
            <v>1922.08</v>
          </cell>
          <cell r="I30">
            <v>2108.29</v>
          </cell>
          <cell r="J30">
            <v>7333.49</v>
          </cell>
          <cell r="O30" t="str">
            <v>1037</v>
          </cell>
          <cell r="P30">
            <v>0</v>
          </cell>
          <cell r="Q30">
            <v>0</v>
          </cell>
          <cell r="R30">
            <v>0</v>
          </cell>
          <cell r="S30">
            <v>-14702.36</v>
          </cell>
          <cell r="T30">
            <v>-14702.36</v>
          </cell>
          <cell r="U30">
            <v>-14702.36</v>
          </cell>
          <cell r="V30">
            <v>-12780.28</v>
          </cell>
          <cell r="W30">
            <v>-10671.990000000002</v>
          </cell>
          <cell r="X30">
            <v>-3338.5000000000018</v>
          </cell>
          <cell r="Y30">
            <v>-3338.5000000000018</v>
          </cell>
          <cell r="Z30">
            <v>-3338.5000000000018</v>
          </cell>
          <cell r="AA30">
            <v>-3338.5000000000018</v>
          </cell>
        </row>
        <row r="31">
          <cell r="A31" t="str">
            <v>1038</v>
          </cell>
          <cell r="E31">
            <v>-10429.4</v>
          </cell>
          <cell r="O31" t="str">
            <v>1038</v>
          </cell>
          <cell r="P31">
            <v>0</v>
          </cell>
          <cell r="Q31">
            <v>0</v>
          </cell>
          <cell r="R31">
            <v>0</v>
          </cell>
          <cell r="S31">
            <v>-10429.4</v>
          </cell>
          <cell r="T31">
            <v>-10429.4</v>
          </cell>
          <cell r="U31">
            <v>-10429.4</v>
          </cell>
          <cell r="V31">
            <v>-10429.4</v>
          </cell>
          <cell r="W31">
            <v>-10429.4</v>
          </cell>
          <cell r="X31">
            <v>-10429.4</v>
          </cell>
          <cell r="Y31">
            <v>-10429.4</v>
          </cell>
          <cell r="Z31">
            <v>-10429.4</v>
          </cell>
          <cell r="AA31">
            <v>-10429.4</v>
          </cell>
        </row>
        <row r="32">
          <cell r="A32" t="str">
            <v>1040</v>
          </cell>
          <cell r="D32">
            <v>145</v>
          </cell>
          <cell r="E32">
            <v>4817.68</v>
          </cell>
          <cell r="I32">
            <v>450</v>
          </cell>
          <cell r="O32" t="str">
            <v>1040</v>
          </cell>
          <cell r="P32">
            <v>0</v>
          </cell>
          <cell r="Q32">
            <v>0</v>
          </cell>
          <cell r="R32">
            <v>145</v>
          </cell>
          <cell r="S32">
            <v>4962.68</v>
          </cell>
          <cell r="T32">
            <v>4962.68</v>
          </cell>
          <cell r="U32">
            <v>4962.68</v>
          </cell>
          <cell r="V32">
            <v>4962.68</v>
          </cell>
          <cell r="W32">
            <v>5412.68</v>
          </cell>
          <cell r="X32">
            <v>5412.68</v>
          </cell>
          <cell r="Y32">
            <v>5412.68</v>
          </cell>
          <cell r="Z32">
            <v>5412.68</v>
          </cell>
          <cell r="AA32">
            <v>5412.68</v>
          </cell>
        </row>
        <row r="33">
          <cell r="A33" t="str">
            <v>1041</v>
          </cell>
          <cell r="C33">
            <v>23551.18</v>
          </cell>
          <cell r="E33">
            <v>-1.0000000002037268E-2</v>
          </cell>
          <cell r="O33" t="str">
            <v>1041</v>
          </cell>
          <cell r="P33">
            <v>0</v>
          </cell>
          <cell r="Q33">
            <v>23551.18</v>
          </cell>
          <cell r="R33">
            <v>23551.18</v>
          </cell>
          <cell r="S33">
            <v>23551.17</v>
          </cell>
          <cell r="T33">
            <v>23551.17</v>
          </cell>
          <cell r="U33">
            <v>23551.17</v>
          </cell>
          <cell r="V33">
            <v>23551.17</v>
          </cell>
          <cell r="W33">
            <v>23551.17</v>
          </cell>
          <cell r="X33">
            <v>23551.17</v>
          </cell>
          <cell r="Y33">
            <v>23551.17</v>
          </cell>
          <cell r="Z33">
            <v>23551.17</v>
          </cell>
          <cell r="AA33">
            <v>23551.17</v>
          </cell>
        </row>
        <row r="34">
          <cell r="A34" t="str">
            <v>1046</v>
          </cell>
          <cell r="D34">
            <v>136259.07</v>
          </cell>
          <cell r="F34">
            <v>3348.79</v>
          </cell>
          <cell r="O34" t="str">
            <v>1046</v>
          </cell>
          <cell r="P34">
            <v>0</v>
          </cell>
          <cell r="Q34">
            <v>0</v>
          </cell>
          <cell r="R34">
            <v>136259.07</v>
          </cell>
          <cell r="S34">
            <v>136259.07</v>
          </cell>
          <cell r="T34">
            <v>139607.86000000002</v>
          </cell>
          <cell r="U34">
            <v>139607.86000000002</v>
          </cell>
          <cell r="V34">
            <v>139607.86000000002</v>
          </cell>
          <cell r="W34">
            <v>139607.86000000002</v>
          </cell>
          <cell r="X34">
            <v>139607.86000000002</v>
          </cell>
          <cell r="Y34">
            <v>139607.86000000002</v>
          </cell>
          <cell r="Z34">
            <v>139607.86000000002</v>
          </cell>
          <cell r="AA34">
            <v>139607.86000000002</v>
          </cell>
        </row>
        <row r="35">
          <cell r="A35" t="str">
            <v>1048</v>
          </cell>
          <cell r="C35">
            <v>21662</v>
          </cell>
          <cell r="O35" t="str">
            <v>1048</v>
          </cell>
          <cell r="P35">
            <v>0</v>
          </cell>
          <cell r="Q35">
            <v>21662</v>
          </cell>
          <cell r="R35">
            <v>21662</v>
          </cell>
          <cell r="S35">
            <v>21662</v>
          </cell>
          <cell r="T35">
            <v>21662</v>
          </cell>
          <cell r="U35">
            <v>21662</v>
          </cell>
          <cell r="V35">
            <v>21662</v>
          </cell>
          <cell r="W35">
            <v>21662</v>
          </cell>
          <cell r="X35">
            <v>21662</v>
          </cell>
          <cell r="Y35">
            <v>21662</v>
          </cell>
          <cell r="Z35">
            <v>21662</v>
          </cell>
          <cell r="AA35">
            <v>21662</v>
          </cell>
        </row>
        <row r="36">
          <cell r="A36" t="str">
            <v>1053</v>
          </cell>
          <cell r="E36">
            <v>350</v>
          </cell>
          <cell r="O36" t="str">
            <v>1053</v>
          </cell>
          <cell r="P36">
            <v>0</v>
          </cell>
          <cell r="Q36">
            <v>0</v>
          </cell>
          <cell r="R36">
            <v>0</v>
          </cell>
          <cell r="S36">
            <v>350</v>
          </cell>
          <cell r="T36">
            <v>350</v>
          </cell>
          <cell r="U36">
            <v>350</v>
          </cell>
          <cell r="V36">
            <v>350</v>
          </cell>
          <cell r="W36">
            <v>350</v>
          </cell>
          <cell r="X36">
            <v>350</v>
          </cell>
          <cell r="Y36">
            <v>350</v>
          </cell>
          <cell r="Z36">
            <v>350</v>
          </cell>
          <cell r="AA36">
            <v>350</v>
          </cell>
        </row>
        <row r="37">
          <cell r="A37" t="str">
            <v>1055</v>
          </cell>
          <cell r="G37">
            <v>143.69</v>
          </cell>
          <cell r="H37">
            <v>2095.75</v>
          </cell>
          <cell r="I37">
            <v>2204.84</v>
          </cell>
          <cell r="J37">
            <v>133127.01</v>
          </cell>
          <cell r="O37" t="str">
            <v>1055</v>
          </cell>
          <cell r="P37">
            <v>0</v>
          </cell>
          <cell r="Q37">
            <v>0</v>
          </cell>
          <cell r="R37">
            <v>0</v>
          </cell>
          <cell r="S37">
            <v>0</v>
          </cell>
          <cell r="T37">
            <v>0</v>
          </cell>
          <cell r="U37">
            <v>143.69</v>
          </cell>
          <cell r="V37">
            <v>2239.44</v>
          </cell>
          <cell r="W37">
            <v>4444.2800000000007</v>
          </cell>
          <cell r="X37">
            <v>137571.29</v>
          </cell>
          <cell r="Y37">
            <v>137571.29</v>
          </cell>
          <cell r="Z37">
            <v>137571.29</v>
          </cell>
          <cell r="AA37">
            <v>137571.29</v>
          </cell>
        </row>
        <row r="38">
          <cell r="O38" t="str">
            <v>Totalt</v>
          </cell>
          <cell r="P38">
            <v>-1566358.61</v>
          </cell>
          <cell r="Q38">
            <v>-3386343.81</v>
          </cell>
          <cell r="R38">
            <v>-18602.350000000093</v>
          </cell>
          <cell r="S38">
            <v>2313838.0299999998</v>
          </cell>
          <cell r="T38">
            <v>4221203.54</v>
          </cell>
          <cell r="U38">
            <v>7606236.7400000002</v>
          </cell>
          <cell r="V38">
            <v>9403795.4399999995</v>
          </cell>
          <cell r="W38">
            <v>11269428.779999999</v>
          </cell>
          <cell r="X38">
            <v>13106757.469999999</v>
          </cell>
          <cell r="Y38">
            <v>13106757.469999999</v>
          </cell>
          <cell r="Z38">
            <v>13106757.469999999</v>
          </cell>
          <cell r="AA38">
            <v>13106757.469999999</v>
          </cell>
        </row>
        <row r="39">
          <cell r="O39">
            <v>0</v>
          </cell>
          <cell r="P39">
            <v>0</v>
          </cell>
          <cell r="Q39">
            <v>0</v>
          </cell>
          <cell r="R39">
            <v>0</v>
          </cell>
          <cell r="S39">
            <v>0</v>
          </cell>
          <cell r="T39">
            <v>0</v>
          </cell>
          <cell r="U39">
            <v>0</v>
          </cell>
          <cell r="V39">
            <v>0</v>
          </cell>
          <cell r="W39">
            <v>0</v>
          </cell>
          <cell r="X39">
            <v>0</v>
          </cell>
          <cell r="Y39">
            <v>0</v>
          </cell>
          <cell r="Z39">
            <v>0</v>
          </cell>
          <cell r="AA39">
            <v>0</v>
          </cell>
        </row>
        <row r="40">
          <cell r="O40">
            <v>0</v>
          </cell>
          <cell r="P40">
            <v>0</v>
          </cell>
          <cell r="Q40">
            <v>0</v>
          </cell>
          <cell r="R40">
            <v>0</v>
          </cell>
          <cell r="S40">
            <v>0</v>
          </cell>
          <cell r="T40">
            <v>0</v>
          </cell>
          <cell r="U40">
            <v>0</v>
          </cell>
          <cell r="V40">
            <v>0</v>
          </cell>
          <cell r="W40">
            <v>0</v>
          </cell>
          <cell r="X40">
            <v>0</v>
          </cell>
          <cell r="Y40">
            <v>0</v>
          </cell>
          <cell r="Z40">
            <v>0</v>
          </cell>
          <cell r="AA40">
            <v>0</v>
          </cell>
        </row>
        <row r="41">
          <cell r="O41">
            <v>0</v>
          </cell>
          <cell r="P41">
            <v>0</v>
          </cell>
          <cell r="Q41">
            <v>0</v>
          </cell>
          <cell r="R41">
            <v>0</v>
          </cell>
          <cell r="S41">
            <v>0</v>
          </cell>
          <cell r="T41">
            <v>0</v>
          </cell>
          <cell r="U41">
            <v>0</v>
          </cell>
          <cell r="V41">
            <v>0</v>
          </cell>
          <cell r="W41">
            <v>0</v>
          </cell>
          <cell r="X41">
            <v>0</v>
          </cell>
          <cell r="Y41">
            <v>0</v>
          </cell>
          <cell r="Z41">
            <v>0</v>
          </cell>
          <cell r="AA41">
            <v>0</v>
          </cell>
        </row>
        <row r="42">
          <cell r="O42">
            <v>0</v>
          </cell>
          <cell r="P42">
            <v>0</v>
          </cell>
          <cell r="Q42">
            <v>0</v>
          </cell>
          <cell r="R42">
            <v>0</v>
          </cell>
          <cell r="S42">
            <v>0</v>
          </cell>
          <cell r="T42">
            <v>0</v>
          </cell>
          <cell r="U42">
            <v>0</v>
          </cell>
          <cell r="V42">
            <v>0</v>
          </cell>
          <cell r="W42">
            <v>0</v>
          </cell>
          <cell r="X42">
            <v>0</v>
          </cell>
          <cell r="Y42">
            <v>0</v>
          </cell>
          <cell r="Z42">
            <v>0</v>
          </cell>
          <cell r="AA42">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mports"/>
      <sheetName val="C5"/>
      <sheetName val="other sources"/>
      <sheetName val="HH"/>
      <sheetName val="S"/>
      <sheetName val="M"/>
      <sheetName val="L"/>
      <sheetName val="FREV1"/>
      <sheetName val="FREV2"/>
      <sheetName val="FREV3"/>
      <sheetName val="foldback"/>
      <sheetName val="C1"/>
      <sheetName val="C2"/>
      <sheetName val="C3"/>
      <sheetName val="C4"/>
      <sheetName val="C6"/>
      <sheetName val="C7"/>
      <sheetName val="C8"/>
      <sheetName val="C-Por"/>
      <sheetName val="C-Gr"/>
      <sheetName val="C-Swi"/>
      <sheetName val="C-Swe"/>
      <sheetName val="C-No"/>
      <sheetName val="C-Ne"/>
      <sheetName val="C-Fi"/>
      <sheetName val="C-Dk"/>
      <sheetName val="C-Os"/>
      <sheetName val="C-UK"/>
      <sheetName val="C-Ar"/>
      <sheetName val="C-Fr"/>
      <sheetName val="C-Ge"/>
      <sheetName val="C-It"/>
      <sheetName val="C-J"/>
      <sheetName val="C-US"/>
    </sheetNames>
    <sheetDataSet>
      <sheetData sheetId="0">
        <row r="5">
          <cell r="B5" t="str">
            <v>fixed seeds</v>
          </cell>
        </row>
        <row r="6">
          <cell r="B6" t="str">
            <v>models site numbers and spend per site for seed countries</v>
          </cell>
        </row>
        <row r="8">
          <cell r="B8" t="str">
            <v>v0</v>
          </cell>
        </row>
        <row r="9">
          <cell r="B9" t="str">
            <v>Under construction</v>
          </cell>
        </row>
        <row r="14">
          <cell r="B14" t="str">
            <v>andrew entwistle</v>
          </cell>
        </row>
        <row r="15">
          <cell r="B15" t="str">
            <v>andrew@newstreetresearch.com</v>
          </cell>
        </row>
      </sheetData>
      <sheetData sheetId="1" refreshError="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 Debt Roll"/>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加工(MTD)"/>
      <sheetName val="ﾃﾞｰﾀ加工(YTD)"/>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s"/>
      <sheetName val="CMCSA"/>
      <sheetName val="CHTR"/>
      <sheetName val="CABO"/>
      <sheetName val="OPT"/>
      <sheetName val="SLK"/>
      <sheetName val="VMED"/>
      <sheetName val="UNITY"/>
      <sheetName val="ZIGGO"/>
      <sheetName val="TNET"/>
      <sheetName val="UPC-CH"/>
      <sheetName val="UPC-EE"/>
      <sheetName val="NOS"/>
      <sheetName val="COMH"/>
      <sheetName val="VTR"/>
      <sheetName val="LBTYPR"/>
      <sheetName val="MEGA"/>
      <sheetName val="TVSA"/>
      <sheetName val="LBTYALL"/>
      <sheetName val="ATCALL"/>
      <sheetName val="LiLAC"/>
      <sheetName val="Forex"/>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3">
          <cell r="B33" t="str">
            <v>2016A</v>
          </cell>
          <cell r="C33" t="str">
            <v>2017E</v>
          </cell>
          <cell r="D33" t="str">
            <v>2018E</v>
          </cell>
          <cell r="E33" t="str">
            <v>2019E</v>
          </cell>
          <cell r="F33" t="str">
            <v>2020E</v>
          </cell>
          <cell r="G33" t="str">
            <v>2021E</v>
          </cell>
          <cell r="H33" t="str">
            <v>2022E</v>
          </cell>
          <cell r="I33" t="str">
            <v>2023E</v>
          </cell>
          <cell r="J33" t="str">
            <v>2024E</v>
          </cell>
          <cell r="K33" t="str">
            <v>2025E</v>
          </cell>
        </row>
      </sheetData>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Fixed"/>
      <sheetName val="ConsQ107"/>
      <sheetName val="Interims_IFRS"/>
      <sheetName val="Mobile_new"/>
      <sheetName val="Analysis"/>
      <sheetName val="Interims"/>
      <sheetName val="Pen modeller"/>
      <sheetName val="Valuation"/>
      <sheetName val="George"/>
      <sheetName val="SOP"/>
      <sheetName val="Graphs"/>
      <sheetName val="quarterly"/>
      <sheetName val="Mob Norway"/>
      <sheetName val="Thai"/>
      <sheetName val="Kyiv"/>
      <sheetName val="Gram"/>
      <sheetName val="Digi"/>
      <sheetName val="Sweden"/>
      <sheetName val="Pak"/>
      <sheetName val="networks II - OLD"/>
      <sheetName val="Sonofon"/>
      <sheetName val="Pannon"/>
      <sheetName val="Serbia"/>
      <sheetName val="GDP sense check"/>
      <sheetName val="Other unts"/>
      <sheetName val="2003 deals"/>
      <sheetName val="changes q32003"/>
      <sheetName val="Notes"/>
      <sheetName val="ITU inputs for mobile"/>
      <sheetName val="buyback"/>
      <sheetName val="restated prior years"/>
      <sheetName val="Industry Model"/>
      <sheetName val="Debt"/>
      <sheetName val="Debt ratios"/>
      <sheetName val="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Group"/>
      <sheetName val="Quarterlies"/>
      <sheetName val="Valuation"/>
      <sheetName val="Wireline"/>
      <sheetName val="Market"/>
      <sheetName val="Outpayments"/>
      <sheetName val="Sheet1"/>
      <sheetName val="Global Services"/>
      <sheetName val="FRS17"/>
      <sheetName val="George"/>
      <sheetName val="Cost Analy"/>
      <sheetName val="charts"/>
      <sheetName val="questions"/>
      <sheetName val="IM"/>
      <sheetName val="Debt"/>
      <sheetName val="debt 20F"/>
      <sheetName val="Debt ratios"/>
      <sheetName val="Charts Jan 05"/>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row r="12">
          <cell r="K12" t="str">
            <v>UKP millions</v>
          </cell>
          <cell r="L12" t="str">
            <v>v3</v>
          </cell>
          <cell r="M12">
            <v>38008.59294386574</v>
          </cell>
        </row>
        <row r="13">
          <cell r="K13" t="str">
            <v>UKP millions</v>
          </cell>
          <cell r="L13" t="str">
            <v>v3</v>
          </cell>
          <cell r="M13">
            <v>38008.59294386574</v>
          </cell>
        </row>
        <row r="14">
          <cell r="K14" t="str">
            <v>UKP millions</v>
          </cell>
          <cell r="L14" t="str">
            <v>v3</v>
          </cell>
          <cell r="M14">
            <v>38008.59294386574</v>
          </cell>
          <cell r="AA14">
            <v>12387.769999999999</v>
          </cell>
          <cell r="AB14">
            <v>13370</v>
          </cell>
          <cell r="AC14">
            <v>14067.191011100091</v>
          </cell>
          <cell r="AD14">
            <v>13817.320772919136</v>
          </cell>
          <cell r="AE14">
            <v>13809.68496666932</v>
          </cell>
          <cell r="AF14">
            <v>14082.449148150023</v>
          </cell>
          <cell r="AG14">
            <v>14129.228105830436</v>
          </cell>
          <cell r="AH14">
            <v>14140.064355242996</v>
          </cell>
          <cell r="AI14">
            <v>14087.20710586432</v>
          </cell>
          <cell r="AJ14">
            <v>14021.5411091519</v>
          </cell>
          <cell r="AK14">
            <v>13940.313693105927</v>
          </cell>
          <cell r="AL14">
            <v>13823.741864644662</v>
          </cell>
        </row>
        <row r="15">
          <cell r="K15" t="str">
            <v>UKP millions</v>
          </cell>
          <cell r="L15" t="str">
            <v>v3</v>
          </cell>
          <cell r="M15">
            <v>38008.59294386574</v>
          </cell>
          <cell r="AA15">
            <v>344.75</v>
          </cell>
          <cell r="AB15">
            <v>361.17999999999984</v>
          </cell>
          <cell r="AC15">
            <v>330.4422676171057</v>
          </cell>
          <cell r="AD15">
            <v>394.19119123862538</v>
          </cell>
          <cell r="AE15">
            <v>354.05332148453499</v>
          </cell>
          <cell r="AF15">
            <v>162.16521066052019</v>
          </cell>
          <cell r="AG15">
            <v>124.76613676321813</v>
          </cell>
          <cell r="AH15">
            <v>167.77386253554914</v>
          </cell>
          <cell r="AI15">
            <v>194.12031483954661</v>
          </cell>
          <cell r="AJ15">
            <v>214.03415076793772</v>
          </cell>
          <cell r="AK15">
            <v>226.06293048617135</v>
          </cell>
          <cell r="AL15">
            <v>226.34094569312174</v>
          </cell>
        </row>
        <row r="16">
          <cell r="K16" t="str">
            <v>UKP millions</v>
          </cell>
          <cell r="L16" t="str">
            <v>v3</v>
          </cell>
          <cell r="M16">
            <v>38008.59294386574</v>
          </cell>
        </row>
        <row r="17">
          <cell r="K17" t="str">
            <v>UKP millions</v>
          </cell>
          <cell r="L17" t="str">
            <v>v3</v>
          </cell>
          <cell r="M17">
            <v>38008.59294386574</v>
          </cell>
          <cell r="W17">
            <v>721.7593283582089</v>
          </cell>
          <cell r="X17">
            <v>810.6343283582089</v>
          </cell>
          <cell r="Y17">
            <v>1081.6809701492537</v>
          </cell>
          <cell r="Z17">
            <v>1535.1940298507461</v>
          </cell>
          <cell r="AA17">
            <v>1941.75</v>
          </cell>
          <cell r="AB17">
            <v>1898.57</v>
          </cell>
          <cell r="AC17">
            <v>1769.3858</v>
          </cell>
          <cell r="AD17">
            <v>1663.2226519999999</v>
          </cell>
          <cell r="AE17">
            <v>1587.9857739199999</v>
          </cell>
          <cell r="AF17">
            <v>1524.4663429631996</v>
          </cell>
          <cell r="AG17">
            <v>1463.4876892446719</v>
          </cell>
          <cell r="AH17">
            <v>1404.9481816748851</v>
          </cell>
          <cell r="AI17">
            <v>1348.7502544078893</v>
          </cell>
          <cell r="AJ17">
            <v>1294.8002442315737</v>
          </cell>
          <cell r="AK17">
            <v>1243.0082344623108</v>
          </cell>
          <cell r="AL17">
            <v>1193.2879050838183</v>
          </cell>
        </row>
        <row r="18">
          <cell r="K18" t="str">
            <v>UKP millions</v>
          </cell>
          <cell r="L18" t="str">
            <v>v3</v>
          </cell>
          <cell r="M18">
            <v>38008.59294386574</v>
          </cell>
          <cell r="W18">
            <v>448.97867803837971</v>
          </cell>
          <cell r="X18">
            <v>504.26439232409399</v>
          </cell>
          <cell r="Y18">
            <v>672.87206823027725</v>
          </cell>
          <cell r="Z18">
            <v>954.98507462686575</v>
          </cell>
          <cell r="AA18">
            <v>1239.75</v>
          </cell>
          <cell r="AB18">
            <v>1309</v>
          </cell>
          <cell r="AC18">
            <v>1279.5475000000001</v>
          </cell>
          <cell r="AD18">
            <v>1241.161075</v>
          </cell>
          <cell r="AE18">
            <v>1203.9262427499998</v>
          </cell>
          <cell r="AF18">
            <v>1194.6889569999998</v>
          </cell>
          <cell r="AG18">
            <v>1194.6889569999998</v>
          </cell>
          <cell r="AH18">
            <v>1194.6889569999998</v>
          </cell>
          <cell r="AI18">
            <v>1194.6889569999998</v>
          </cell>
          <cell r="AJ18">
            <v>1194.6889569999998</v>
          </cell>
          <cell r="AK18">
            <v>1194.6889569999998</v>
          </cell>
          <cell r="AL18">
            <v>1194.6889569999998</v>
          </cell>
        </row>
        <row r="19">
          <cell r="K19" t="str">
            <v>UKP millions</v>
          </cell>
          <cell r="L19" t="str">
            <v>v3</v>
          </cell>
          <cell r="M19">
            <v>38008.59294386574</v>
          </cell>
          <cell r="W19">
            <v>1170.7380063965884</v>
          </cell>
          <cell r="X19">
            <v>1314.8987206823028</v>
          </cell>
          <cell r="Y19">
            <v>1754.553038379531</v>
          </cell>
          <cell r="Z19">
            <v>2490.1791044776119</v>
          </cell>
          <cell r="AA19">
            <v>3181.5</v>
          </cell>
          <cell r="AB19">
            <v>3207.57</v>
          </cell>
          <cell r="AC19">
            <v>3048.9333000000001</v>
          </cell>
          <cell r="AD19">
            <v>2904.3837269999999</v>
          </cell>
          <cell r="AE19">
            <v>2791.91201667</v>
          </cell>
          <cell r="AF19">
            <v>2719.1552999631995</v>
          </cell>
          <cell r="AG19">
            <v>2658.1766462446712</v>
          </cell>
          <cell r="AH19">
            <v>2599.6371386748847</v>
          </cell>
          <cell r="AI19">
            <v>2543.4392114078892</v>
          </cell>
          <cell r="AJ19">
            <v>2489.4892012315736</v>
          </cell>
          <cell r="AK19">
            <v>2437.6971914623105</v>
          </cell>
          <cell r="AL19">
            <v>2387.9768620838181</v>
          </cell>
        </row>
        <row r="20">
          <cell r="K20" t="str">
            <v>UKP millions</v>
          </cell>
          <cell r="L20" t="str">
            <v>v3</v>
          </cell>
          <cell r="M20">
            <v>38008.59294386574</v>
          </cell>
          <cell r="AA20">
            <v>3526.25</v>
          </cell>
          <cell r="AB20">
            <v>3568.75</v>
          </cell>
          <cell r="AC20">
            <v>3379.3755676171058</v>
          </cell>
          <cell r="AD20">
            <v>3298.5749182386253</v>
          </cell>
          <cell r="AE20">
            <v>3145.9653381545349</v>
          </cell>
          <cell r="AF20">
            <v>2881.3205106237197</v>
          </cell>
          <cell r="AG20">
            <v>2782.9427830078894</v>
          </cell>
          <cell r="AH20">
            <v>2767.4110012104338</v>
          </cell>
          <cell r="AI20">
            <v>2737.5595262474358</v>
          </cell>
          <cell r="AJ20">
            <v>2703.5233519995113</v>
          </cell>
          <cell r="AK20">
            <v>2663.7601219484818</v>
          </cell>
          <cell r="AL20">
            <v>2614.3178077769398</v>
          </cell>
        </row>
        <row r="21">
          <cell r="K21" t="str">
            <v>UKP millions</v>
          </cell>
          <cell r="L21" t="str">
            <v>v3</v>
          </cell>
          <cell r="M21">
            <v>38008.59294386574</v>
          </cell>
          <cell r="AA21">
            <v>819.37999999999988</v>
          </cell>
          <cell r="AB21">
            <v>445.25</v>
          </cell>
          <cell r="AC21">
            <v>582.88414993538868</v>
          </cell>
          <cell r="AD21">
            <v>641.48201070082541</v>
          </cell>
          <cell r="AE21">
            <v>699.17210170468263</v>
          </cell>
          <cell r="AF21">
            <v>755.82983505789366</v>
          </cell>
          <cell r="AG21">
            <v>809.80310581909021</v>
          </cell>
          <cell r="AH21">
            <v>853.8763578963642</v>
          </cell>
          <cell r="AI21">
            <v>888.39280864194222</v>
          </cell>
          <cell r="AJ21">
            <v>919.94926442896531</v>
          </cell>
          <cell r="AK21">
            <v>950.43277877101912</v>
          </cell>
          <cell r="AL21">
            <v>975.29784627268793</v>
          </cell>
        </row>
        <row r="22">
          <cell r="K22" t="str">
            <v>UKP millions</v>
          </cell>
          <cell r="L22" t="str">
            <v>v3</v>
          </cell>
          <cell r="M22">
            <v>38008.59294386574</v>
          </cell>
          <cell r="AA22">
            <v>16733.399999999998</v>
          </cell>
          <cell r="AB22">
            <v>17384</v>
          </cell>
          <cell r="AC22">
            <v>18029.450728652584</v>
          </cell>
          <cell r="AD22">
            <v>17757.37770185859</v>
          </cell>
          <cell r="AE22">
            <v>17654.822406528539</v>
          </cell>
          <cell r="AF22">
            <v>17719.599493831636</v>
          </cell>
          <cell r="AG22">
            <v>17721.973994657415</v>
          </cell>
          <cell r="AH22">
            <v>17761.351714349792</v>
          </cell>
          <cell r="AI22">
            <v>17713.159440753698</v>
          </cell>
          <cell r="AJ22">
            <v>17645.013725580375</v>
          </cell>
          <cell r="AK22">
            <v>17554.50659382543</v>
          </cell>
          <cell r="AL22">
            <v>17413.357518694291</v>
          </cell>
        </row>
        <row r="24">
          <cell r="L24" t="str">
            <v>v3</v>
          </cell>
          <cell r="M24">
            <v>38008.59294386574</v>
          </cell>
        </row>
        <row r="25">
          <cell r="L25" t="str">
            <v>v3</v>
          </cell>
          <cell r="M25">
            <v>38008.59294386574</v>
          </cell>
        </row>
        <row r="26">
          <cell r="L26" t="str">
            <v>v3</v>
          </cell>
          <cell r="M26">
            <v>38008.59294386574</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row r="27">
          <cell r="K27" t="str">
            <v>UKP millions</v>
          </cell>
          <cell r="L27" t="str">
            <v>v3</v>
          </cell>
          <cell r="M27">
            <v>38008.59294386574</v>
          </cell>
        </row>
        <row r="28">
          <cell r="K28" t="str">
            <v>UKP millions</v>
          </cell>
          <cell r="L28" t="str">
            <v>v3</v>
          </cell>
          <cell r="M28">
            <v>38008.59294386574</v>
          </cell>
        </row>
        <row r="29">
          <cell r="K29" t="str">
            <v>UKP millions</v>
          </cell>
          <cell r="L29" t="str">
            <v>v3</v>
          </cell>
          <cell r="M29">
            <v>38008.59294386574</v>
          </cell>
          <cell r="AA29" t="e">
            <v>#REF!</v>
          </cell>
          <cell r="AB29" t="e">
            <v>#REF!</v>
          </cell>
          <cell r="AC29" t="e">
            <v>#REF!</v>
          </cell>
          <cell r="AD29" t="e">
            <v>#REF!</v>
          </cell>
          <cell r="AE29" t="e">
            <v>#REF!</v>
          </cell>
          <cell r="AF29" t="e">
            <v>#REF!</v>
          </cell>
          <cell r="AG29" t="e">
            <v>#REF!</v>
          </cell>
          <cell r="AH29" t="e">
            <v>#REF!</v>
          </cell>
          <cell r="AI29" t="e">
            <v>#REF!</v>
          </cell>
          <cell r="AJ29" t="e">
            <v>#REF!</v>
          </cell>
          <cell r="AK29" t="e">
            <v>#REF!</v>
          </cell>
          <cell r="AL29" t="e">
            <v>#REF!</v>
          </cell>
        </row>
        <row r="31">
          <cell r="L31" t="str">
            <v>v3</v>
          </cell>
          <cell r="M31">
            <v>38008.59294386574</v>
          </cell>
        </row>
        <row r="32">
          <cell r="L32" t="str">
            <v>v3</v>
          </cell>
          <cell r="M32">
            <v>38008.59294386574</v>
          </cell>
        </row>
        <row r="33">
          <cell r="L33" t="str">
            <v>v3</v>
          </cell>
          <cell r="M33">
            <v>38008.59294386574</v>
          </cell>
        </row>
        <row r="34">
          <cell r="L34" t="str">
            <v>v3</v>
          </cell>
          <cell r="M34">
            <v>38008.59294386574</v>
          </cell>
        </row>
        <row r="35">
          <cell r="L35" t="str">
            <v>v3</v>
          </cell>
          <cell r="M35">
            <v>38008.59294386574</v>
          </cell>
          <cell r="W35" t="e">
            <v>#REF!</v>
          </cell>
          <cell r="X35" t="e">
            <v>#REF!</v>
          </cell>
          <cell r="Y35" t="e">
            <v>#REF!</v>
          </cell>
          <cell r="Z35" t="e">
            <v>#REF!</v>
          </cell>
          <cell r="AA35" t="e">
            <v>#REF!</v>
          </cell>
          <cell r="AB35" t="e">
            <v>#REF!</v>
          </cell>
          <cell r="AC35" t="e">
            <v>#REF!</v>
          </cell>
          <cell r="AD35" t="e">
            <v>#REF!</v>
          </cell>
          <cell r="AE35" t="e">
            <v>#REF!</v>
          </cell>
          <cell r="AF35" t="e">
            <v>#REF!</v>
          </cell>
          <cell r="AG35" t="e">
            <v>#REF!</v>
          </cell>
          <cell r="AH35" t="e">
            <v>#REF!</v>
          </cell>
          <cell r="AI35" t="e">
            <v>#REF!</v>
          </cell>
          <cell r="AJ35" t="e">
            <v>#REF!</v>
          </cell>
          <cell r="AK35" t="e">
            <v>#REF!</v>
          </cell>
          <cell r="AL35" t="e">
            <v>#REF!</v>
          </cell>
        </row>
        <row r="36">
          <cell r="L36" t="str">
            <v>v3</v>
          </cell>
          <cell r="M36">
            <v>38008.59294386574</v>
          </cell>
        </row>
        <row r="37">
          <cell r="L37" t="str">
            <v>v3</v>
          </cell>
          <cell r="M37">
            <v>38008.59294386574</v>
          </cell>
        </row>
        <row r="38">
          <cell r="L38" t="str">
            <v>v3</v>
          </cell>
          <cell r="M38">
            <v>38008.59294386574</v>
          </cell>
        </row>
        <row r="39">
          <cell r="L39" t="str">
            <v>v3</v>
          </cell>
          <cell r="M39">
            <v>38008.59294386574</v>
          </cell>
        </row>
        <row r="40">
          <cell r="L40" t="str">
            <v>v3</v>
          </cell>
          <cell r="M40">
            <v>38008.59294386574</v>
          </cell>
        </row>
        <row r="41">
          <cell r="L41" t="str">
            <v>v3</v>
          </cell>
          <cell r="M41">
            <v>38008.59294386574</v>
          </cell>
        </row>
        <row r="42">
          <cell r="L42" t="str">
            <v>v3</v>
          </cell>
          <cell r="M42">
            <v>38008.59294386574</v>
          </cell>
        </row>
        <row r="43">
          <cell r="L43" t="str">
            <v>v3</v>
          </cell>
          <cell r="M43">
            <v>38008.59294386574</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row>
        <row r="44">
          <cell r="L44" t="str">
            <v>v3</v>
          </cell>
          <cell r="M44">
            <v>38008.59294386574</v>
          </cell>
          <cell r="W44">
            <v>26582</v>
          </cell>
          <cell r="X44">
            <v>25816</v>
          </cell>
          <cell r="Y44">
            <v>25703</v>
          </cell>
          <cell r="Z44">
            <v>25306</v>
          </cell>
          <cell r="AA44">
            <v>25036</v>
          </cell>
          <cell r="AB44">
            <v>25402</v>
          </cell>
          <cell r="AC44">
            <v>25345</v>
          </cell>
          <cell r="AD44">
            <v>24885.325423607123</v>
          </cell>
          <cell r="AE44">
            <v>24330.42903683228</v>
          </cell>
          <cell r="AF44">
            <v>23784.142045250574</v>
          </cell>
          <cell r="AG44">
            <v>23246.347750596819</v>
          </cell>
          <cell r="AH44">
            <v>22716.930927631613</v>
          </cell>
          <cell r="AI44">
            <v>22195.777806350652</v>
          </cell>
          <cell r="AJ44">
            <v>21682.776054402548</v>
          </cell>
          <cell r="AK44">
            <v>21177.814759712768</v>
          </cell>
          <cell r="AL44">
            <v>20680.784413311347</v>
          </cell>
        </row>
        <row r="45">
          <cell r="L45" t="str">
            <v>v3</v>
          </cell>
          <cell r="M45">
            <v>38008.59294386574</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row>
        <row r="46">
          <cell r="L46" t="str">
            <v>v3</v>
          </cell>
          <cell r="M46">
            <v>38008.59294386574</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row>
        <row r="48">
          <cell r="L48" t="str">
            <v>v3</v>
          </cell>
          <cell r="M48">
            <v>38008.59294386574</v>
          </cell>
          <cell r="AA48">
            <v>85523</v>
          </cell>
          <cell r="AB48">
            <v>82490</v>
          </cell>
        </row>
      </sheetData>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PL"/>
      <sheetName val="IC-PL"/>
      <sheetName val="EXT-INC"/>
      <sheetName val="TRAF-COST"/>
      <sheetName val="INT-traf-cost"/>
      <sheetName val="OWN-WORK-CAP"/>
      <sheetName val="PAYROLL"/>
      <sheetName val="OPR-COST"/>
      <sheetName val="INT-OPR-COST"/>
      <sheetName val="FIN-PL"/>
      <sheetName val="Investments"/>
      <sheetName val="M-BALANCE"/>
      <sheetName val="IC-BAL"/>
      <sheetName val="CASH"/>
      <sheetName val="PROVISIONS"/>
      <sheetName val="EQUITY"/>
      <sheetName val="COMMITMENTS"/>
      <sheetName val="PERS-ADD"/>
      <sheetName val="AQUISITIONS"/>
      <sheetName val="Statistics"/>
      <sheetName val="Definitions"/>
    </sheetNames>
    <sheetDataSet>
      <sheetData sheetId="0">
        <row r="10">
          <cell r="E10" t="str">
            <v>&lt;Code&gt;</v>
          </cell>
        </row>
        <row r="11">
          <cell r="E11" t="str">
            <v>&lt;Name&gt;</v>
          </cell>
        </row>
        <row r="12">
          <cell r="E12" t="str">
            <v>0006</v>
          </cell>
        </row>
        <row r="15">
          <cell r="E15" t="str">
            <v>NOK</v>
          </cell>
        </row>
        <row r="16">
          <cell r="E16">
            <v>36692</v>
          </cell>
        </row>
        <row r="20">
          <cell r="E20" t="str">
            <v>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TP"/>
      <sheetName val="P&amp;L"/>
      <sheetName val="BS"/>
      <sheetName val="CF"/>
      <sheetName val="Cons. Revs"/>
      <sheetName val="Prop. Revs"/>
      <sheetName val="Cons. EBITDA"/>
      <sheetName val="Prop. EBITDA"/>
      <sheetName val="EBITDA Margins"/>
      <sheetName val="Capex"/>
      <sheetName val="USA"/>
      <sheetName val="UK"/>
      <sheetName val="Germany"/>
      <sheetName val="Italy"/>
      <sheetName val="J-Phone"/>
      <sheetName val="Spain"/>
      <sheetName val="Ireland"/>
      <sheetName val="Egypt"/>
      <sheetName val="Australia"/>
      <sheetName val="NZ"/>
      <sheetName val="NL"/>
      <sheetName val="Greece"/>
      <sheetName val="Portugal"/>
      <sheetName val="Sweden"/>
      <sheetName val="Switzerland"/>
      <sheetName val="Jap Fixed"/>
      <sheetName val="SFR"/>
      <sheetName val="Belgium"/>
      <sheetName val="Arcor"/>
      <sheetName val="Cegetel7"/>
      <sheetName val="Depreciaton schedule"/>
      <sheetName val="Cash Tax"/>
      <sheetName val="Bill"/>
      <sheetName val="Multip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TOW"/>
      <sheetName val="MELI"/>
      <sheetName val="BAI"/>
      <sheetName val="TC"/>
      <sheetName val="QH"/>
      <sheetName val="REN"/>
      <sheetName val="SINA"/>
      <sheetName val="WB"/>
      <sheetName val="CA"/>
      <sheetName val="DNA"/>
      <sheetName val="GR"/>
      <sheetName val="NEX"/>
      <sheetName val="RAK"/>
      <sheetName val="YJP"/>
      <sheetName val="BTOW1"/>
      <sheetName val="MELI1"/>
      <sheetName val="BAI1"/>
      <sheetName val="TC1"/>
      <sheetName val="QH1"/>
      <sheetName val="REN1"/>
      <sheetName val="SINA1"/>
      <sheetName val="WB1"/>
      <sheetName val="CA1"/>
      <sheetName val="DNA1"/>
      <sheetName val="GR1"/>
      <sheetName val="NEX1"/>
      <sheetName val="RAK1"/>
      <sheetName val="YJP1"/>
      <sheetName val="Global comps"/>
      <sheetName val="Consensus data"/>
      <sheetName val="Share prices"/>
    </sheetNames>
    <sheetDataSet>
      <sheetData sheetId="0">
        <row r="84">
          <cell r="C84">
            <v>1.52207</v>
          </cell>
        </row>
        <row r="86">
          <cell r="C86">
            <v>2.2357999999999998</v>
          </cell>
        </row>
        <row r="87">
          <cell r="C87">
            <v>99.71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1">
          <cell r="C41">
            <v>0.39643310566492568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link"/>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VEDMENY"/>
      <sheetName val="Omsres"/>
      <sheetName val="BUS SOL Årsverk og ansatte"/>
      <sheetName val="Årsverk og ansatte"/>
      <sheetName val="InvesteringerBUS SOL"/>
      <sheetName val="Investeringer"/>
      <sheetName val="Business Sol"/>
      <sheetName val="Annualiseringstabell"/>
      <sheetName val="Oms.avvik (2)"/>
      <sheetName val="Driftsinntekter"/>
      <sheetName val="Res.avvik (2)"/>
      <sheetName val="Res. før skatt"/>
      <sheetName val="SKILLEARK"/>
      <sheetName val="Årsverk"/>
      <sheetName val="Res. et. felleskost (2)"/>
      <sheetName val=" UTSTYR"/>
      <sheetName val="BD_KOMM."/>
      <sheetName val="BD_KOMM. (2)"/>
      <sheetName val="SI STORK"/>
      <sheetName val=" BASIS"/>
      <sheetName val="DATAN."/>
      <sheetName val="BK_TALE"/>
      <sheetName val=" DKL"/>
      <sheetName val="IDT"/>
      <sheetName val="DR.TJ"/>
      <sheetName val="SENT.ENH"/>
      <sheetName val="TELF.SELSK"/>
      <sheetName val="Elimineringer"/>
      <sheetName val="Res.avvik"/>
      <sheetName val="Oms.avvik"/>
    </sheetNames>
    <sheetDataSet>
      <sheetData sheetId="0"/>
      <sheetData sheetId="1"/>
      <sheetData sheetId="2"/>
      <sheetData sheetId="3"/>
      <sheetData sheetId="4"/>
      <sheetData sheetId="5"/>
      <sheetData sheetId="6">
        <row r="8">
          <cell r="F8" t="str">
            <v>Denne periode</v>
          </cell>
          <cell r="I8" t="str">
            <v>Hittil i år</v>
          </cell>
          <cell r="K8" t="str">
            <v xml:space="preserve">Årsbudsjett </v>
          </cell>
        </row>
        <row r="10">
          <cell r="A10" t="str">
            <v>Mill. kr.</v>
          </cell>
          <cell r="E10" t="str">
            <v>F04</v>
          </cell>
          <cell r="F10" t="str">
            <v>B04</v>
          </cell>
          <cell r="G10" t="str">
            <v>Avvik</v>
          </cell>
          <cell r="H10" t="str">
            <v>F04</v>
          </cell>
          <cell r="I10" t="str">
            <v>B04</v>
          </cell>
          <cell r="J10" t="str">
            <v>Avvik</v>
          </cell>
          <cell r="K10">
            <v>2000</v>
          </cell>
        </row>
        <row r="12">
          <cell r="A12" t="str">
            <v>Eksterne driftsinntekter</v>
          </cell>
          <cell r="E12">
            <v>91.320999999999998</v>
          </cell>
          <cell r="F12">
            <v>136.584</v>
          </cell>
          <cell r="G12">
            <v>-45.263000000000005</v>
          </cell>
          <cell r="H12">
            <v>372.24400000000003</v>
          </cell>
          <cell r="I12">
            <v>486.55200000000002</v>
          </cell>
          <cell r="J12">
            <v>-114.30799999999999</v>
          </cell>
          <cell r="K12">
            <v>1759.3979999999999</v>
          </cell>
        </row>
        <row r="13">
          <cell r="A13" t="str">
            <v>Driftsinntekter innen Telenor</v>
          </cell>
          <cell r="E13">
            <v>81.988</v>
          </cell>
          <cell r="F13">
            <v>119.511</v>
          </cell>
          <cell r="G13">
            <v>-37.522999999999996</v>
          </cell>
          <cell r="H13">
            <v>375.31900000000002</v>
          </cell>
          <cell r="I13">
            <v>459.3</v>
          </cell>
          <cell r="J13">
            <v>-83.980999999999995</v>
          </cell>
          <cell r="K13">
            <v>1552.173</v>
          </cell>
        </row>
        <row r="14">
          <cell r="A14" t="str">
            <v>Driftsinntekter innen Business Solution</v>
          </cell>
          <cell r="E14">
            <v>0</v>
          </cell>
          <cell r="F14">
            <v>0</v>
          </cell>
          <cell r="G14">
            <v>0</v>
          </cell>
          <cell r="H14">
            <v>0</v>
          </cell>
          <cell r="I14">
            <v>0</v>
          </cell>
          <cell r="J14">
            <v>0</v>
          </cell>
          <cell r="K14">
            <v>0</v>
          </cell>
        </row>
        <row r="15">
          <cell r="A15" t="str">
            <v>Gevinst ved salg av VDM og virksomhet eksternt</v>
          </cell>
          <cell r="E15">
            <v>0</v>
          </cell>
          <cell r="F15">
            <v>0</v>
          </cell>
          <cell r="G15">
            <v>0</v>
          </cell>
          <cell r="H15">
            <v>0</v>
          </cell>
          <cell r="I15">
            <v>0</v>
          </cell>
          <cell r="J15">
            <v>0</v>
          </cell>
          <cell r="K15">
            <v>0</v>
          </cell>
        </row>
        <row r="16">
          <cell r="A16" t="str">
            <v>SUM OMSETNING</v>
          </cell>
          <cell r="E16">
            <v>173.309</v>
          </cell>
          <cell r="F16">
            <v>256.09500000000003</v>
          </cell>
          <cell r="G16">
            <v>-82.786000000000001</v>
          </cell>
          <cell r="H16">
            <v>747.5630000000001</v>
          </cell>
          <cell r="I16">
            <v>945.85200000000009</v>
          </cell>
          <cell r="J16">
            <v>-198.28899999999999</v>
          </cell>
          <cell r="K16">
            <v>3311.5709999999999</v>
          </cell>
        </row>
        <row r="18">
          <cell r="A18" t="str">
            <v>Eksterne vare- og trafikkostnader</v>
          </cell>
          <cell r="E18">
            <v>82.016000000000005</v>
          </cell>
          <cell r="F18">
            <v>139.30600000000001</v>
          </cell>
          <cell r="G18">
            <v>57.290000000000006</v>
          </cell>
          <cell r="H18">
            <v>378.68400000000003</v>
          </cell>
          <cell r="I18">
            <v>517.95600000000002</v>
          </cell>
          <cell r="J18">
            <v>139.27199999999999</v>
          </cell>
          <cell r="K18">
            <v>1788.82</v>
          </cell>
        </row>
        <row r="19">
          <cell r="A19" t="str">
            <v>Vare- og trafikkostnad innen Telenor</v>
          </cell>
          <cell r="E19">
            <v>27.591999999999999</v>
          </cell>
          <cell r="F19">
            <v>30.11</v>
          </cell>
          <cell r="G19">
            <v>2.5180000000000007</v>
          </cell>
          <cell r="H19">
            <v>123.145</v>
          </cell>
          <cell r="I19">
            <v>115.96299999999999</v>
          </cell>
          <cell r="J19">
            <v>-7.1820000000000022</v>
          </cell>
          <cell r="K19">
            <v>393.41800000000001</v>
          </cell>
        </row>
        <row r="20">
          <cell r="A20" t="str">
            <v>Vare- og trafikkostnad innen Business Solution</v>
          </cell>
          <cell r="E20">
            <v>0</v>
          </cell>
          <cell r="F20">
            <v>0</v>
          </cell>
          <cell r="G20">
            <v>0</v>
          </cell>
          <cell r="H20">
            <v>0</v>
          </cell>
          <cell r="I20">
            <v>0</v>
          </cell>
          <cell r="J20">
            <v>0</v>
          </cell>
          <cell r="K20">
            <v>0</v>
          </cell>
        </row>
        <row r="21">
          <cell r="A21" t="str">
            <v>SUM VAREKOST</v>
          </cell>
          <cell r="E21">
            <v>109.608</v>
          </cell>
          <cell r="F21">
            <v>169.416</v>
          </cell>
          <cell r="G21">
            <v>59.808000000000007</v>
          </cell>
          <cell r="H21">
            <v>501.82900000000001</v>
          </cell>
          <cell r="I21">
            <v>633.91899999999998</v>
          </cell>
          <cell r="J21">
            <v>132.08999999999997</v>
          </cell>
          <cell r="K21">
            <v>2182.2379999999998</v>
          </cell>
        </row>
        <row r="23">
          <cell r="A23" t="str">
            <v>DEKNINGSBIDRAG</v>
          </cell>
          <cell r="E23">
            <v>63.700999999999993</v>
          </cell>
          <cell r="F23">
            <v>86.67900000000003</v>
          </cell>
          <cell r="G23">
            <v>-22.978000000000037</v>
          </cell>
          <cell r="H23">
            <v>245.73400000000009</v>
          </cell>
          <cell r="I23">
            <v>311.93300000000011</v>
          </cell>
          <cell r="J23">
            <v>-66.199000000000012</v>
          </cell>
          <cell r="K23">
            <v>1129.3330000000001</v>
          </cell>
        </row>
        <row r="25">
          <cell r="A25" t="str">
            <v>Beh.endring egentilvirkede amidl</v>
          </cell>
          <cell r="E25">
            <v>0</v>
          </cell>
          <cell r="F25">
            <v>0</v>
          </cell>
          <cell r="G25">
            <v>0</v>
          </cell>
          <cell r="H25">
            <v>0</v>
          </cell>
          <cell r="I25">
            <v>0</v>
          </cell>
          <cell r="J25">
            <v>0</v>
          </cell>
          <cell r="K25">
            <v>0</v>
          </cell>
        </row>
        <row r="26">
          <cell r="A26" t="str">
            <v>Lønns- og personalkostnader eksternt</v>
          </cell>
          <cell r="E26">
            <v>56.027000000000001</v>
          </cell>
          <cell r="F26">
            <v>61.064999999999998</v>
          </cell>
          <cell r="G26">
            <v>5.0379999999999967</v>
          </cell>
          <cell r="H26">
            <v>224.292</v>
          </cell>
          <cell r="I26">
            <v>248.75700000000001</v>
          </cell>
          <cell r="J26">
            <v>24.465000000000003</v>
          </cell>
          <cell r="K26">
            <v>726.31299999999999</v>
          </cell>
        </row>
        <row r="27">
          <cell r="A27" t="str">
            <v>Lønns- og personalkostnader innen Telenor</v>
          </cell>
          <cell r="E27">
            <v>-5.7000000000000002E-2</v>
          </cell>
          <cell r="F27">
            <v>0.94799999999999995</v>
          </cell>
          <cell r="G27">
            <v>1.0049999999999999</v>
          </cell>
          <cell r="H27">
            <v>3.2949999999999999</v>
          </cell>
          <cell r="I27">
            <v>3.746</v>
          </cell>
          <cell r="J27">
            <v>0.45100000000000007</v>
          </cell>
          <cell r="K27">
            <v>11.271000000000001</v>
          </cell>
        </row>
        <row r="28">
          <cell r="A28" t="str">
            <v>Lønns- og personalkostnader innen Business Solution</v>
          </cell>
          <cell r="E28">
            <v>0</v>
          </cell>
          <cell r="F28">
            <v>0</v>
          </cell>
          <cell r="G28">
            <v>0</v>
          </cell>
          <cell r="H28">
            <v>0</v>
          </cell>
          <cell r="I28">
            <v>0</v>
          </cell>
          <cell r="J28">
            <v>0</v>
          </cell>
          <cell r="K28">
            <v>0</v>
          </cell>
        </row>
        <row r="29">
          <cell r="A29" t="str">
            <v>Andre eksterne driftskostnader</v>
          </cell>
          <cell r="E29">
            <v>18.728999999999999</v>
          </cell>
          <cell r="F29">
            <v>23.719000000000001</v>
          </cell>
          <cell r="G29">
            <v>4.990000000000002</v>
          </cell>
          <cell r="H29">
            <v>91.078000000000003</v>
          </cell>
          <cell r="I29">
            <v>105.411</v>
          </cell>
          <cell r="J29">
            <v>14.332999999999998</v>
          </cell>
          <cell r="K29">
            <v>303.50400000000002</v>
          </cell>
        </row>
        <row r="30">
          <cell r="A30" t="str">
            <v>Andre driftskostnader innen Telenor</v>
          </cell>
          <cell r="E30">
            <v>12.3</v>
          </cell>
          <cell r="F30">
            <v>15.862</v>
          </cell>
          <cell r="G30">
            <v>3.5619999999999994</v>
          </cell>
          <cell r="H30">
            <v>56.222999999999999</v>
          </cell>
          <cell r="I30">
            <v>58.762</v>
          </cell>
          <cell r="J30">
            <v>2.5390000000000015</v>
          </cell>
          <cell r="K30">
            <v>180.798</v>
          </cell>
        </row>
        <row r="31">
          <cell r="A31" t="str">
            <v>Andre driftskostnader innen Business Solution</v>
          </cell>
          <cell r="E31">
            <v>0</v>
          </cell>
          <cell r="F31">
            <v>0</v>
          </cell>
          <cell r="G31">
            <v>0</v>
          </cell>
          <cell r="H31">
            <v>0</v>
          </cell>
          <cell r="I31">
            <v>0</v>
          </cell>
          <cell r="J31">
            <v>0</v>
          </cell>
          <cell r="K31">
            <v>0</v>
          </cell>
        </row>
        <row r="32">
          <cell r="A32" t="str">
            <v>Avskrivninger</v>
          </cell>
          <cell r="E32">
            <v>5.12</v>
          </cell>
          <cell r="F32">
            <v>6.6550000000000002</v>
          </cell>
          <cell r="G32">
            <v>1.5350000000000001</v>
          </cell>
          <cell r="H32">
            <v>20.376999999999999</v>
          </cell>
          <cell r="I32">
            <v>25.831</v>
          </cell>
          <cell r="J32">
            <v>5.4540000000000006</v>
          </cell>
          <cell r="K32">
            <v>84.128</v>
          </cell>
        </row>
        <row r="33">
          <cell r="A33" t="str">
            <v>Nedskrivninger</v>
          </cell>
        </row>
        <row r="34">
          <cell r="A34" t="str">
            <v>Tap ved salg av VDM og virksomhet eksternt</v>
          </cell>
        </row>
        <row r="35">
          <cell r="A35" t="str">
            <v>Sum Andre driftskostnader</v>
          </cell>
          <cell r="E35">
            <v>92.119</v>
          </cell>
          <cell r="F35">
            <v>108.249</v>
          </cell>
          <cell r="G35">
            <v>16.129999999999995</v>
          </cell>
          <cell r="H35">
            <v>395.26499999999999</v>
          </cell>
          <cell r="I35">
            <v>442.50700000000001</v>
          </cell>
          <cell r="J35">
            <v>47.242000000000004</v>
          </cell>
          <cell r="K35">
            <v>1306.0139999999999</v>
          </cell>
        </row>
        <row r="37">
          <cell r="A37" t="str">
            <v>DRIFTSRESULTAT</v>
          </cell>
          <cell r="E37">
            <v>-28.418000000000006</v>
          </cell>
          <cell r="F37">
            <v>-21.569999999999965</v>
          </cell>
          <cell r="G37">
            <v>-6.8480000000000416</v>
          </cell>
          <cell r="H37">
            <v>-149.53099999999989</v>
          </cell>
          <cell r="I37">
            <v>-130.5739999999999</v>
          </cell>
          <cell r="J37">
            <v>-18.956999999999994</v>
          </cell>
          <cell r="K37">
            <v>-176.68099999999981</v>
          </cell>
        </row>
        <row r="39">
          <cell r="A39" t="str">
            <v>Andel resultat tilknyttede selskaper</v>
          </cell>
          <cell r="E39">
            <v>-0.99299999999999999</v>
          </cell>
          <cell r="F39">
            <v>-0.16900000000000001</v>
          </cell>
          <cell r="G39">
            <v>-0.82399999999999995</v>
          </cell>
          <cell r="H39">
            <v>-3.2850000000000001</v>
          </cell>
          <cell r="I39">
            <v>-0.222</v>
          </cell>
          <cell r="J39">
            <v>-3.0630000000000002</v>
          </cell>
          <cell r="K39">
            <v>-4.4160000000000004</v>
          </cell>
        </row>
        <row r="41">
          <cell r="A41" t="str">
            <v>Eksterne finansinntekter</v>
          </cell>
          <cell r="E41">
            <v>0.85799999999999998</v>
          </cell>
          <cell r="F41">
            <v>0.03</v>
          </cell>
          <cell r="G41">
            <v>0.82799999999999996</v>
          </cell>
          <cell r="H41">
            <v>1.841</v>
          </cell>
          <cell r="I41">
            <v>0.12</v>
          </cell>
          <cell r="J41">
            <v>1.7210000000000001</v>
          </cell>
          <cell r="K41">
            <v>0.36</v>
          </cell>
        </row>
        <row r="42">
          <cell r="A42" t="str">
            <v>Finansinntekter innen Telenor</v>
          </cell>
          <cell r="E42">
            <v>1.8140000000000001</v>
          </cell>
          <cell r="F42">
            <v>0.66200000000000003</v>
          </cell>
          <cell r="G42">
            <v>1.1520000000000001</v>
          </cell>
          <cell r="H42">
            <v>6.95</v>
          </cell>
          <cell r="I42">
            <v>2.6459999999999999</v>
          </cell>
          <cell r="J42">
            <v>4.3040000000000003</v>
          </cell>
          <cell r="K42">
            <v>7.9379999999999988</v>
          </cell>
        </row>
        <row r="43">
          <cell r="A43" t="str">
            <v>Gevinst ved salg av finansielle omløpsmidler og anleggsmidler eksternt</v>
          </cell>
          <cell r="E43">
            <v>0</v>
          </cell>
          <cell r="F43">
            <v>0</v>
          </cell>
          <cell r="G43">
            <v>0</v>
          </cell>
          <cell r="H43">
            <v>0</v>
          </cell>
          <cell r="I43">
            <v>0</v>
          </cell>
          <cell r="J43">
            <v>0</v>
          </cell>
          <cell r="K43">
            <v>0</v>
          </cell>
        </row>
        <row r="44">
          <cell r="A44" t="str">
            <v>Eksterne finanskostnader</v>
          </cell>
          <cell r="E44">
            <v>-1.8009999999999999</v>
          </cell>
          <cell r="F44">
            <v>-2.9000000000000001E-2</v>
          </cell>
          <cell r="G44">
            <v>-1.772</v>
          </cell>
          <cell r="H44">
            <v>-5.2569999999999997</v>
          </cell>
          <cell r="I44">
            <v>-0.11799999999999999</v>
          </cell>
          <cell r="J44">
            <v>-5.1389999999999993</v>
          </cell>
          <cell r="K44">
            <v>-0.35499999999999998</v>
          </cell>
        </row>
        <row r="45">
          <cell r="A45" t="str">
            <v>Finanskostnader innen Telenor</v>
          </cell>
          <cell r="E45">
            <v>-0.67900000000000005</v>
          </cell>
          <cell r="F45">
            <v>0</v>
          </cell>
          <cell r="G45">
            <v>-0.67900000000000005</v>
          </cell>
          <cell r="H45">
            <v>-1.7390000000000001</v>
          </cell>
          <cell r="I45">
            <v>0</v>
          </cell>
          <cell r="J45">
            <v>-1.7390000000000001</v>
          </cell>
          <cell r="K45">
            <v>0</v>
          </cell>
        </row>
        <row r="46">
          <cell r="A46" t="str">
            <v>Tap ved salg av finansielle omløpsmidler og anleggsmidler eksternt</v>
          </cell>
          <cell r="E46">
            <v>0</v>
          </cell>
          <cell r="F46">
            <v>0</v>
          </cell>
          <cell r="H46">
            <v>0</v>
          </cell>
          <cell r="I46">
            <v>0</v>
          </cell>
          <cell r="J46">
            <v>0</v>
          </cell>
          <cell r="K46">
            <v>0</v>
          </cell>
        </row>
        <row r="47">
          <cell r="A47" t="str">
            <v>Netto finansposter</v>
          </cell>
          <cell r="E47">
            <v>0.19200000000000017</v>
          </cell>
          <cell r="F47">
            <v>0.66300000000000003</v>
          </cell>
          <cell r="G47">
            <v>-0.47099999999999986</v>
          </cell>
          <cell r="H47">
            <v>1.7950000000000006</v>
          </cell>
          <cell r="I47">
            <v>2.6480000000000001</v>
          </cell>
          <cell r="J47">
            <v>-0.85299999999999954</v>
          </cell>
          <cell r="K47">
            <v>7.9429999999999978</v>
          </cell>
        </row>
        <row r="49">
          <cell r="A49" t="str">
            <v>RESULTAT FØR FORDELTE FELLESKOSTNADER</v>
          </cell>
          <cell r="E49">
            <v>-29.219000000000005</v>
          </cell>
          <cell r="F49">
            <v>-21.075999999999965</v>
          </cell>
          <cell r="G49">
            <v>-8.1430000000000415</v>
          </cell>
          <cell r="H49">
            <v>-151.0209999999999</v>
          </cell>
          <cell r="I49">
            <v>-128.14799999999991</v>
          </cell>
          <cell r="J49">
            <v>-22.87299999999999</v>
          </cell>
        </row>
        <row r="51">
          <cell r="A51" t="str">
            <v>Fordelte felleskostnader</v>
          </cell>
          <cell r="E51">
            <v>0</v>
          </cell>
          <cell r="F51">
            <v>0</v>
          </cell>
          <cell r="G51">
            <v>0</v>
          </cell>
          <cell r="H51">
            <v>0</v>
          </cell>
          <cell r="I51">
            <v>0</v>
          </cell>
          <cell r="J51">
            <v>0</v>
          </cell>
        </row>
        <row r="53">
          <cell r="A53" t="str">
            <v>RESULTAT FØR SKATT</v>
          </cell>
          <cell r="E53">
            <v>-29.219000000000005</v>
          </cell>
          <cell r="F53">
            <v>-21.075999999999965</v>
          </cell>
          <cell r="G53">
            <v>-8.1430000000000415</v>
          </cell>
          <cell r="H53">
            <v>-151.0209999999999</v>
          </cell>
          <cell r="I53">
            <v>-128.14799999999991</v>
          </cell>
          <cell r="J53">
            <v>-22.87299999999999</v>
          </cell>
          <cell r="K53">
            <v>-173.15399999999983</v>
          </cell>
        </row>
        <row r="55">
          <cell r="A55" t="str">
            <v>Skatt</v>
          </cell>
        </row>
        <row r="57">
          <cell r="A57" t="str">
            <v>Minoritetsinteresser</v>
          </cell>
        </row>
        <row r="59">
          <cell r="A59" t="str">
            <v>Resultat etter skatt (årsresultat)</v>
          </cell>
        </row>
        <row r="61">
          <cell r="A61" t="str">
            <v>NØKKELTALL:</v>
          </cell>
        </row>
        <row r="62">
          <cell r="A62" t="str">
            <v>Dekningsgrad</v>
          </cell>
          <cell r="E62">
            <v>0.36755736863059618</v>
          </cell>
          <cell r="F62">
            <v>0.33846424178527507</v>
          </cell>
          <cell r="G62">
            <v>0.27755900756166546</v>
          </cell>
          <cell r="H62">
            <v>0.32871343284780019</v>
          </cell>
          <cell r="I62">
            <v>0.32979049576466518</v>
          </cell>
          <cell r="J62">
            <v>0.33385109612736974</v>
          </cell>
          <cell r="K62">
            <v>0.34102635878862331</v>
          </cell>
        </row>
        <row r="63">
          <cell r="A63" t="str">
            <v>Driftsmargin</v>
          </cell>
          <cell r="E63">
            <v>-0.1639730192892464</v>
          </cell>
          <cell r="F63">
            <v>-8.4226556551279655E-2</v>
          </cell>
          <cell r="G63">
            <v>8.271930036479648E-2</v>
          </cell>
          <cell r="H63">
            <v>-0.20002461331018237</v>
          </cell>
          <cell r="I63">
            <v>-0.13804908167451133</v>
          </cell>
          <cell r="J63">
            <v>9.5602882661166247E-2</v>
          </cell>
          <cell r="K63">
            <v>-5.3352623271552935E-2</v>
          </cell>
        </row>
        <row r="64">
          <cell r="A64" t="str">
            <v>Resultatmargin</v>
          </cell>
          <cell r="E64">
            <v>-0.16859482196539133</v>
          </cell>
          <cell r="F64">
            <v>-8.2297584880610564E-2</v>
          </cell>
          <cell r="G64">
            <v>9.8362041891141519E-2</v>
          </cell>
          <cell r="H64">
            <v>-0.2020177563630087</v>
          </cell>
          <cell r="I64">
            <v>-0.13548419837352979</v>
          </cell>
          <cell r="J64">
            <v>0.11535183494797993</v>
          </cell>
          <cell r="K64">
            <v>-5.2287569857327486E-2</v>
          </cell>
        </row>
        <row r="65">
          <cell r="A65" t="str">
            <v>Resultatmargin etter fordelte kostnader</v>
          </cell>
          <cell r="E65">
            <v>-0.16859482196539133</v>
          </cell>
          <cell r="F65">
            <v>-8.2297584880610564E-2</v>
          </cell>
          <cell r="G65">
            <v>9.8362041891141519E-2</v>
          </cell>
          <cell r="H65">
            <v>-0.2020177563630087</v>
          </cell>
          <cell r="I65">
            <v>-0.13548419837352979</v>
          </cell>
          <cell r="J65">
            <v>0.11535183494797993</v>
          </cell>
          <cell r="K65">
            <v>-5.2287569857327486E-2</v>
          </cell>
        </row>
        <row r="66">
          <cell r="A66" t="str">
            <v>Driftskostnad i % av omsetning 1)</v>
          </cell>
          <cell r="E66">
            <v>0.43134516961034913</v>
          </cell>
          <cell r="F66">
            <v>0.33106464397977309</v>
          </cell>
          <cell r="G66">
            <v>-0.12113159229821466</v>
          </cell>
          <cell r="H66">
            <v>0.42186411044955402</v>
          </cell>
          <cell r="I66">
            <v>0.37444335900331127</v>
          </cell>
          <cell r="J66">
            <v>-0.19566390470474915</v>
          </cell>
          <cell r="K66">
            <v>0.31097536486459149</v>
          </cell>
        </row>
        <row r="67">
          <cell r="A67" t="str">
            <v>Pers.kost pr. årsverk 2) 3)</v>
          </cell>
          <cell r="E67">
            <v>0.2795617817916457</v>
          </cell>
          <cell r="F67">
            <v>0.27260063898778492</v>
          </cell>
          <cell r="G67">
            <v>-6.961142803860787E-3</v>
          </cell>
          <cell r="H67">
            <v>0.27430440039273279</v>
          </cell>
          <cell r="I67">
            <v>0.28494292301723145</v>
          </cell>
          <cell r="J67">
            <v>1.0638522624498659E-2</v>
          </cell>
          <cell r="K67">
            <v>797.12128362435112</v>
          </cell>
        </row>
        <row r="68">
          <cell r="A68" t="str">
            <v>Andre dr.kost. pr. årsverk 2) 3)</v>
          </cell>
          <cell r="E68">
            <v>0</v>
          </cell>
          <cell r="F68" t="e">
            <v>#DIV/0!</v>
          </cell>
          <cell r="G68" t="e">
            <v>#DIV/0!</v>
          </cell>
          <cell r="J68">
            <v>0</v>
          </cell>
          <cell r="K68">
            <v>333.09261718449909</v>
          </cell>
        </row>
        <row r="70">
          <cell r="A70" t="str">
            <v>Årsverk - egne</v>
          </cell>
          <cell r="H70">
            <v>1057</v>
          </cell>
          <cell r="I70">
            <v>1195</v>
          </cell>
          <cell r="J70">
            <v>138</v>
          </cell>
          <cell r="K70">
            <v>1224</v>
          </cell>
        </row>
        <row r="71">
          <cell r="A71" t="str">
            <v>Årsverk - innleide</v>
          </cell>
          <cell r="H71">
            <v>59</v>
          </cell>
          <cell r="I71">
            <v>31</v>
          </cell>
          <cell r="J71">
            <v>-28</v>
          </cell>
          <cell r="K71">
            <v>21</v>
          </cell>
        </row>
        <row r="73">
          <cell r="A73" t="str">
            <v>Investeringer</v>
          </cell>
          <cell r="H73">
            <v>13</v>
          </cell>
          <cell r="I73">
            <v>93</v>
          </cell>
          <cell r="J73">
            <v>80</v>
          </cell>
          <cell r="K73">
            <v>263</v>
          </cell>
        </row>
        <row r="75">
          <cell r="A75" t="str">
            <v>1) Driftskostnad = Pers.kost. + andre driftskostnader</v>
          </cell>
        </row>
        <row r="76">
          <cell r="A76" t="str">
            <v>2) Annualisert</v>
          </cell>
        </row>
        <row r="77">
          <cell r="A77" t="str">
            <v>3) Tusen kr.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63A6-37A0-4D9F-BA8C-2FD2D5D57A5F}">
  <dimension ref="A8:AU39"/>
  <sheetViews>
    <sheetView showGridLines="0" tabSelected="1" zoomScaleNormal="100" workbookViewId="0">
      <selection activeCell="B11" sqref="B11"/>
    </sheetView>
  </sheetViews>
  <sheetFormatPr defaultColWidth="8.85546875" defaultRowHeight="12"/>
  <cols>
    <col min="1" max="1" width="15.5703125" style="93" customWidth="1"/>
    <col min="2" max="2" width="13" style="93" customWidth="1"/>
    <col min="3" max="9" width="8.85546875" style="93"/>
    <col min="10" max="10" width="9.85546875" style="93" bestFit="1" customWidth="1"/>
    <col min="11" max="12" width="8.85546875" style="93"/>
    <col min="13" max="13" width="10.7109375" style="93" bestFit="1" customWidth="1"/>
    <col min="14" max="20" width="8.85546875" style="93"/>
    <col min="21" max="21" width="7.5703125" style="93" bestFit="1" customWidth="1"/>
    <col min="22" max="16384" width="8.85546875" style="93"/>
  </cols>
  <sheetData>
    <row r="8" spans="1:20" ht="13.5" thickBot="1">
      <c r="A8" s="91"/>
      <c r="B8" s="92"/>
      <c r="C8" s="92"/>
      <c r="D8" s="92"/>
      <c r="E8" s="92"/>
      <c r="F8" s="92"/>
      <c r="G8" s="92"/>
      <c r="H8" s="92"/>
      <c r="I8" s="92"/>
      <c r="J8" s="92"/>
      <c r="K8" s="92"/>
      <c r="L8" s="92"/>
      <c r="M8" s="92"/>
      <c r="N8" s="92"/>
      <c r="O8" s="92"/>
      <c r="P8" s="92"/>
      <c r="Q8" s="92"/>
      <c r="R8" s="92"/>
      <c r="S8" s="92"/>
      <c r="T8" s="92"/>
    </row>
    <row r="9" spans="1:20">
      <c r="A9" s="94"/>
      <c r="B9" s="94"/>
      <c r="C9" s="94"/>
      <c r="D9" s="94"/>
      <c r="E9" s="94"/>
      <c r="F9" s="94"/>
      <c r="G9" s="94"/>
      <c r="H9" s="94"/>
      <c r="I9" s="94"/>
      <c r="J9" s="94"/>
      <c r="K9" s="94"/>
      <c r="L9" s="94"/>
      <c r="M9" s="94"/>
      <c r="N9" s="94"/>
      <c r="O9" s="94"/>
      <c r="P9" s="94"/>
      <c r="Q9" s="94"/>
      <c r="R9" s="94"/>
      <c r="S9" s="94"/>
      <c r="T9" s="94"/>
    </row>
    <row r="10" spans="1:20">
      <c r="A10" s="94"/>
      <c r="B10" s="94"/>
      <c r="C10" s="94"/>
      <c r="D10" s="94"/>
      <c r="E10" s="94"/>
      <c r="F10" s="94"/>
      <c r="G10" s="94"/>
      <c r="H10" s="94"/>
      <c r="I10" s="94"/>
      <c r="J10" s="94"/>
      <c r="K10" s="94"/>
      <c r="L10" s="94"/>
      <c r="M10" s="94"/>
      <c r="N10" s="94"/>
      <c r="O10" s="94"/>
      <c r="P10" s="94"/>
      <c r="Q10" s="94"/>
      <c r="R10" s="94"/>
      <c r="S10" s="94"/>
      <c r="T10" s="94"/>
    </row>
    <row r="11" spans="1:20">
      <c r="A11" s="94"/>
      <c r="B11" s="94"/>
      <c r="C11" s="94"/>
      <c r="D11" s="94"/>
      <c r="E11" s="94"/>
      <c r="F11" s="94"/>
      <c r="G11" s="94"/>
      <c r="H11" s="94"/>
      <c r="I11" s="94"/>
      <c r="J11" s="94"/>
      <c r="K11" s="94"/>
      <c r="L11" s="94"/>
      <c r="M11" s="94"/>
      <c r="N11" s="94"/>
      <c r="O11" s="94"/>
      <c r="P11" s="94"/>
      <c r="Q11" s="94"/>
      <c r="R11" s="94"/>
      <c r="S11" s="94"/>
      <c r="T11" s="94"/>
    </row>
    <row r="12" spans="1:20">
      <c r="A12" s="94"/>
      <c r="B12" s="94"/>
      <c r="C12" s="94"/>
      <c r="D12" s="94"/>
      <c r="E12" s="94"/>
      <c r="F12" s="94"/>
      <c r="G12" s="94"/>
      <c r="H12" s="94"/>
      <c r="I12" s="94"/>
      <c r="J12" s="94"/>
      <c r="K12" s="94"/>
      <c r="L12" s="94"/>
      <c r="M12" s="94"/>
      <c r="N12" s="94"/>
      <c r="O12" s="94"/>
      <c r="P12" s="94"/>
      <c r="Q12" s="94"/>
      <c r="R12" s="94"/>
      <c r="S12" s="94"/>
      <c r="T12" s="94"/>
    </row>
    <row r="13" spans="1:20" ht="23.25">
      <c r="A13" s="94"/>
      <c r="B13" s="95" t="s">
        <v>2306</v>
      </c>
      <c r="C13" s="94"/>
      <c r="D13" s="94"/>
      <c r="E13" s="94"/>
      <c r="F13" s="94"/>
      <c r="G13" s="94"/>
      <c r="H13" s="94"/>
      <c r="I13" s="94"/>
      <c r="J13" s="94"/>
      <c r="K13" s="94"/>
      <c r="L13" s="94"/>
      <c r="M13" s="94"/>
      <c r="N13" s="94"/>
      <c r="O13" s="94"/>
      <c r="P13" s="94"/>
      <c r="Q13" s="94"/>
      <c r="R13" s="94"/>
      <c r="S13" s="94"/>
      <c r="T13" s="94"/>
    </row>
    <row r="14" spans="1:20">
      <c r="A14" s="94"/>
      <c r="B14" s="94"/>
      <c r="C14" s="94"/>
      <c r="D14" s="94"/>
      <c r="E14" s="94"/>
      <c r="F14" s="94"/>
      <c r="G14" s="94"/>
      <c r="H14" s="94"/>
      <c r="I14" s="94"/>
      <c r="J14" s="94"/>
      <c r="K14" s="94"/>
      <c r="L14" s="94"/>
      <c r="M14" s="94"/>
      <c r="N14" s="94"/>
      <c r="O14" s="94"/>
      <c r="P14" s="94"/>
      <c r="Q14" s="94"/>
      <c r="R14" s="94"/>
      <c r="S14" s="94"/>
      <c r="T14" s="94"/>
    </row>
    <row r="15" spans="1:20">
      <c r="A15" s="94"/>
      <c r="B15" s="94"/>
      <c r="C15" s="94"/>
      <c r="D15" s="94"/>
      <c r="E15" s="94"/>
      <c r="F15" s="94"/>
      <c r="G15" s="94"/>
      <c r="H15" s="94"/>
      <c r="I15" s="94"/>
      <c r="J15" s="94"/>
      <c r="K15" s="94"/>
      <c r="L15" s="94"/>
      <c r="M15" s="94"/>
      <c r="N15" s="94"/>
      <c r="O15" s="94"/>
      <c r="P15" s="94"/>
      <c r="Q15" s="94"/>
      <c r="R15" s="94"/>
      <c r="S15" s="94"/>
      <c r="T15" s="94"/>
    </row>
    <row r="16" spans="1:20">
      <c r="A16" s="94"/>
      <c r="B16" s="96">
        <f ca="1">+TODAY()</f>
        <v>45412</v>
      </c>
      <c r="C16" s="94"/>
      <c r="D16" s="94"/>
      <c r="E16" s="94"/>
      <c r="F16" s="94"/>
      <c r="G16" s="94"/>
      <c r="H16" s="94"/>
      <c r="I16" s="94"/>
      <c r="J16" s="94"/>
      <c r="K16" s="94"/>
      <c r="L16" s="94"/>
      <c r="M16" s="94"/>
      <c r="N16" s="94"/>
      <c r="O16" s="94"/>
      <c r="P16" s="94"/>
      <c r="Q16" s="94"/>
      <c r="R16" s="94"/>
      <c r="S16" s="94"/>
      <c r="T16" s="94"/>
    </row>
    <row r="17" spans="1:47" ht="12.75">
      <c r="A17" s="94"/>
      <c r="B17" s="97"/>
      <c r="C17" s="94"/>
      <c r="D17" s="94"/>
      <c r="E17" s="94"/>
      <c r="F17" s="94"/>
      <c r="G17" s="94"/>
      <c r="H17" s="94"/>
      <c r="I17" s="94"/>
      <c r="J17" s="94"/>
      <c r="K17" s="94"/>
      <c r="L17" s="94"/>
      <c r="M17" s="94"/>
      <c r="N17" s="94"/>
      <c r="O17" s="94"/>
      <c r="P17" s="94"/>
      <c r="Q17" s="94"/>
      <c r="R17" s="94"/>
      <c r="S17" s="94"/>
      <c r="T17" s="94"/>
    </row>
    <row r="18" spans="1:47" ht="12.75">
      <c r="A18" s="94"/>
      <c r="B18" s="97"/>
      <c r="C18" s="94"/>
      <c r="D18" s="94"/>
      <c r="E18" s="94"/>
      <c r="F18" s="94"/>
      <c r="G18" s="94"/>
      <c r="H18" s="94"/>
      <c r="I18" s="94"/>
      <c r="J18" s="94"/>
      <c r="K18" s="94"/>
      <c r="L18" s="94"/>
      <c r="M18" s="94"/>
      <c r="N18" s="94"/>
      <c r="O18" s="94"/>
      <c r="P18" s="94"/>
      <c r="Q18" s="94"/>
      <c r="R18" s="94"/>
      <c r="S18" s="94"/>
      <c r="T18" s="94"/>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row>
    <row r="19" spans="1:47" ht="12.75">
      <c r="A19" s="94"/>
      <c r="B19" s="99" t="s">
        <v>2299</v>
      </c>
      <c r="C19" s="94"/>
      <c r="D19" s="94"/>
      <c r="E19" s="94"/>
      <c r="F19" s="94"/>
      <c r="G19" s="94"/>
      <c r="H19" s="100"/>
      <c r="I19" s="94"/>
      <c r="J19" s="94"/>
      <c r="K19" s="94"/>
      <c r="L19" s="94"/>
      <c r="M19" s="94"/>
      <c r="N19" s="94"/>
      <c r="O19" s="94"/>
      <c r="P19" s="94"/>
      <c r="Q19" s="94"/>
      <c r="R19" s="94"/>
      <c r="S19" s="94"/>
      <c r="T19" s="94"/>
      <c r="U19" s="98"/>
      <c r="V19" s="98"/>
    </row>
    <row r="20" spans="1:47" ht="12.75">
      <c r="A20" s="94"/>
      <c r="B20" s="101" t="s">
        <v>2300</v>
      </c>
      <c r="C20" s="94"/>
      <c r="D20" s="94"/>
      <c r="E20" s="94"/>
      <c r="F20" s="94"/>
      <c r="G20" s="94"/>
      <c r="H20" s="94"/>
      <c r="I20" s="94"/>
      <c r="J20" s="94"/>
      <c r="K20" s="94"/>
      <c r="L20" s="94"/>
      <c r="M20" s="94"/>
      <c r="N20" s="94"/>
      <c r="O20" s="94"/>
      <c r="P20" s="94"/>
      <c r="Q20" s="94"/>
      <c r="R20" s="98"/>
      <c r="S20" s="98"/>
      <c r="T20" s="98"/>
      <c r="U20" s="98"/>
      <c r="V20" s="98"/>
    </row>
    <row r="21" spans="1:47" ht="12.75">
      <c r="A21" s="94"/>
      <c r="B21" s="102" t="s">
        <v>2301</v>
      </c>
      <c r="C21" s="103"/>
      <c r="D21" s="103"/>
      <c r="E21" s="94"/>
      <c r="F21" s="94"/>
      <c r="G21" s="94"/>
      <c r="H21" s="94"/>
      <c r="I21" s="94"/>
      <c r="J21" s="94"/>
      <c r="K21" s="94"/>
      <c r="L21" s="94"/>
      <c r="M21" s="94"/>
      <c r="N21" s="94"/>
      <c r="O21" s="94"/>
      <c r="P21" s="94"/>
      <c r="Q21" s="94"/>
      <c r="R21" s="94"/>
      <c r="S21" s="94"/>
      <c r="T21" s="94"/>
    </row>
    <row r="22" spans="1:47" ht="12.75">
      <c r="A22" s="94"/>
      <c r="B22" s="97" t="s">
        <v>2302</v>
      </c>
      <c r="C22" s="103"/>
      <c r="D22" s="103"/>
      <c r="E22" s="94"/>
      <c r="F22" s="94"/>
      <c r="G22" s="94"/>
      <c r="H22" s="94"/>
      <c r="I22" s="94"/>
      <c r="J22" s="94"/>
      <c r="K22" s="94"/>
      <c r="L22" s="94"/>
      <c r="M22" s="94"/>
      <c r="N22" s="94"/>
      <c r="O22" s="94"/>
      <c r="P22" s="94"/>
      <c r="Q22" s="94"/>
      <c r="R22" s="94"/>
      <c r="S22" s="94"/>
      <c r="T22" s="94"/>
    </row>
    <row r="23" spans="1:47" ht="12.75">
      <c r="A23" s="94"/>
      <c r="B23" s="97"/>
      <c r="C23" s="103"/>
      <c r="D23" s="103"/>
      <c r="E23" s="94"/>
      <c r="F23" s="94"/>
      <c r="G23" s="94"/>
      <c r="H23" s="94"/>
      <c r="I23" s="94"/>
      <c r="J23" s="94"/>
      <c r="K23" s="94"/>
      <c r="L23" s="94"/>
      <c r="M23" s="94"/>
      <c r="N23" s="94"/>
      <c r="O23" s="94"/>
      <c r="P23" s="94"/>
      <c r="Q23" s="94"/>
      <c r="R23" s="94"/>
      <c r="S23" s="94"/>
      <c r="T23" s="94"/>
    </row>
    <row r="24" spans="1:47">
      <c r="A24" s="94"/>
      <c r="B24" s="104"/>
      <c r="C24" s="103"/>
      <c r="D24" s="103"/>
      <c r="E24" s="94"/>
      <c r="F24" s="94"/>
      <c r="G24" s="94"/>
      <c r="H24" s="94"/>
      <c r="I24" s="94"/>
      <c r="J24" s="105"/>
      <c r="K24" s="94"/>
      <c r="L24" s="94"/>
      <c r="M24" s="94"/>
      <c r="N24" s="94"/>
      <c r="O24" s="94"/>
      <c r="P24" s="94"/>
      <c r="Q24" s="94"/>
      <c r="R24" s="94"/>
      <c r="S24" s="94"/>
      <c r="T24" s="94"/>
    </row>
    <row r="25" spans="1:47">
      <c r="A25" s="94"/>
      <c r="B25" s="103" t="s">
        <v>2303</v>
      </c>
      <c r="C25" s="106" t="s">
        <v>344</v>
      </c>
      <c r="D25" s="94"/>
      <c r="E25" s="94"/>
      <c r="F25" s="94"/>
      <c r="G25" s="94"/>
      <c r="H25" s="94"/>
      <c r="I25" s="94"/>
      <c r="J25" s="94"/>
      <c r="K25" s="94"/>
      <c r="L25" s="94"/>
      <c r="M25" s="105"/>
      <c r="N25" s="94"/>
      <c r="O25" s="94"/>
      <c r="P25" s="94"/>
      <c r="Q25" s="94"/>
      <c r="R25" s="94"/>
      <c r="S25" s="94"/>
      <c r="T25" s="94"/>
    </row>
    <row r="26" spans="1:47">
      <c r="A26" s="94"/>
      <c r="B26" s="103" t="s">
        <v>2304</v>
      </c>
      <c r="C26" s="106" t="s">
        <v>3244</v>
      </c>
      <c r="D26" s="94"/>
      <c r="E26" s="94"/>
      <c r="F26" s="94"/>
      <c r="G26" s="94"/>
      <c r="H26" s="94"/>
      <c r="I26" s="94"/>
      <c r="J26" s="94"/>
      <c r="K26" s="94"/>
      <c r="L26" s="94"/>
      <c r="M26" s="105"/>
      <c r="N26" s="94"/>
      <c r="O26" s="94"/>
      <c r="P26" s="94"/>
      <c r="Q26" s="94"/>
      <c r="R26" s="94"/>
      <c r="S26" s="94"/>
      <c r="T26" s="94"/>
    </row>
    <row r="27" spans="1:47">
      <c r="A27" s="94"/>
      <c r="B27" s="103" t="s">
        <v>2305</v>
      </c>
      <c r="C27" s="108" t="s">
        <v>3065</v>
      </c>
      <c r="D27" s="100"/>
      <c r="E27" s="100"/>
      <c r="F27" s="94"/>
      <c r="G27" s="94"/>
      <c r="H27" s="94"/>
      <c r="I27" s="94"/>
      <c r="J27" s="94"/>
      <c r="K27" s="94"/>
      <c r="L27" s="94"/>
      <c r="M27" s="94"/>
      <c r="N27" s="94"/>
      <c r="O27" s="94"/>
      <c r="P27" s="94"/>
      <c r="Q27" s="94"/>
      <c r="R27" s="94"/>
      <c r="S27" s="94"/>
      <c r="T27" s="94"/>
    </row>
    <row r="28" spans="1:47">
      <c r="A28" s="94"/>
      <c r="B28" s="103"/>
      <c r="C28" s="107"/>
      <c r="D28" s="100"/>
      <c r="E28" s="100"/>
      <c r="F28" s="100"/>
      <c r="G28" s="100"/>
      <c r="H28" s="100"/>
      <c r="I28" s="100"/>
      <c r="J28" s="100"/>
      <c r="K28" s="100"/>
      <c r="L28" s="100"/>
      <c r="M28" s="100"/>
      <c r="N28" s="100"/>
      <c r="O28" s="100"/>
      <c r="P28" s="94"/>
      <c r="Q28" s="94"/>
      <c r="R28" s="94"/>
      <c r="S28" s="94"/>
      <c r="T28" s="94"/>
    </row>
    <row r="29" spans="1:47">
      <c r="A29" s="94"/>
      <c r="B29" s="103"/>
      <c r="C29" s="107"/>
      <c r="D29" s="100"/>
      <c r="E29" s="100"/>
      <c r="F29" s="100"/>
      <c r="G29" s="100"/>
      <c r="H29" s="100"/>
      <c r="I29" s="100"/>
      <c r="J29" s="100"/>
      <c r="K29" s="100"/>
      <c r="L29" s="100"/>
      <c r="M29" s="100"/>
      <c r="N29" s="100"/>
      <c r="O29" s="100"/>
      <c r="P29" s="94"/>
      <c r="Q29" s="94"/>
      <c r="R29" s="94"/>
      <c r="S29" s="94"/>
      <c r="T29" s="94"/>
    </row>
    <row r="30" spans="1:47">
      <c r="A30" s="94"/>
      <c r="B30" s="103"/>
      <c r="C30" s="107"/>
      <c r="D30" s="94"/>
      <c r="E30" s="94"/>
      <c r="F30" s="94"/>
      <c r="G30" s="94"/>
      <c r="H30" s="94"/>
      <c r="I30" s="94"/>
      <c r="J30" s="94"/>
      <c r="K30" s="94"/>
      <c r="L30" s="94"/>
      <c r="M30" s="94"/>
      <c r="N30" s="94"/>
      <c r="O30" s="94"/>
      <c r="P30" s="94"/>
      <c r="Q30" s="94"/>
      <c r="R30" s="94"/>
      <c r="S30" s="94"/>
      <c r="T30" s="94"/>
    </row>
    <row r="31" spans="1:47">
      <c r="A31" s="94"/>
      <c r="B31" s="94"/>
      <c r="C31" s="94"/>
      <c r="D31" s="94"/>
      <c r="E31" s="94"/>
      <c r="F31" s="94"/>
      <c r="G31" s="94"/>
      <c r="H31" s="94"/>
      <c r="I31" s="94"/>
      <c r="J31" s="94"/>
      <c r="K31" s="94"/>
      <c r="L31" s="94"/>
      <c r="M31" s="94"/>
      <c r="N31" s="94"/>
      <c r="O31" s="94"/>
      <c r="P31" s="94"/>
      <c r="Q31" s="94"/>
      <c r="R31" s="94"/>
      <c r="S31" s="94"/>
      <c r="T31" s="94"/>
    </row>
    <row r="32" spans="1:47">
      <c r="A32" s="94"/>
      <c r="B32" s="94"/>
      <c r="C32" s="94"/>
      <c r="D32" s="94"/>
      <c r="E32" s="94"/>
      <c r="F32" s="94"/>
      <c r="G32" s="94"/>
      <c r="H32" s="94"/>
      <c r="I32" s="94"/>
      <c r="J32" s="94"/>
      <c r="K32" s="94"/>
      <c r="L32" s="94"/>
      <c r="M32" s="94"/>
      <c r="N32" s="94"/>
      <c r="O32" s="94"/>
      <c r="P32" s="94"/>
      <c r="Q32" s="94"/>
      <c r="R32" s="94"/>
      <c r="S32" s="94"/>
      <c r="T32" s="94"/>
    </row>
    <row r="33" spans="1:20">
      <c r="A33" s="94"/>
      <c r="B33" s="94"/>
      <c r="C33" s="94"/>
      <c r="D33" s="94"/>
      <c r="E33" s="94"/>
      <c r="F33" s="94"/>
      <c r="G33" s="94"/>
      <c r="H33" s="94"/>
      <c r="I33" s="94"/>
      <c r="J33" s="94"/>
      <c r="K33" s="94"/>
      <c r="L33" s="94"/>
      <c r="M33" s="94"/>
      <c r="N33" s="94"/>
      <c r="O33" s="94"/>
      <c r="P33" s="94"/>
      <c r="Q33" s="94"/>
      <c r="R33" s="94"/>
      <c r="S33" s="94"/>
      <c r="T33" s="94"/>
    </row>
    <row r="34" spans="1:20">
      <c r="A34" s="94"/>
      <c r="B34" s="94"/>
      <c r="C34" s="94"/>
      <c r="D34" s="94"/>
      <c r="E34" s="94"/>
      <c r="F34" s="94"/>
      <c r="G34" s="94"/>
      <c r="H34" s="94"/>
      <c r="I34" s="94"/>
      <c r="J34" s="94"/>
      <c r="K34" s="94"/>
      <c r="L34" s="94"/>
      <c r="M34" s="94"/>
      <c r="N34" s="94"/>
      <c r="O34" s="94"/>
      <c r="P34" s="94"/>
      <c r="Q34" s="94"/>
      <c r="R34" s="94"/>
      <c r="S34" s="94"/>
      <c r="T34" s="94"/>
    </row>
    <row r="35" spans="1:20">
      <c r="A35" s="94"/>
      <c r="B35" s="94"/>
      <c r="C35" s="94"/>
      <c r="D35" s="94"/>
      <c r="E35" s="94"/>
      <c r="F35" s="94"/>
      <c r="G35" s="94"/>
      <c r="H35" s="94"/>
      <c r="I35" s="94"/>
      <c r="J35" s="94"/>
      <c r="K35" s="94"/>
      <c r="L35" s="94"/>
      <c r="M35" s="94"/>
      <c r="N35" s="94"/>
      <c r="O35" s="94"/>
      <c r="P35" s="94"/>
      <c r="Q35" s="94"/>
      <c r="R35" s="94"/>
      <c r="S35" s="94"/>
      <c r="T35" s="94"/>
    </row>
    <row r="36" spans="1:20">
      <c r="A36" s="94"/>
      <c r="B36" s="94"/>
      <c r="C36" s="94"/>
      <c r="D36" s="94"/>
      <c r="E36" s="94"/>
      <c r="F36" s="94"/>
      <c r="G36" s="94"/>
      <c r="H36" s="94"/>
      <c r="I36" s="94"/>
      <c r="J36" s="94"/>
      <c r="K36" s="94"/>
      <c r="L36" s="94"/>
      <c r="M36" s="94"/>
      <c r="N36" s="94"/>
      <c r="O36" s="94"/>
      <c r="P36" s="94"/>
      <c r="Q36" s="94"/>
      <c r="R36" s="94"/>
      <c r="S36" s="94"/>
      <c r="T36" s="94"/>
    </row>
    <row r="37" spans="1:20">
      <c r="A37" s="94"/>
      <c r="B37" s="94"/>
      <c r="C37" s="94"/>
      <c r="D37" s="94"/>
      <c r="E37" s="94"/>
      <c r="F37" s="94"/>
      <c r="G37" s="94"/>
      <c r="H37" s="94"/>
      <c r="I37" s="94"/>
      <c r="J37" s="94"/>
      <c r="K37" s="94"/>
      <c r="L37" s="94"/>
      <c r="M37" s="94"/>
      <c r="N37" s="94"/>
      <c r="O37" s="94"/>
      <c r="P37" s="94"/>
      <c r="Q37" s="94"/>
      <c r="R37" s="94"/>
      <c r="S37" s="94"/>
      <c r="T37" s="94"/>
    </row>
    <row r="38" spans="1:20">
      <c r="A38" s="94"/>
      <c r="B38" s="94"/>
      <c r="C38" s="94"/>
      <c r="D38" s="94"/>
      <c r="E38" s="94"/>
      <c r="F38" s="94"/>
      <c r="G38" s="94"/>
      <c r="H38" s="94"/>
      <c r="I38" s="94"/>
      <c r="J38" s="94"/>
      <c r="K38" s="94"/>
      <c r="L38" s="94"/>
      <c r="M38" s="94"/>
      <c r="N38" s="94"/>
      <c r="O38" s="94"/>
      <c r="P38" s="94"/>
      <c r="Q38" s="94"/>
      <c r="R38" s="94"/>
      <c r="S38" s="94"/>
      <c r="T38" s="94"/>
    </row>
    <row r="39" spans="1:20" ht="12.75" thickBot="1">
      <c r="A39" s="92"/>
      <c r="B39" s="92"/>
      <c r="C39" s="92"/>
      <c r="D39" s="92"/>
      <c r="E39" s="92"/>
      <c r="F39" s="92"/>
      <c r="G39" s="92"/>
      <c r="H39" s="92"/>
      <c r="I39" s="92"/>
      <c r="J39" s="92"/>
      <c r="K39" s="92"/>
      <c r="L39" s="92"/>
      <c r="M39" s="92"/>
      <c r="N39" s="92"/>
      <c r="O39" s="92"/>
      <c r="P39" s="92"/>
      <c r="Q39" s="92"/>
      <c r="R39" s="92"/>
      <c r="S39" s="92"/>
      <c r="T39" s="9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A1037"/>
  <sheetViews>
    <sheetView showGridLines="0" topLeftCell="A131" zoomScale="70" zoomScaleNormal="70" workbookViewId="0">
      <selection activeCell="M556" sqref="M556"/>
    </sheetView>
  </sheetViews>
  <sheetFormatPr defaultRowHeight="15" outlineLevelRow="1" outlineLevelCol="1"/>
  <cols>
    <col min="3" max="3" width="27.85546875" customWidth="1"/>
    <col min="4" max="4" width="8.28515625" style="116" customWidth="1" outlineLevel="1"/>
    <col min="5" max="5" width="8.140625" style="116" customWidth="1" outlineLevel="1"/>
    <col min="6" max="7" width="8.140625" customWidth="1" outlineLevel="1"/>
    <col min="8" max="11" width="8.140625" customWidth="1"/>
    <col min="12" max="20" width="8.7109375" customWidth="1"/>
    <col min="22" max="23" width="8.85546875" customWidth="1"/>
  </cols>
  <sheetData>
    <row r="3" spans="3:15">
      <c r="C3" s="3" t="s">
        <v>350</v>
      </c>
      <c r="D3" s="115" t="s">
        <v>353</v>
      </c>
      <c r="E3" s="115" t="s">
        <v>197</v>
      </c>
      <c r="F3" s="21"/>
      <c r="G3" s="3"/>
      <c r="H3" s="3" t="s">
        <v>357</v>
      </c>
      <c r="I3" s="3" t="s">
        <v>358</v>
      </c>
    </row>
    <row r="4" spans="3:15">
      <c r="C4" t="s">
        <v>351</v>
      </c>
      <c r="D4" s="116">
        <v>10</v>
      </c>
      <c r="E4" s="116" t="s">
        <v>352</v>
      </c>
      <c r="H4">
        <v>530</v>
      </c>
      <c r="I4" t="e">
        <f>#REF!-H4</f>
        <v>#REF!</v>
      </c>
    </row>
    <row r="5" spans="3:15">
      <c r="C5" t="s">
        <v>354</v>
      </c>
      <c r="D5" s="116">
        <v>10</v>
      </c>
      <c r="E5" s="116" t="s">
        <v>352</v>
      </c>
      <c r="H5">
        <v>459</v>
      </c>
      <c r="I5" t="e">
        <f>#REF!-H5</f>
        <v>#REF!</v>
      </c>
    </row>
    <row r="6" spans="3:15">
      <c r="C6" t="s">
        <v>355</v>
      </c>
      <c r="D6" s="116">
        <v>10</v>
      </c>
      <c r="E6" s="116" t="s">
        <v>356</v>
      </c>
      <c r="H6">
        <v>359</v>
      </c>
      <c r="I6" t="e">
        <f>#REF!-H6</f>
        <v>#REF!</v>
      </c>
    </row>
    <row r="8" spans="3:15">
      <c r="C8" s="17" t="s">
        <v>359</v>
      </c>
    </row>
    <row r="9" spans="3:15">
      <c r="C9" t="s">
        <v>351</v>
      </c>
    </row>
    <row r="10" spans="3:15">
      <c r="C10" t="s">
        <v>355</v>
      </c>
    </row>
    <row r="11" spans="3:15">
      <c r="D11" s="116">
        <v>10</v>
      </c>
    </row>
    <row r="12" spans="3:15">
      <c r="D12" s="116">
        <v>20</v>
      </c>
    </row>
    <row r="16" spans="3:15">
      <c r="D16" s="116">
        <f>Fixed!D2</f>
        <v>2009</v>
      </c>
      <c r="E16" s="116">
        <f>Fixed!E2</f>
        <v>2010</v>
      </c>
      <c r="G16">
        <f>Fixed!G2</f>
        <v>2012</v>
      </c>
      <c r="H16">
        <f>Fixed!H2</f>
        <v>2013</v>
      </c>
      <c r="I16">
        <f>Fixed!I2</f>
        <v>2014</v>
      </c>
      <c r="J16">
        <f>Fixed!J2</f>
        <v>2015</v>
      </c>
      <c r="K16">
        <f>Fixed!K2</f>
        <v>2016</v>
      </c>
      <c r="L16">
        <f>Fixed!L2</f>
        <v>2017</v>
      </c>
      <c r="M16">
        <f>Fixed!M2</f>
        <v>2018</v>
      </c>
      <c r="N16">
        <f>Fixed!N2</f>
        <v>2019</v>
      </c>
      <c r="O16">
        <f>Fixed!O2</f>
        <v>2020</v>
      </c>
    </row>
    <row r="17" spans="3:15">
      <c r="C17" t="s">
        <v>169</v>
      </c>
      <c r="D17" s="116">
        <f>Fixed!D3</f>
        <v>4599</v>
      </c>
      <c r="E17" s="116">
        <f>Fixed!E3</f>
        <v>5214</v>
      </c>
      <c r="G17">
        <f>Fixed!G3</f>
        <v>6210</v>
      </c>
      <c r="H17">
        <f>Fixed!H3</f>
        <v>6573</v>
      </c>
      <c r="I17">
        <f>Fixed!I3</f>
        <v>7174</v>
      </c>
      <c r="J17">
        <f>Fixed!J3</f>
        <v>7487</v>
      </c>
      <c r="K17">
        <f>Fixed!K3</f>
        <v>7868</v>
      </c>
      <c r="L17">
        <f>Fixed!L3</f>
        <v>8135</v>
      </c>
      <c r="M17">
        <f>Fixed!M3</f>
        <v>8428</v>
      </c>
      <c r="N17">
        <f>Fixed!N3</f>
        <v>8836.6749999999993</v>
      </c>
      <c r="O17">
        <f>Fixed!O3</f>
        <v>8955</v>
      </c>
    </row>
    <row r="18" spans="3:15">
      <c r="C18" t="s">
        <v>425</v>
      </c>
      <c r="D18" s="117">
        <f>Fixed!D7</f>
        <v>0.16469113697403759</v>
      </c>
      <c r="E18" s="117">
        <f>Fixed!E7</f>
        <v>0.18214847161572054</v>
      </c>
      <c r="F18" s="23"/>
      <c r="G18" s="23">
        <f>Fixed!G7</f>
        <v>0.21068702290076335</v>
      </c>
      <c r="H18" s="23">
        <f>Fixed!H7</f>
        <v>0.221873417721519</v>
      </c>
      <c r="I18" s="23">
        <f>Fixed!I7</f>
        <v>0.23913333333333334</v>
      </c>
      <c r="J18" s="23">
        <f>Fixed!J7</f>
        <v>0.24853112033195021</v>
      </c>
      <c r="K18" s="23">
        <f>Fixed!K7</f>
        <v>0.26009917355371903</v>
      </c>
      <c r="L18" s="23">
        <f>Fixed!L7</f>
        <v>0.26781893004115226</v>
      </c>
      <c r="M18" s="23">
        <f>Fixed!M7</f>
        <v>0.27632786885245902</v>
      </c>
      <c r="N18" s="23">
        <f>Fixed!N7</f>
        <v>0.28854448979591835</v>
      </c>
      <c r="O18" s="23">
        <f>Fixed!O7</f>
        <v>0.29121951219512193</v>
      </c>
    </row>
    <row r="38" spans="3:15">
      <c r="D38" s="116">
        <f>D16</f>
        <v>2009</v>
      </c>
      <c r="E38" s="116">
        <f>E16</f>
        <v>2010</v>
      </c>
      <c r="G38">
        <f t="shared" ref="G38:O38" si="0">G16</f>
        <v>2012</v>
      </c>
      <c r="H38">
        <f t="shared" si="0"/>
        <v>2013</v>
      </c>
      <c r="I38">
        <f t="shared" si="0"/>
        <v>2014</v>
      </c>
      <c r="J38">
        <f t="shared" si="0"/>
        <v>2015</v>
      </c>
      <c r="K38">
        <f t="shared" si="0"/>
        <v>2016</v>
      </c>
      <c r="L38">
        <f t="shared" si="0"/>
        <v>2017</v>
      </c>
      <c r="M38">
        <f t="shared" si="0"/>
        <v>2018</v>
      </c>
      <c r="N38">
        <f t="shared" si="0"/>
        <v>2019</v>
      </c>
      <c r="O38">
        <f t="shared" si="0"/>
        <v>2020</v>
      </c>
    </row>
    <row r="39" spans="3:15">
      <c r="C39" t="s">
        <v>175</v>
      </c>
      <c r="G39">
        <f>Fixed!G42</f>
        <v>2193</v>
      </c>
      <c r="H39">
        <f>Fixed!H42</f>
        <v>2250</v>
      </c>
      <c r="I39" s="25">
        <f>Fixed!I42</f>
        <v>2560</v>
      </c>
      <c r="J39" s="25">
        <f>Fixed!J42</f>
        <v>3050</v>
      </c>
      <c r="K39" s="25">
        <f>Fixed!K42</f>
        <v>3303</v>
      </c>
      <c r="L39" s="25">
        <f>Fixed!L42</f>
        <v>3405</v>
      </c>
      <c r="M39" s="25">
        <f>Fixed!M42</f>
        <v>3593</v>
      </c>
      <c r="N39" s="25">
        <f>Fixed!N42</f>
        <v>3628</v>
      </c>
      <c r="O39" s="25">
        <f>Fixed!O42</f>
        <v>3933</v>
      </c>
    </row>
    <row r="40" spans="3:15">
      <c r="C40" t="s">
        <v>426</v>
      </c>
      <c r="F40" s="24"/>
      <c r="G40" s="24">
        <f>Fixed!G47</f>
        <v>1.5918832649338805</v>
      </c>
      <c r="H40" s="24">
        <f>Fixed!H47</f>
        <v>1.6319999999999999</v>
      </c>
      <c r="I40" s="24">
        <f>Fixed!I47</f>
        <v>1.74140625</v>
      </c>
      <c r="J40" s="24">
        <f>Fixed!J47</f>
        <v>1.8232786885245902</v>
      </c>
      <c r="K40" s="24">
        <f>Fixed!K47</f>
        <v>1.9300635785649409</v>
      </c>
      <c r="L40" s="24">
        <f>Fixed!L47</f>
        <v>2.094566813509545</v>
      </c>
      <c r="M40" s="24">
        <f>Fixed!M47</f>
        <v>2.2145839131644864</v>
      </c>
      <c r="N40" s="24">
        <f>Fixed!N47</f>
        <v>2.3299239250275634</v>
      </c>
      <c r="O40" s="24">
        <f>Fixed!O47</f>
        <v>2.4281718789727944</v>
      </c>
    </row>
    <row r="59" spans="4:12">
      <c r="G59" t="str">
        <f>Quarts!X4</f>
        <v>Q2 13</v>
      </c>
      <c r="H59" t="str">
        <f>Quarts!Y4</f>
        <v>Q3 13</v>
      </c>
      <c r="I59" t="s">
        <v>221</v>
      </c>
      <c r="J59" t="str">
        <f>Quarts!AA4</f>
        <v>Q1 14</v>
      </c>
      <c r="K59" t="str">
        <f>Quarts!AB4</f>
        <v>Q2 14</v>
      </c>
      <c r="L59" t="str">
        <f>Quarts!AC4</f>
        <v>Q3 14</v>
      </c>
    </row>
    <row r="60" spans="4:12">
      <c r="E60" s="116" t="s">
        <v>427</v>
      </c>
      <c r="F60" s="25"/>
      <c r="G60" s="25">
        <f>Quarts!X64</f>
        <v>123.69999999999999</v>
      </c>
      <c r="H60" s="25">
        <f>Quarts!Y64</f>
        <v>141.80000000000001</v>
      </c>
      <c r="I60" s="25"/>
      <c r="J60" s="25">
        <f>Quarts!AA64</f>
        <v>265.60000000000002</v>
      </c>
      <c r="K60" s="25">
        <f>Quarts!AB64</f>
        <v>307.57500000000005</v>
      </c>
      <c r="L60" s="25">
        <f>Quarts!AC64</f>
        <v>330.20000000000005</v>
      </c>
    </row>
    <row r="61" spans="4:12">
      <c r="E61" s="116" t="s">
        <v>280</v>
      </c>
      <c r="F61" s="26"/>
      <c r="G61" s="26">
        <f>Quarts!X124</f>
        <v>0.13742926434923203</v>
      </c>
      <c r="H61" s="26">
        <f>Quarts!Y124</f>
        <v>0.26093088857545838</v>
      </c>
      <c r="I61" s="26"/>
      <c r="J61" s="26">
        <f>Quarts!AA124</f>
        <v>0.18072289156626503</v>
      </c>
      <c r="K61" s="26">
        <f>Quarts!AB124</f>
        <v>0.17556693489392827</v>
      </c>
      <c r="L61" s="26">
        <f>Quarts!AC124</f>
        <v>0.19685039370078738</v>
      </c>
    </row>
    <row r="64" spans="4:12">
      <c r="D64" s="116">
        <v>2014</v>
      </c>
    </row>
    <row r="65" spans="3:6">
      <c r="C65" t="s">
        <v>526</v>
      </c>
      <c r="D65" s="116">
        <v>429</v>
      </c>
    </row>
    <row r="66" spans="3:6">
      <c r="C66" t="s">
        <v>527</v>
      </c>
      <c r="D66" s="116">
        <v>91</v>
      </c>
      <c r="F66" s="23"/>
    </row>
    <row r="67" spans="3:6">
      <c r="C67" t="s">
        <v>528</v>
      </c>
      <c r="D67" s="116">
        <v>256</v>
      </c>
    </row>
    <row r="68" spans="3:6">
      <c r="C68" t="s">
        <v>529</v>
      </c>
      <c r="D68" s="116">
        <v>148</v>
      </c>
    </row>
    <row r="69" spans="3:6">
      <c r="C69" t="s">
        <v>530</v>
      </c>
      <c r="D69" s="116">
        <v>1053</v>
      </c>
      <c r="F69" s="23"/>
    </row>
    <row r="70" spans="3:6">
      <c r="C70" t="s">
        <v>531</v>
      </c>
      <c r="D70" s="116">
        <v>365</v>
      </c>
    </row>
    <row r="71" spans="3:6">
      <c r="C71" t="s">
        <v>532</v>
      </c>
      <c r="D71" s="116">
        <v>79</v>
      </c>
    </row>
    <row r="72" spans="3:6">
      <c r="C72" s="3" t="s">
        <v>69</v>
      </c>
      <c r="D72" s="115">
        <v>83</v>
      </c>
    </row>
    <row r="73" spans="3:6">
      <c r="D73" s="116">
        <f>SUM(D65:D72)</f>
        <v>2504</v>
      </c>
    </row>
    <row r="86" spans="3:6">
      <c r="C86" s="61" t="s">
        <v>1001</v>
      </c>
    </row>
    <row r="87" spans="3:6" ht="15.75">
      <c r="C87" s="16" t="s">
        <v>670</v>
      </c>
      <c r="D87" s="120">
        <v>2016</v>
      </c>
      <c r="E87" s="120">
        <f>D87+1</f>
        <v>2017</v>
      </c>
      <c r="F87" s="15"/>
    </row>
    <row r="88" spans="3:6" ht="15.75">
      <c r="C88" s="8" t="s">
        <v>411</v>
      </c>
      <c r="D88" s="121">
        <f>Master!P7</f>
        <v>16957</v>
      </c>
      <c r="E88" s="121">
        <f>Master!Q7</f>
        <v>17287</v>
      </c>
      <c r="F88" s="6"/>
    </row>
    <row r="89" spans="3:6" ht="15.75">
      <c r="C89" s="9" t="s">
        <v>1000</v>
      </c>
      <c r="D89" s="121"/>
      <c r="E89" s="121"/>
      <c r="F89" s="6"/>
    </row>
    <row r="90" spans="3:6" ht="15.75">
      <c r="C90" s="9" t="s">
        <v>998</v>
      </c>
      <c r="D90" s="121">
        <f>Fixed!K59</f>
        <v>14658.871117549999</v>
      </c>
      <c r="E90" s="121">
        <f>Fixed!L59</f>
        <v>15340.138999999999</v>
      </c>
      <c r="F90" s="6"/>
    </row>
    <row r="91" spans="3:6" ht="15.75">
      <c r="C91" s="9" t="s">
        <v>999</v>
      </c>
      <c r="D91" s="121">
        <f>D88-D90</f>
        <v>2298.1288824500007</v>
      </c>
      <c r="E91" s="121">
        <f>E88-E90</f>
        <v>1946.8610000000008</v>
      </c>
      <c r="F91" s="6"/>
    </row>
    <row r="92" spans="3:6" ht="15.75">
      <c r="C92" s="9"/>
      <c r="D92" s="121"/>
      <c r="E92" s="121"/>
      <c r="F92" s="6"/>
    </row>
    <row r="93" spans="3:6" ht="15.75">
      <c r="C93" s="8" t="s">
        <v>16</v>
      </c>
      <c r="D93" s="121">
        <f>Master!P12</f>
        <v>6915</v>
      </c>
      <c r="E93" s="121">
        <f>Master!Q12</f>
        <v>7715</v>
      </c>
      <c r="F93" s="6"/>
    </row>
    <row r="94" spans="3:6" ht="15.75">
      <c r="C94" s="8" t="s">
        <v>200</v>
      </c>
      <c r="D94" s="122">
        <f>D93/D88</f>
        <v>0.40779619036386155</v>
      </c>
      <c r="E94" s="122">
        <f>E93/E88</f>
        <v>0.44628911899114942</v>
      </c>
      <c r="F94" s="10"/>
    </row>
    <row r="95" spans="3:6" ht="15.75">
      <c r="C95" s="8" t="s">
        <v>22</v>
      </c>
      <c r="D95" s="121">
        <f>Master!P44</f>
        <v>4874</v>
      </c>
      <c r="E95" s="121">
        <f>Master!Q44</f>
        <v>4692</v>
      </c>
      <c r="F95" s="6"/>
    </row>
    <row r="96" spans="3:6" ht="15.75">
      <c r="C96" s="8" t="s">
        <v>24</v>
      </c>
      <c r="D96" s="121">
        <f>D93-D95</f>
        <v>2041</v>
      </c>
      <c r="E96" s="121">
        <f>E93-E95</f>
        <v>3023</v>
      </c>
      <c r="F96" s="6"/>
    </row>
    <row r="97" spans="3:6" ht="15.75">
      <c r="C97" s="8"/>
      <c r="D97" s="123"/>
      <c r="E97" s="123"/>
      <c r="F97" s="8"/>
    </row>
    <row r="98" spans="3:6" ht="15.75" outlineLevel="1">
      <c r="C98" s="8" t="s">
        <v>671</v>
      </c>
      <c r="D98" s="123"/>
      <c r="E98" s="123"/>
      <c r="F98" s="8"/>
    </row>
    <row r="99" spans="3:6" ht="15.75" outlineLevel="1">
      <c r="C99" s="8" t="str">
        <f>C88</f>
        <v>Revenue</v>
      </c>
      <c r="D99" s="121">
        <v>17075.518170006409</v>
      </c>
      <c r="E99" s="121">
        <v>17950.308366356345</v>
      </c>
      <c r="F99" s="6"/>
    </row>
    <row r="100" spans="3:6" ht="15.75" outlineLevel="1">
      <c r="C100" s="9" t="str">
        <f>C89</f>
        <v xml:space="preserve"> - of which</v>
      </c>
      <c r="D100" s="121"/>
      <c r="E100" s="121"/>
      <c r="F100" s="6"/>
    </row>
    <row r="101" spans="3:6" ht="15.75" outlineLevel="1">
      <c r="C101" s="9" t="str">
        <f>C90</f>
        <v xml:space="preserve"> Core business</v>
      </c>
      <c r="D101" s="121">
        <v>13773.069506406411</v>
      </c>
      <c r="E101" s="121">
        <v>15373.365232895296</v>
      </c>
      <c r="F101" s="6"/>
    </row>
    <row r="102" spans="3:6" ht="15.75" outlineLevel="1">
      <c r="C102" s="9" t="str">
        <f>C91</f>
        <v xml:space="preserve"> Corporate/other</v>
      </c>
      <c r="D102" s="121">
        <f>D99-D101</f>
        <v>3302.4486635999983</v>
      </c>
      <c r="E102" s="121">
        <f>E99-E101</f>
        <v>2576.943133461049</v>
      </c>
      <c r="F102" s="6"/>
    </row>
    <row r="103" spans="3:6" ht="15.75" outlineLevel="1">
      <c r="C103" s="9"/>
      <c r="D103" s="121"/>
      <c r="E103" s="121"/>
      <c r="F103" s="6"/>
    </row>
    <row r="104" spans="3:6" ht="15.75" outlineLevel="1">
      <c r="C104" s="8" t="str">
        <f>C93</f>
        <v>EBITDA</v>
      </c>
      <c r="D104" s="121">
        <v>6745.6500101369174</v>
      </c>
      <c r="E104" s="121">
        <v>7411.644204970702</v>
      </c>
      <c r="F104" s="6"/>
    </row>
    <row r="105" spans="3:6" ht="15.75" outlineLevel="1">
      <c r="C105" s="8" t="str">
        <f>C94</f>
        <v>% margin</v>
      </c>
      <c r="D105" s="122">
        <f>D104/D99</f>
        <v>0.39504804146944289</v>
      </c>
      <c r="E105" s="122">
        <f>E104/E99</f>
        <v>0.41289787638757758</v>
      </c>
      <c r="F105" s="10"/>
    </row>
    <row r="106" spans="3:6" ht="15.75" outlineLevel="1">
      <c r="C106" s="8" t="str">
        <f>C95</f>
        <v>Capex</v>
      </c>
      <c r="D106" s="121">
        <v>4439.6347242016664</v>
      </c>
      <c r="E106" s="121">
        <v>4814.8804915137407</v>
      </c>
      <c r="F106" s="6"/>
    </row>
    <row r="107" spans="3:6" ht="15.75" outlineLevel="1">
      <c r="C107" s="8" t="str">
        <f>C96</f>
        <v>OpFCF</v>
      </c>
      <c r="D107" s="121">
        <f>D104-D106</f>
        <v>2306.0152859352511</v>
      </c>
      <c r="E107" s="121">
        <f>E104-E106</f>
        <v>2596.7637134569613</v>
      </c>
      <c r="F107" s="6"/>
    </row>
    <row r="108" spans="3:6" ht="15.75" outlineLevel="1">
      <c r="C108" s="8"/>
      <c r="D108" s="123"/>
      <c r="E108" s="123"/>
      <c r="F108" s="8"/>
    </row>
    <row r="109" spans="3:6" ht="15.75">
      <c r="C109" s="16" t="s">
        <v>85</v>
      </c>
      <c r="D109" s="120">
        <f>D87</f>
        <v>2016</v>
      </c>
      <c r="E109" s="120">
        <f>E87</f>
        <v>2017</v>
      </c>
      <c r="F109" s="15"/>
    </row>
    <row r="110" spans="3:6" ht="15.75">
      <c r="C110" s="8" t="str">
        <f>C99</f>
        <v>Revenue</v>
      </c>
      <c r="D110" s="122">
        <f>D88/D99-1</f>
        <v>-6.9408242154893607E-3</v>
      </c>
      <c r="E110" s="122">
        <f>E88/E99-1</f>
        <v>-3.6952477518411908E-2</v>
      </c>
      <c r="F110" s="10"/>
    </row>
    <row r="111" spans="3:6" ht="15.75">
      <c r="C111" s="8" t="str">
        <f>C100</f>
        <v xml:space="preserve"> - of which</v>
      </c>
      <c r="D111" s="122"/>
      <c r="E111" s="122"/>
      <c r="F111" s="10"/>
    </row>
    <row r="112" spans="3:6" ht="15.75">
      <c r="C112" s="8" t="str">
        <f>C101</f>
        <v xml:space="preserve"> Core business</v>
      </c>
      <c r="D112" s="122">
        <f>D90/D101-1</f>
        <v>6.4314030415047796E-2</v>
      </c>
      <c r="E112" s="122">
        <f>E90/E101-1</f>
        <v>-2.1612855996031577E-3</v>
      </c>
      <c r="F112" s="10"/>
    </row>
    <row r="113" spans="3:6" ht="15.75">
      <c r="C113" s="8" t="str">
        <f>C102</f>
        <v xml:space="preserve"> Corporate/other</v>
      </c>
      <c r="D113" s="122">
        <f>D91/D102-1</f>
        <v>-0.30411366941740403</v>
      </c>
      <c r="E113" s="122">
        <f>E91/E102-1</f>
        <v>-0.24450758159137009</v>
      </c>
      <c r="F113" s="10"/>
    </row>
    <row r="114" spans="3:6" ht="15.75">
      <c r="C114" s="8"/>
      <c r="D114" s="122"/>
      <c r="E114" s="122"/>
      <c r="F114" s="10"/>
    </row>
    <row r="115" spans="3:6" ht="15.75">
      <c r="C115" s="8" t="str">
        <f>C104</f>
        <v>EBITDA</v>
      </c>
      <c r="D115" s="122">
        <f>D93/D104-1</f>
        <v>2.5105066169841983E-2</v>
      </c>
      <c r="E115" s="122">
        <f>E93/E104-1</f>
        <v>4.092962190843541E-2</v>
      </c>
      <c r="F115" s="10"/>
    </row>
    <row r="116" spans="3:6" ht="15.75">
      <c r="C116" s="8" t="str">
        <f>C106</f>
        <v>Capex</v>
      </c>
      <c r="D116" s="122">
        <f>D95/D106-1</f>
        <v>9.7838066143254743E-2</v>
      </c>
      <c r="E116" s="122">
        <f>E95/E106-1</f>
        <v>-2.5520984732709029E-2</v>
      </c>
      <c r="F116" s="10"/>
    </row>
    <row r="117" spans="3:6" ht="15.75">
      <c r="C117" s="8" t="str">
        <f>C107</f>
        <v>OpFCF</v>
      </c>
      <c r="D117" s="122">
        <f>D96/D107-1</f>
        <v>-0.11492347321009577</v>
      </c>
      <c r="E117" s="122">
        <f>E96/E107-1</f>
        <v>0.16414134421787963</v>
      </c>
      <c r="F117" s="10"/>
    </row>
    <row r="120" spans="3:6" ht="15.75">
      <c r="C120" s="56" t="s">
        <v>195</v>
      </c>
      <c r="D120" s="124" t="s">
        <v>722</v>
      </c>
      <c r="E120" s="124" t="s">
        <v>727</v>
      </c>
    </row>
    <row r="121" spans="3:6" ht="15.75">
      <c r="C121" s="8" t="s">
        <v>723</v>
      </c>
      <c r="D121" s="121">
        <f>SUM(Quarts!AE57:AH57)</f>
        <v>14557.303</v>
      </c>
      <c r="E121" s="121">
        <f>Fixed!K97</f>
        <v>16957</v>
      </c>
    </row>
    <row r="122" spans="3:6" ht="15.75">
      <c r="C122" s="8" t="s">
        <v>728</v>
      </c>
      <c r="D122" s="125"/>
      <c r="E122" s="126">
        <f>E121/D121-1</f>
        <v>0.16484488919410412</v>
      </c>
    </row>
    <row r="123" spans="3:6" ht="15.75">
      <c r="C123" s="8" t="s">
        <v>724</v>
      </c>
      <c r="D123" s="121">
        <f>SUM(Quarts!AE71:AH71)</f>
        <v>11887.35</v>
      </c>
      <c r="E123" s="121">
        <f>Fixed!K59</f>
        <v>14658.871117549999</v>
      </c>
    </row>
    <row r="124" spans="3:6" ht="15.75">
      <c r="C124" s="8" t="s">
        <v>728</v>
      </c>
      <c r="D124" s="125"/>
      <c r="E124" s="126">
        <f>E123/D123-1</f>
        <v>0.2331487772758436</v>
      </c>
    </row>
    <row r="125" spans="3:6" ht="15.75">
      <c r="C125" s="8"/>
      <c r="D125" s="123"/>
      <c r="E125" s="123"/>
    </row>
    <row r="126" spans="3:6" ht="15.75">
      <c r="C126" s="8" t="s">
        <v>725</v>
      </c>
      <c r="D126" s="121">
        <f>SUM(Quarts!AE101:AH101)</f>
        <v>5467.4480000000003</v>
      </c>
      <c r="E126" s="121">
        <f>Fixed!K108</f>
        <v>6448</v>
      </c>
    </row>
    <row r="127" spans="3:6" ht="15.75">
      <c r="C127" s="8" t="s">
        <v>200</v>
      </c>
      <c r="D127" s="122">
        <f>D126/D123</f>
        <v>0.45993833781288512</v>
      </c>
      <c r="E127" s="122">
        <f>E126/E123</f>
        <v>0.43987016109857729</v>
      </c>
    </row>
    <row r="128" spans="3:6" ht="15.75">
      <c r="C128" s="8" t="s">
        <v>726</v>
      </c>
      <c r="D128" s="121">
        <f>SUM(Quarts!AE126:AH126)</f>
        <v>5843.2610000000004</v>
      </c>
      <c r="E128" s="121">
        <f>Fixed!K100</f>
        <v>6915</v>
      </c>
    </row>
    <row r="129" spans="3:5" ht="15.75">
      <c r="C129" s="8" t="s">
        <v>200</v>
      </c>
      <c r="D129" s="122">
        <f>D128/D121</f>
        <v>0.40139722309826215</v>
      </c>
      <c r="E129" s="122">
        <f>E128/E121</f>
        <v>0.40779619036386155</v>
      </c>
    </row>
    <row r="130" spans="3:5" ht="15.75">
      <c r="C130" s="8"/>
      <c r="D130" s="123"/>
      <c r="E130" s="123"/>
    </row>
    <row r="131" spans="3:5" ht="15.75">
      <c r="C131" s="8" t="s">
        <v>22</v>
      </c>
      <c r="D131" s="121">
        <f>SUM(Quarts!AE144:AH144)</f>
        <v>3765</v>
      </c>
      <c r="E131" s="121">
        <f>Master!P44</f>
        <v>4874</v>
      </c>
    </row>
    <row r="132" spans="3:5" ht="15.75">
      <c r="C132" s="8" t="s">
        <v>23</v>
      </c>
      <c r="D132" s="122">
        <f>D131/D121</f>
        <v>0.25863307234863492</v>
      </c>
      <c r="E132" s="122">
        <f>E131/E121</f>
        <v>0.28743291855870734</v>
      </c>
    </row>
    <row r="135" spans="3:5">
      <c r="D135" s="118">
        <v>330</v>
      </c>
    </row>
    <row r="136" spans="3:5">
      <c r="C136" t="s">
        <v>729</v>
      </c>
      <c r="D136" s="127">
        <v>330</v>
      </c>
    </row>
    <row r="137" spans="3:5">
      <c r="C137" t="s">
        <v>1699</v>
      </c>
      <c r="D137" s="127">
        <f t="shared" ref="D137:D143" si="1">E137*D$136</f>
        <v>122.1</v>
      </c>
      <c r="E137" s="117">
        <v>0.37</v>
      </c>
    </row>
    <row r="138" spans="3:5">
      <c r="C138" t="s">
        <v>530</v>
      </c>
      <c r="D138" s="127">
        <f t="shared" si="1"/>
        <v>85.8</v>
      </c>
      <c r="E138" s="117">
        <v>0.26</v>
      </c>
    </row>
    <row r="139" spans="3:5">
      <c r="C139" t="s">
        <v>1703</v>
      </c>
      <c r="D139" s="127">
        <f t="shared" si="1"/>
        <v>46.2</v>
      </c>
      <c r="E139" s="117">
        <v>0.14000000000000001</v>
      </c>
    </row>
    <row r="140" spans="3:5">
      <c r="C140" t="s">
        <v>1701</v>
      </c>
      <c r="D140" s="127">
        <f t="shared" si="1"/>
        <v>33</v>
      </c>
      <c r="E140" s="117">
        <v>0.1</v>
      </c>
    </row>
    <row r="141" spans="3:5">
      <c r="C141" t="s">
        <v>1702</v>
      </c>
      <c r="D141" s="127">
        <f t="shared" si="1"/>
        <v>23.1</v>
      </c>
      <c r="E141" s="117">
        <v>7.0000000000000007E-2</v>
      </c>
    </row>
    <row r="142" spans="3:5">
      <c r="C142" t="s">
        <v>1698</v>
      </c>
      <c r="D142" s="127">
        <f t="shared" si="1"/>
        <v>13.200000000000001</v>
      </c>
      <c r="E142" s="117">
        <v>0.04</v>
      </c>
    </row>
    <row r="143" spans="3:5">
      <c r="C143" t="s">
        <v>1700</v>
      </c>
      <c r="D143" s="127">
        <f t="shared" si="1"/>
        <v>6.6000000000000005</v>
      </c>
      <c r="E143" s="117">
        <v>0.02</v>
      </c>
    </row>
    <row r="145" spans="3:21">
      <c r="C145" s="61">
        <v>43313</v>
      </c>
    </row>
    <row r="146" spans="3:21" ht="15.75">
      <c r="C146" s="16" t="s">
        <v>670</v>
      </c>
      <c r="D146" s="120">
        <v>2018</v>
      </c>
      <c r="E146" s="120">
        <f>D146+1</f>
        <v>2019</v>
      </c>
      <c r="F146" s="16"/>
      <c r="G146" s="16" t="e">
        <f>#REF!+1</f>
        <v>#REF!</v>
      </c>
      <c r="H146" s="16" t="e">
        <f>G146+1</f>
        <v>#REF!</v>
      </c>
    </row>
    <row r="147" spans="3:21" ht="15.75">
      <c r="C147" s="8" t="s">
        <v>411</v>
      </c>
      <c r="D147" s="121">
        <f>Master!R7</f>
        <v>19436</v>
      </c>
      <c r="E147" s="121">
        <f>Master!S7</f>
        <v>21604</v>
      </c>
      <c r="F147" s="6"/>
      <c r="G147" s="6">
        <f>Master!U7</f>
        <v>24634</v>
      </c>
      <c r="H147" s="6">
        <f>Master!V7</f>
        <v>27155.555</v>
      </c>
    </row>
    <row r="148" spans="3:21" ht="15.75">
      <c r="C148" s="9" t="s">
        <v>1000</v>
      </c>
      <c r="D148" s="121"/>
      <c r="E148" s="121"/>
      <c r="F148" s="6"/>
      <c r="G148" s="6"/>
      <c r="H148" s="6"/>
    </row>
    <row r="149" spans="3:21" ht="15.75">
      <c r="C149" s="9" t="s">
        <v>998</v>
      </c>
      <c r="D149" s="121">
        <f>Fixed!M59</f>
        <v>17536.565000000002</v>
      </c>
      <c r="E149" s="121">
        <f>Fixed!N59</f>
        <v>19183.939999999999</v>
      </c>
      <c r="F149" s="6"/>
      <c r="G149" s="6">
        <f>Fixed!P59</f>
        <v>22540.514000000003</v>
      </c>
      <c r="H149" s="6">
        <f>Fixed!Q59</f>
        <v>24567.962</v>
      </c>
    </row>
    <row r="150" spans="3:21" ht="15.75">
      <c r="C150" s="9" t="s">
        <v>999</v>
      </c>
      <c r="D150" s="121">
        <f>D147-D149</f>
        <v>1899.4349999999977</v>
      </c>
      <c r="E150" s="121">
        <f>E147-E149</f>
        <v>2420.0600000000013</v>
      </c>
      <c r="F150" s="6"/>
      <c r="G150" s="6">
        <f>G147-G149</f>
        <v>2093.4859999999971</v>
      </c>
      <c r="H150" s="6">
        <f>H147-H149</f>
        <v>2587.5930000000008</v>
      </c>
    </row>
    <row r="151" spans="3:21" ht="15.75">
      <c r="C151" s="9"/>
      <c r="D151" s="121"/>
      <c r="E151" s="121"/>
      <c r="F151" s="6"/>
      <c r="G151" s="6"/>
      <c r="H151" s="6"/>
    </row>
    <row r="152" spans="3:21" ht="15.75">
      <c r="C152" s="8" t="s">
        <v>16</v>
      </c>
      <c r="D152" s="121">
        <f>Master!R17</f>
        <v>9347</v>
      </c>
      <c r="E152" s="121">
        <f>Master!S17</f>
        <v>10161</v>
      </c>
      <c r="F152" s="6"/>
      <c r="G152" s="6">
        <f>Master!U17</f>
        <v>12116</v>
      </c>
      <c r="H152" s="6">
        <f>Master!V17</f>
        <v>12769.018</v>
      </c>
    </row>
    <row r="153" spans="3:21" ht="15.75">
      <c r="C153" s="8" t="s">
        <v>200</v>
      </c>
      <c r="D153" s="122">
        <f>D152/D147</f>
        <v>0.48091171022844209</v>
      </c>
      <c r="E153" s="122">
        <f>E152/E147</f>
        <v>0.47032956859840769</v>
      </c>
      <c r="F153" s="10"/>
      <c r="G153" s="10">
        <f>G152/G147</f>
        <v>0.49184054558739954</v>
      </c>
      <c r="H153" s="10">
        <f>H152/H147</f>
        <v>0.47021753007810002</v>
      </c>
    </row>
    <row r="154" spans="3:21" ht="15.75">
      <c r="C154" s="8" t="s">
        <v>22</v>
      </c>
      <c r="D154" s="121">
        <f>Master!R44</f>
        <v>5753.1229999999996</v>
      </c>
      <c r="E154" s="121">
        <f>Master!S44</f>
        <v>6535</v>
      </c>
      <c r="F154" s="6"/>
      <c r="G154" s="6">
        <f>Master!U44</f>
        <v>9466.5730000000003</v>
      </c>
      <c r="H154" s="6">
        <f>Master!V44</f>
        <v>11836</v>
      </c>
    </row>
    <row r="155" spans="3:21" ht="15.75">
      <c r="C155" s="8" t="s">
        <v>24</v>
      </c>
      <c r="D155" s="121">
        <f>D152-D154</f>
        <v>3593.8770000000004</v>
      </c>
      <c r="E155" s="121">
        <f>E152-E154</f>
        <v>3626</v>
      </c>
      <c r="F155" s="6"/>
      <c r="G155" s="6">
        <f>G152-G154</f>
        <v>2649.4269999999997</v>
      </c>
      <c r="H155" s="6">
        <f>H152-H154</f>
        <v>933.01800000000003</v>
      </c>
    </row>
    <row r="156" spans="3:21" ht="15.75">
      <c r="C156" s="8"/>
      <c r="D156" s="123"/>
      <c r="E156" s="123"/>
      <c r="F156" s="8"/>
      <c r="G156" s="8"/>
      <c r="H156" s="8"/>
    </row>
    <row r="157" spans="3:21" ht="15.75" outlineLevel="1">
      <c r="C157" s="8" t="s">
        <v>671</v>
      </c>
      <c r="D157" s="123"/>
      <c r="E157" s="123"/>
      <c r="F157" s="8"/>
      <c r="G157" s="8"/>
      <c r="H157" s="8"/>
    </row>
    <row r="158" spans="3:21" ht="15.75" outlineLevel="1">
      <c r="C158" s="8" t="str">
        <f>C147</f>
        <v>Revenue</v>
      </c>
      <c r="D158" s="121">
        <v>19602.280903980194</v>
      </c>
      <c r="E158" s="121">
        <v>22331.95744428394</v>
      </c>
      <c r="F158" s="6"/>
      <c r="G158" s="6">
        <v>26535.935622624689</v>
      </c>
      <c r="H158" s="6">
        <v>28260.142744319604</v>
      </c>
    </row>
    <row r="159" spans="3:21" ht="15.75" outlineLevel="1">
      <c r="C159" s="9" t="str">
        <f>C148</f>
        <v xml:space="preserve"> - of which</v>
      </c>
      <c r="D159" s="121"/>
      <c r="E159" s="121"/>
      <c r="F159" s="6"/>
      <c r="G159" s="6"/>
      <c r="H159" s="6"/>
    </row>
    <row r="160" spans="3:21" ht="15.75" outlineLevel="1">
      <c r="C160" s="9" t="str">
        <f>C149</f>
        <v xml:space="preserve"> Core business</v>
      </c>
      <c r="D160" s="121">
        <v>15938.086629712194</v>
      </c>
      <c r="E160" s="121">
        <v>17558.039760107575</v>
      </c>
      <c r="F160" s="6"/>
      <c r="G160" s="6">
        <v>20263.39665105004</v>
      </c>
      <c r="H160" s="6">
        <v>21461.516310875144</v>
      </c>
      <c r="U160" s="112" t="s">
        <v>2543</v>
      </c>
    </row>
    <row r="161" spans="3:8" ht="15.75" outlineLevel="1">
      <c r="C161" s="9" t="str">
        <f>C150</f>
        <v xml:space="preserve"> Corporate/other</v>
      </c>
      <c r="D161" s="121">
        <v>3664.1942742680003</v>
      </c>
      <c r="E161" s="121">
        <v>4773.9176841763656</v>
      </c>
      <c r="F161" s="6"/>
      <c r="G161" s="6">
        <v>6272.5389715746496</v>
      </c>
      <c r="H161" s="6">
        <v>6798.6264334444604</v>
      </c>
    </row>
    <row r="162" spans="3:8" ht="15.75" outlineLevel="1">
      <c r="C162" s="9"/>
      <c r="D162" s="121"/>
      <c r="E162" s="121"/>
      <c r="F162" s="6"/>
      <c r="G162" s="6"/>
      <c r="H162" s="6"/>
    </row>
    <row r="163" spans="3:8" ht="15.75">
      <c r="C163" s="8" t="str">
        <f>C152</f>
        <v>EBITDA</v>
      </c>
      <c r="D163" s="121">
        <v>8696.3468431647598</v>
      </c>
      <c r="E163" s="121">
        <v>9701.9783952535254</v>
      </c>
      <c r="F163" s="6"/>
      <c r="G163" s="6">
        <v>11454.065478300106</v>
      </c>
      <c r="H163" s="6">
        <v>12149.323411985866</v>
      </c>
    </row>
    <row r="164" spans="3:8" ht="15.75">
      <c r="C164" s="8" t="str">
        <f>C153</f>
        <v>% margin</v>
      </c>
      <c r="D164" s="122">
        <v>0.44363953795800304</v>
      </c>
      <c r="E164" s="122">
        <v>0.43444370783255415</v>
      </c>
      <c r="F164" s="10"/>
      <c r="G164" s="10">
        <v>0.43164355088856582</v>
      </c>
      <c r="H164" s="10">
        <v>0.42991019266623931</v>
      </c>
    </row>
    <row r="165" spans="3:8" ht="15.75">
      <c r="C165" s="8" t="str">
        <f>C154</f>
        <v>Capex</v>
      </c>
      <c r="D165" s="121">
        <v>5292.6158440746531</v>
      </c>
      <c r="E165" s="121">
        <v>5268.0075179540981</v>
      </c>
      <c r="F165" s="6"/>
      <c r="G165" s="6">
        <v>5116.0222188659645</v>
      </c>
      <c r="H165" s="6">
        <v>5310.0801342733903</v>
      </c>
    </row>
    <row r="166" spans="3:8" ht="15.75">
      <c r="C166" s="8" t="str">
        <f>C155</f>
        <v>OpFCF</v>
      </c>
      <c r="D166" s="121">
        <v>3403.7309990901067</v>
      </c>
      <c r="E166" s="121">
        <v>4433.9708772994272</v>
      </c>
      <c r="F166" s="6"/>
      <c r="G166" s="6">
        <v>6338.0432594341419</v>
      </c>
      <c r="H166" s="6">
        <v>6839.2432777124759</v>
      </c>
    </row>
    <row r="167" spans="3:8" ht="15.75">
      <c r="C167" s="8"/>
      <c r="D167" s="123"/>
      <c r="E167" s="123"/>
      <c r="F167" s="8"/>
      <c r="G167" s="8"/>
      <c r="H167" s="8"/>
    </row>
    <row r="168" spans="3:8" ht="15.75">
      <c r="C168" s="16" t="s">
        <v>85</v>
      </c>
      <c r="D168" s="120">
        <f>D146</f>
        <v>2018</v>
      </c>
      <c r="E168" s="120">
        <f>E146</f>
        <v>2019</v>
      </c>
      <c r="F168" s="16"/>
      <c r="G168" s="16" t="e">
        <f>G146</f>
        <v>#REF!</v>
      </c>
      <c r="H168" s="16" t="e">
        <f>H146</f>
        <v>#REF!</v>
      </c>
    </row>
    <row r="169" spans="3:8" ht="15.75">
      <c r="C169" s="8" t="str">
        <f>C158</f>
        <v>Revenue</v>
      </c>
      <c r="D169" s="122">
        <f>D147/D158-1</f>
        <v>-8.4827324327564346E-3</v>
      </c>
      <c r="E169" s="122">
        <f>E147/E158-1</f>
        <v>-3.2597117655275953E-2</v>
      </c>
      <c r="F169" s="10"/>
      <c r="G169" s="10">
        <f>G147/G158-1</f>
        <v>-7.1673961290556032E-2</v>
      </c>
      <c r="H169" s="10">
        <f>H147/H158-1</f>
        <v>-3.9086417726663103E-2</v>
      </c>
    </row>
    <row r="170" spans="3:8" ht="15.75">
      <c r="C170" s="8" t="str">
        <f>C159</f>
        <v xml:space="preserve"> - of which</v>
      </c>
      <c r="D170" s="122"/>
      <c r="E170" s="122"/>
      <c r="F170" s="10"/>
      <c r="G170" s="10"/>
      <c r="H170" s="10"/>
    </row>
    <row r="171" spans="3:8" ht="15.75">
      <c r="C171" s="8" t="str">
        <f>C160</f>
        <v xml:space="preserve"> Core business</v>
      </c>
      <c r="D171" s="122">
        <f>D149/D160-1</f>
        <v>0.10029299045896045</v>
      </c>
      <c r="E171" s="122">
        <f>E149/E160-1</f>
        <v>9.2601467026320439E-2</v>
      </c>
      <c r="F171" s="10"/>
      <c r="G171" s="10">
        <f>G149/G160-1</f>
        <v>0.11237589571795525</v>
      </c>
      <c r="H171" s="10">
        <f>H149/H160-1</f>
        <v>0.14474493060635862</v>
      </c>
    </row>
    <row r="172" spans="3:8" ht="15.75">
      <c r="C172" s="8" t="str">
        <f>C161</f>
        <v xml:space="preserve"> Corporate/other</v>
      </c>
      <c r="D172" s="122">
        <f>D150/D161-1</f>
        <v>-0.48162273672581135</v>
      </c>
      <c r="E172" s="122">
        <f>E150/E161-1</f>
        <v>-0.4930662487077363</v>
      </c>
      <c r="F172" s="10"/>
      <c r="G172" s="10">
        <f>G150/G161-1</f>
        <v>-0.6662458360980974</v>
      </c>
      <c r="H172" s="10">
        <f>H150/H161-1</f>
        <v>-0.61939473725591643</v>
      </c>
    </row>
    <row r="173" spans="3:8" ht="15.75">
      <c r="C173" s="8"/>
      <c r="D173" s="122"/>
      <c r="E173" s="122"/>
      <c r="F173" s="10"/>
      <c r="G173" s="10"/>
      <c r="H173" s="10"/>
    </row>
    <row r="174" spans="3:8" ht="15.75">
      <c r="C174" s="8" t="str">
        <f>C163</f>
        <v>EBITDA</v>
      </c>
      <c r="D174" s="122">
        <f>D152/D163-1</f>
        <v>7.4819135962435501E-2</v>
      </c>
      <c r="E174" s="122">
        <f>E152/E163-1</f>
        <v>4.7312165214781432E-2</v>
      </c>
      <c r="F174" s="10"/>
      <c r="G174" s="10">
        <f>G152/G163-1</f>
        <v>5.779035600537985E-2</v>
      </c>
      <c r="H174" s="10">
        <f>H152/H163-1</f>
        <v>5.1006510156999862E-2</v>
      </c>
    </row>
    <row r="175" spans="3:8" ht="15.75">
      <c r="C175" s="8" t="str">
        <f>C165</f>
        <v>Capex</v>
      </c>
      <c r="D175" s="122">
        <f>D154/D165-1</f>
        <v>8.7009367294417883E-2</v>
      </c>
      <c r="E175" s="122">
        <f>E154/E165-1</f>
        <v>0.24050696164115482</v>
      </c>
      <c r="F175" s="10"/>
      <c r="G175" s="10">
        <f>G154/G165-1</f>
        <v>0.85037761663560452</v>
      </c>
      <c r="H175" s="10">
        <f>H154/H165-1</f>
        <v>1.2289682454330024</v>
      </c>
    </row>
    <row r="176" spans="3:8" ht="15.75">
      <c r="C176" s="8" t="str">
        <f>C166</f>
        <v>OpFCF</v>
      </c>
      <c r="D176" s="122">
        <f>D155/D166-1</f>
        <v>5.5863991884412822E-2</v>
      </c>
      <c r="E176" s="122">
        <f>E155/E166-1</f>
        <v>-0.18222286516043451</v>
      </c>
      <c r="F176" s="10"/>
      <c r="G176" s="10">
        <f>G155/G166-1</f>
        <v>-0.58198029083245173</v>
      </c>
      <c r="H176" s="10">
        <f>H155/H166-1</f>
        <v>-0.86357876710710213</v>
      </c>
    </row>
    <row r="178" spans="3:15" ht="15.75">
      <c r="C178" s="15" t="s">
        <v>411</v>
      </c>
    </row>
    <row r="179" spans="3:15" ht="15.75">
      <c r="C179" s="16" t="s">
        <v>195</v>
      </c>
      <c r="D179" s="120">
        <v>2014</v>
      </c>
      <c r="E179" s="120">
        <f>D179+1</f>
        <v>2015</v>
      </c>
      <c r="F179" s="16"/>
      <c r="G179" s="16" t="e">
        <f>#REF!+1</f>
        <v>#REF!</v>
      </c>
      <c r="H179" s="16" t="e">
        <f t="shared" ref="H179:O179" si="2">G179+1</f>
        <v>#REF!</v>
      </c>
      <c r="I179" s="16" t="e">
        <f t="shared" si="2"/>
        <v>#REF!</v>
      </c>
      <c r="J179" s="16" t="e">
        <f t="shared" si="2"/>
        <v>#REF!</v>
      </c>
      <c r="K179" s="16" t="e">
        <f t="shared" si="2"/>
        <v>#REF!</v>
      </c>
      <c r="L179" s="16" t="e">
        <f t="shared" si="2"/>
        <v>#REF!</v>
      </c>
      <c r="M179" s="16" t="e">
        <f t="shared" si="2"/>
        <v>#REF!</v>
      </c>
      <c r="N179" s="16" t="e">
        <f t="shared" si="2"/>
        <v>#REF!</v>
      </c>
      <c r="O179" s="16" t="e">
        <f t="shared" si="2"/>
        <v>#REF!</v>
      </c>
    </row>
    <row r="180" spans="3:15" ht="15.75">
      <c r="C180" s="8" t="str">
        <f>C185</f>
        <v>MEGA</v>
      </c>
      <c r="D180" s="121">
        <f>Master!N7</f>
        <v>11475</v>
      </c>
      <c r="E180" s="121">
        <f>Master!O7</f>
        <v>14557</v>
      </c>
      <c r="F180" s="6"/>
      <c r="G180" s="6">
        <f>Master!Q7</f>
        <v>17287</v>
      </c>
      <c r="H180" s="6">
        <f>Master!R7</f>
        <v>19436</v>
      </c>
      <c r="I180" s="6">
        <f>Master!S7</f>
        <v>21604</v>
      </c>
      <c r="J180" s="6">
        <f>Master!T7</f>
        <v>22383</v>
      </c>
      <c r="K180" s="6">
        <f>Master!U7</f>
        <v>24634</v>
      </c>
      <c r="L180" s="6">
        <f>Master!V7</f>
        <v>27155.555</v>
      </c>
      <c r="M180" s="6">
        <f>Master!W7</f>
        <v>29870.54</v>
      </c>
      <c r="N180" s="6">
        <f>Master!X7</f>
        <v>33085.7435653906</v>
      </c>
      <c r="O180" s="6">
        <f>Master!Y7</f>
        <v>36026.705486593608</v>
      </c>
    </row>
    <row r="181" spans="3:15" ht="15.75">
      <c r="C181" s="7" t="str">
        <f>C186</f>
        <v>TV</v>
      </c>
      <c r="D181" s="128">
        <v>20937.2</v>
      </c>
      <c r="E181" s="128">
        <v>28488.3</v>
      </c>
      <c r="F181" s="55"/>
      <c r="G181" s="55">
        <v>33048</v>
      </c>
      <c r="H181" s="55">
        <v>36233</v>
      </c>
      <c r="I181" s="55">
        <v>41486.785000000003</v>
      </c>
      <c r="J181" s="55">
        <v>45220.59565000001</v>
      </c>
      <c r="K181" s="55">
        <v>48838.243302000017</v>
      </c>
      <c r="L181" s="55">
        <v>52745.302766160021</v>
      </c>
      <c r="M181" s="55">
        <v>56964.926987452825</v>
      </c>
      <c r="N181" s="55">
        <v>61522.121146449055</v>
      </c>
      <c r="O181" s="55">
        <v>66443.890838164982</v>
      </c>
    </row>
    <row r="182" spans="3:15" ht="15.75">
      <c r="C182" s="8" t="str">
        <f>C187</f>
        <v>Total</v>
      </c>
      <c r="D182" s="121">
        <f>D180+D181</f>
        <v>32412.2</v>
      </c>
      <c r="E182" s="121">
        <f>E180+E181</f>
        <v>43045.3</v>
      </c>
      <c r="F182" s="6"/>
      <c r="G182" s="6">
        <f t="shared" ref="G182:O182" si="3">G180+G181</f>
        <v>50335</v>
      </c>
      <c r="H182" s="6">
        <f t="shared" si="3"/>
        <v>55669</v>
      </c>
      <c r="I182" s="6">
        <f t="shared" si="3"/>
        <v>63090.785000000003</v>
      </c>
      <c r="J182" s="6">
        <f t="shared" si="3"/>
        <v>67603.595650000003</v>
      </c>
      <c r="K182" s="6">
        <f t="shared" si="3"/>
        <v>73472.243302000017</v>
      </c>
      <c r="L182" s="6">
        <f t="shared" si="3"/>
        <v>79900.857766160014</v>
      </c>
      <c r="M182" s="6">
        <f t="shared" si="3"/>
        <v>86835.466987452819</v>
      </c>
      <c r="N182" s="6">
        <f t="shared" si="3"/>
        <v>94607.864711839647</v>
      </c>
      <c r="O182" s="6">
        <f t="shared" si="3"/>
        <v>102470.59632475859</v>
      </c>
    </row>
    <row r="183" spans="3:15" ht="15.75">
      <c r="C183" s="8"/>
      <c r="D183" s="121"/>
      <c r="E183" s="121"/>
      <c r="F183" s="6"/>
      <c r="G183" s="6"/>
      <c r="H183" s="6"/>
      <c r="I183" s="6"/>
      <c r="J183" s="6"/>
      <c r="K183" s="6"/>
      <c r="L183" s="6"/>
      <c r="M183" s="6"/>
      <c r="N183" s="6"/>
      <c r="O183" s="6"/>
    </row>
    <row r="184" spans="3:15" ht="15.75">
      <c r="C184" s="16" t="s">
        <v>22</v>
      </c>
      <c r="D184" s="120">
        <v>2014</v>
      </c>
      <c r="E184" s="120">
        <f>D184+1</f>
        <v>2015</v>
      </c>
      <c r="F184" s="16"/>
      <c r="G184" s="16" t="e">
        <f>#REF!+1</f>
        <v>#REF!</v>
      </c>
      <c r="H184" s="16" t="e">
        <f t="shared" ref="H184:O184" si="4">G184+1</f>
        <v>#REF!</v>
      </c>
      <c r="I184" s="16" t="e">
        <f t="shared" si="4"/>
        <v>#REF!</v>
      </c>
      <c r="J184" s="16" t="e">
        <f t="shared" si="4"/>
        <v>#REF!</v>
      </c>
      <c r="K184" s="16" t="e">
        <f t="shared" si="4"/>
        <v>#REF!</v>
      </c>
      <c r="L184" s="16" t="e">
        <f t="shared" si="4"/>
        <v>#REF!</v>
      </c>
      <c r="M184" s="16" t="e">
        <f t="shared" si="4"/>
        <v>#REF!</v>
      </c>
      <c r="N184" s="16" t="e">
        <f t="shared" si="4"/>
        <v>#REF!</v>
      </c>
      <c r="O184" s="16" t="e">
        <f t="shared" si="4"/>
        <v>#REF!</v>
      </c>
    </row>
    <row r="185" spans="3:15" ht="15.75">
      <c r="C185" s="8" t="s">
        <v>367</v>
      </c>
      <c r="D185" s="121">
        <f>Master!N44</f>
        <v>2336</v>
      </c>
      <c r="E185" s="121">
        <f>Master!O44</f>
        <v>3765</v>
      </c>
      <c r="F185" s="6"/>
      <c r="G185" s="6">
        <f>Master!Q44</f>
        <v>4692</v>
      </c>
      <c r="H185" s="6">
        <f>Master!R44</f>
        <v>5753.1229999999996</v>
      </c>
      <c r="I185" s="6">
        <f>Master!S44</f>
        <v>6535</v>
      </c>
      <c r="J185" s="6">
        <f>Master!T44</f>
        <v>8081</v>
      </c>
      <c r="K185" s="6">
        <f>Master!U44</f>
        <v>9466.5730000000003</v>
      </c>
      <c r="L185" s="6">
        <f>Master!V44</f>
        <v>11836</v>
      </c>
      <c r="M185" s="6">
        <f>Master!W44</f>
        <v>12949</v>
      </c>
      <c r="N185" s="6">
        <f>Master!X44</f>
        <v>10918.295376578899</v>
      </c>
      <c r="O185" s="6">
        <f>Master!Y44</f>
        <v>10087.477536246211</v>
      </c>
    </row>
    <row r="186" spans="3:15" ht="15.75">
      <c r="C186" s="7" t="s">
        <v>350</v>
      </c>
      <c r="D186" s="128">
        <v>9355.5990000000002</v>
      </c>
      <c r="E186" s="128">
        <v>17095.164000000001</v>
      </c>
      <c r="F186" s="55"/>
      <c r="G186" s="55">
        <v>10578.33</v>
      </c>
      <c r="H186" s="55">
        <v>12801.25</v>
      </c>
      <c r="I186" s="55">
        <v>12446.0355</v>
      </c>
      <c r="J186" s="55">
        <v>11305.148912500003</v>
      </c>
      <c r="K186" s="55">
        <v>11721.178392480004</v>
      </c>
      <c r="L186" s="55">
        <v>12131.419636216806</v>
      </c>
      <c r="M186" s="55">
        <v>13101.933207114151</v>
      </c>
      <c r="N186" s="55">
        <v>14150.087863683284</v>
      </c>
      <c r="O186" s="55">
        <v>15282.094892777946</v>
      </c>
    </row>
    <row r="187" spans="3:15" ht="15.75">
      <c r="C187" s="8" t="s">
        <v>21</v>
      </c>
      <c r="D187" s="121">
        <f>D185+D186</f>
        <v>11691.599</v>
      </c>
      <c r="E187" s="121">
        <f>E185+E186</f>
        <v>20860.164000000001</v>
      </c>
      <c r="F187" s="6"/>
      <c r="G187" s="6">
        <f t="shared" ref="G187:O187" si="5">G185+G186</f>
        <v>15270.33</v>
      </c>
      <c r="H187" s="6">
        <f t="shared" si="5"/>
        <v>18554.373</v>
      </c>
      <c r="I187" s="6">
        <f t="shared" si="5"/>
        <v>18981.035499999998</v>
      </c>
      <c r="J187" s="6">
        <f t="shared" si="5"/>
        <v>19386.148912500001</v>
      </c>
      <c r="K187" s="6">
        <f t="shared" si="5"/>
        <v>21187.751392480004</v>
      </c>
      <c r="L187" s="6">
        <f t="shared" si="5"/>
        <v>23967.419636216808</v>
      </c>
      <c r="M187" s="6">
        <f t="shared" si="5"/>
        <v>26050.933207114151</v>
      </c>
      <c r="N187" s="6">
        <f t="shared" si="5"/>
        <v>25068.383240262185</v>
      </c>
      <c r="O187" s="6">
        <f t="shared" si="5"/>
        <v>25369.572429024156</v>
      </c>
    </row>
    <row r="188" spans="3:15" ht="15.75">
      <c r="C188" s="8"/>
      <c r="D188" s="121"/>
      <c r="E188" s="121"/>
      <c r="F188" s="6"/>
      <c r="G188" s="6"/>
      <c r="H188" s="6"/>
      <c r="I188" s="6"/>
      <c r="J188" s="6"/>
      <c r="K188" s="6"/>
      <c r="L188" s="6"/>
      <c r="M188" s="6"/>
      <c r="N188" s="6"/>
      <c r="O188" s="6"/>
    </row>
    <row r="189" spans="3:15" ht="15.75">
      <c r="C189" s="15" t="s">
        <v>1088</v>
      </c>
      <c r="D189" s="129">
        <f>D184</f>
        <v>2014</v>
      </c>
      <c r="E189" s="129">
        <f>E184</f>
        <v>2015</v>
      </c>
      <c r="F189" s="15"/>
      <c r="G189" s="15" t="e">
        <f t="shared" ref="G189:O189" si="6">G184</f>
        <v>#REF!</v>
      </c>
      <c r="H189" s="15" t="e">
        <f t="shared" si="6"/>
        <v>#REF!</v>
      </c>
      <c r="I189" s="15" t="e">
        <f t="shared" si="6"/>
        <v>#REF!</v>
      </c>
      <c r="J189" s="15" t="e">
        <f t="shared" si="6"/>
        <v>#REF!</v>
      </c>
      <c r="K189" s="15" t="e">
        <f t="shared" si="6"/>
        <v>#REF!</v>
      </c>
      <c r="L189" s="15" t="e">
        <f t="shared" si="6"/>
        <v>#REF!</v>
      </c>
      <c r="M189" s="15" t="e">
        <f t="shared" si="6"/>
        <v>#REF!</v>
      </c>
      <c r="N189" s="15" t="e">
        <f t="shared" si="6"/>
        <v>#REF!</v>
      </c>
      <c r="O189" s="15" t="e">
        <f t="shared" si="6"/>
        <v>#REF!</v>
      </c>
    </row>
    <row r="190" spans="3:15" ht="15.75">
      <c r="C190" s="8" t="str">
        <f>C180</f>
        <v>MEGA</v>
      </c>
      <c r="D190" s="122">
        <f t="shared" ref="D190:E192" si="7">D185/D180</f>
        <v>0.20357298474945534</v>
      </c>
      <c r="E190" s="122">
        <f t="shared" si="7"/>
        <v>0.25863845572576766</v>
      </c>
      <c r="F190" s="10"/>
      <c r="G190" s="10">
        <f t="shared" ref="G190:O190" si="8">G185/G180</f>
        <v>0.27141782842598483</v>
      </c>
      <c r="H190" s="10">
        <f t="shared" si="8"/>
        <v>0.29600344721136035</v>
      </c>
      <c r="I190" s="10">
        <f t="shared" si="8"/>
        <v>0.30249027957785596</v>
      </c>
      <c r="J190" s="10">
        <f t="shared" si="8"/>
        <v>0.36103292677478444</v>
      </c>
      <c r="K190" s="10">
        <f t="shared" si="8"/>
        <v>0.38428890963708695</v>
      </c>
      <c r="L190" s="10">
        <f t="shared" si="8"/>
        <v>0.4358592560527671</v>
      </c>
      <c r="M190" s="10">
        <f t="shared" si="8"/>
        <v>0.43350404780094365</v>
      </c>
      <c r="N190" s="10">
        <f t="shared" si="8"/>
        <v>0.33</v>
      </c>
      <c r="O190" s="10">
        <f t="shared" si="8"/>
        <v>0.28000000000000003</v>
      </c>
    </row>
    <row r="191" spans="3:15" ht="15.75">
      <c r="C191" s="7" t="str">
        <f>C181</f>
        <v>TV</v>
      </c>
      <c r="D191" s="130">
        <f t="shared" si="7"/>
        <v>0.44684098160212443</v>
      </c>
      <c r="E191" s="130">
        <f t="shared" si="7"/>
        <v>0.60007666305114737</v>
      </c>
      <c r="F191" s="50"/>
      <c r="G191" s="50">
        <f t="shared" ref="G191:O191" si="9">G186/G181</f>
        <v>0.32008986928104577</v>
      </c>
      <c r="H191" s="50">
        <f t="shared" si="9"/>
        <v>0.35330361824855794</v>
      </c>
      <c r="I191" s="50">
        <f t="shared" si="9"/>
        <v>0.3</v>
      </c>
      <c r="J191" s="50">
        <f t="shared" si="9"/>
        <v>0.25</v>
      </c>
      <c r="K191" s="50">
        <f t="shared" si="9"/>
        <v>0.24</v>
      </c>
      <c r="L191" s="50">
        <f t="shared" si="9"/>
        <v>0.23</v>
      </c>
      <c r="M191" s="50">
        <f t="shared" si="9"/>
        <v>0.23</v>
      </c>
      <c r="N191" s="50">
        <f t="shared" si="9"/>
        <v>0.23</v>
      </c>
      <c r="O191" s="50">
        <f t="shared" si="9"/>
        <v>0.23</v>
      </c>
    </row>
    <row r="192" spans="3:15" ht="15.75">
      <c r="C192" s="8" t="str">
        <f>C182</f>
        <v>Total</v>
      </c>
      <c r="D192" s="122">
        <f t="shared" si="7"/>
        <v>0.36071599582873115</v>
      </c>
      <c r="E192" s="122">
        <f t="shared" si="7"/>
        <v>0.48460956248417364</v>
      </c>
      <c r="F192" s="10"/>
      <c r="G192" s="10">
        <f t="shared" ref="G192:O192" si="10">G187/G182</f>
        <v>0.3033739942386014</v>
      </c>
      <c r="H192" s="10">
        <f t="shared" si="10"/>
        <v>0.33329811924051089</v>
      </c>
      <c r="I192" s="10">
        <f t="shared" si="10"/>
        <v>0.3008527394293794</v>
      </c>
      <c r="J192" s="10">
        <f t="shared" si="10"/>
        <v>0.28676209787518897</v>
      </c>
      <c r="K192" s="10">
        <f t="shared" si="10"/>
        <v>0.28837762997639743</v>
      </c>
      <c r="L192" s="10">
        <f t="shared" si="10"/>
        <v>0.29996448481642712</v>
      </c>
      <c r="M192" s="10">
        <f t="shared" si="10"/>
        <v>0.3000033754741982</v>
      </c>
      <c r="N192" s="10">
        <f t="shared" si="10"/>
        <v>0.26497145154492652</v>
      </c>
      <c r="O192" s="10">
        <f t="shared" si="10"/>
        <v>0.24757904549145723</v>
      </c>
    </row>
    <row r="193" spans="3:15" ht="15.75">
      <c r="C193" s="8"/>
      <c r="D193" s="123"/>
      <c r="E193" s="123"/>
      <c r="F193" s="8"/>
      <c r="G193" s="8"/>
      <c r="H193" s="8"/>
      <c r="I193" s="8"/>
      <c r="J193" s="8"/>
    </row>
    <row r="194" spans="3:15" ht="15.75">
      <c r="C194" s="8" t="s">
        <v>1694</v>
      </c>
      <c r="D194" s="131">
        <f>Fixed!I86</f>
        <v>13.3</v>
      </c>
      <c r="E194" s="131">
        <f>Fixed!J86</f>
        <v>16.5</v>
      </c>
      <c r="F194" s="12"/>
      <c r="G194" s="12">
        <f>Fixed!L86</f>
        <v>18.5</v>
      </c>
      <c r="H194" s="12">
        <f>Fixed!M86</f>
        <v>19.2</v>
      </c>
      <c r="I194" s="12">
        <f>Fixed!N86</f>
        <v>19.25</v>
      </c>
      <c r="J194" s="12">
        <f>Fixed!O86</f>
        <v>20</v>
      </c>
      <c r="K194" s="12">
        <f>Fixed!P86</f>
        <v>20.285299999999999</v>
      </c>
      <c r="L194" s="12">
        <f>Fixed!Q86</f>
        <v>20.100000000000001</v>
      </c>
      <c r="M194" s="12">
        <f>Fixed!R86</f>
        <v>17.73</v>
      </c>
      <c r="N194" s="12">
        <f>Fixed!S86</f>
        <v>17</v>
      </c>
      <c r="O194" s="12">
        <f>Fixed!T86</f>
        <v>17</v>
      </c>
    </row>
    <row r="195" spans="3:15" ht="15.75">
      <c r="C195" s="8"/>
      <c r="D195" s="123"/>
      <c r="E195" s="123"/>
      <c r="F195" s="8"/>
      <c r="G195" s="8"/>
      <c r="H195" s="8"/>
      <c r="I195" s="8"/>
      <c r="J195" s="8"/>
    </row>
    <row r="196" spans="3:15" ht="15.75">
      <c r="C196" s="16" t="s">
        <v>1695</v>
      </c>
      <c r="D196" s="120">
        <f>D189</f>
        <v>2014</v>
      </c>
      <c r="E196" s="120">
        <f>E189</f>
        <v>2015</v>
      </c>
      <c r="F196" s="16"/>
      <c r="G196" s="16" t="e">
        <f t="shared" ref="G196:O196" si="11">G189</f>
        <v>#REF!</v>
      </c>
      <c r="H196" s="16" t="e">
        <f t="shared" si="11"/>
        <v>#REF!</v>
      </c>
      <c r="I196" s="16" t="e">
        <f t="shared" si="11"/>
        <v>#REF!</v>
      </c>
      <c r="J196" s="16" t="e">
        <f t="shared" si="11"/>
        <v>#REF!</v>
      </c>
      <c r="K196" s="16" t="e">
        <f t="shared" si="11"/>
        <v>#REF!</v>
      </c>
      <c r="L196" s="16" t="e">
        <f t="shared" si="11"/>
        <v>#REF!</v>
      </c>
      <c r="M196" s="16" t="e">
        <f t="shared" si="11"/>
        <v>#REF!</v>
      </c>
      <c r="N196" s="16" t="e">
        <f t="shared" si="11"/>
        <v>#REF!</v>
      </c>
      <c r="O196" s="16" t="e">
        <f t="shared" si="11"/>
        <v>#REF!</v>
      </c>
    </row>
    <row r="197" spans="3:15" ht="15.75">
      <c r="C197" s="8" t="str">
        <f>C190</f>
        <v>MEGA</v>
      </c>
      <c r="D197" s="121">
        <f t="shared" ref="D197:E199" si="12">D185/D$194</f>
        <v>175.6390977443609</v>
      </c>
      <c r="E197" s="121">
        <f t="shared" si="12"/>
        <v>228.18181818181819</v>
      </c>
      <c r="F197" s="6"/>
      <c r="G197" s="6">
        <f t="shared" ref="G197:O197" si="13">G185/G$194</f>
        <v>253.62162162162161</v>
      </c>
      <c r="H197" s="6">
        <f t="shared" si="13"/>
        <v>299.64182291666668</v>
      </c>
      <c r="I197" s="6">
        <f t="shared" si="13"/>
        <v>339.48051948051949</v>
      </c>
      <c r="J197" s="6">
        <f t="shared" si="13"/>
        <v>404.05</v>
      </c>
      <c r="K197" s="6">
        <f t="shared" si="13"/>
        <v>466.67157991254754</v>
      </c>
      <c r="L197" s="6">
        <f t="shared" si="13"/>
        <v>588.85572139303474</v>
      </c>
      <c r="M197" s="6">
        <f t="shared" si="13"/>
        <v>730.34404963338977</v>
      </c>
      <c r="N197" s="6">
        <f t="shared" si="13"/>
        <v>642.25266921052344</v>
      </c>
      <c r="O197" s="6">
        <f t="shared" si="13"/>
        <v>593.38103154389478</v>
      </c>
    </row>
    <row r="198" spans="3:15" ht="15.75">
      <c r="C198" s="7" t="str">
        <f>C191</f>
        <v>TV</v>
      </c>
      <c r="D198" s="128">
        <f t="shared" si="12"/>
        <v>703.42849624060148</v>
      </c>
      <c r="E198" s="128">
        <f t="shared" si="12"/>
        <v>1036.0705454545455</v>
      </c>
      <c r="F198" s="55"/>
      <c r="G198" s="55">
        <f t="shared" ref="G198:O198" si="14">G186/G$194</f>
        <v>571.80162162162162</v>
      </c>
      <c r="H198" s="55">
        <f t="shared" si="14"/>
        <v>666.73177083333337</v>
      </c>
      <c r="I198" s="55">
        <f t="shared" si="14"/>
        <v>646.5472987012987</v>
      </c>
      <c r="J198" s="55">
        <f t="shared" si="14"/>
        <v>565.25744562500017</v>
      </c>
      <c r="K198" s="55">
        <f t="shared" si="14"/>
        <v>577.81636911852445</v>
      </c>
      <c r="L198" s="55">
        <f t="shared" si="14"/>
        <v>603.55321573217941</v>
      </c>
      <c r="M198" s="55">
        <f t="shared" si="14"/>
        <v>738.96972403351106</v>
      </c>
      <c r="N198" s="55">
        <f t="shared" si="14"/>
        <v>832.35810962842845</v>
      </c>
      <c r="O198" s="55">
        <f t="shared" si="14"/>
        <v>898.94675839870274</v>
      </c>
    </row>
    <row r="199" spans="3:15" ht="15.75">
      <c r="C199" s="8" t="str">
        <f>C192</f>
        <v>Total</v>
      </c>
      <c r="D199" s="121">
        <f t="shared" si="12"/>
        <v>879.0675939849624</v>
      </c>
      <c r="E199" s="121">
        <f t="shared" si="12"/>
        <v>1264.2523636363637</v>
      </c>
      <c r="F199" s="6"/>
      <c r="G199" s="6">
        <f t="shared" ref="G199:O199" si="15">G187/G$194</f>
        <v>825.42324324324329</v>
      </c>
      <c r="H199" s="6">
        <f t="shared" si="15"/>
        <v>966.37359375000005</v>
      </c>
      <c r="I199" s="6">
        <f t="shared" si="15"/>
        <v>986.02781818181813</v>
      </c>
      <c r="J199" s="6">
        <f t="shared" si="15"/>
        <v>969.30744562500001</v>
      </c>
      <c r="K199" s="6">
        <f t="shared" si="15"/>
        <v>1044.487949031072</v>
      </c>
      <c r="L199" s="6">
        <f t="shared" si="15"/>
        <v>1192.4089371252142</v>
      </c>
      <c r="M199" s="6">
        <f t="shared" si="15"/>
        <v>1469.3137736669007</v>
      </c>
      <c r="N199" s="6">
        <f t="shared" si="15"/>
        <v>1474.610778838952</v>
      </c>
      <c r="O199" s="6">
        <f t="shared" si="15"/>
        <v>1492.3277899425975</v>
      </c>
    </row>
    <row r="201" spans="3:15" ht="15.75">
      <c r="C201" s="16" t="s">
        <v>1696</v>
      </c>
      <c r="D201" s="120">
        <f>D196</f>
        <v>2014</v>
      </c>
      <c r="E201" s="120">
        <f>E196</f>
        <v>2015</v>
      </c>
      <c r="F201" s="16"/>
      <c r="G201" s="16" t="e">
        <f t="shared" ref="G201:O201" si="16">G196</f>
        <v>#REF!</v>
      </c>
      <c r="H201" s="16" t="e">
        <f t="shared" si="16"/>
        <v>#REF!</v>
      </c>
      <c r="I201" s="16" t="e">
        <f t="shared" si="16"/>
        <v>#REF!</v>
      </c>
      <c r="J201" s="16" t="e">
        <f t="shared" si="16"/>
        <v>#REF!</v>
      </c>
      <c r="K201" s="16" t="e">
        <f t="shared" si="16"/>
        <v>#REF!</v>
      </c>
      <c r="L201" s="16" t="e">
        <f t="shared" si="16"/>
        <v>#REF!</v>
      </c>
      <c r="M201" s="16" t="e">
        <f t="shared" si="16"/>
        <v>#REF!</v>
      </c>
      <c r="N201" s="16" t="e">
        <f t="shared" si="16"/>
        <v>#REF!</v>
      </c>
      <c r="O201" s="16" t="e">
        <f t="shared" si="16"/>
        <v>#REF!</v>
      </c>
    </row>
    <row r="202" spans="3:15" ht="15.75">
      <c r="C202" s="8" t="str">
        <f>C197</f>
        <v>MEGA</v>
      </c>
      <c r="D202" s="121">
        <f>Fixed!I42</f>
        <v>2560</v>
      </c>
      <c r="E202" s="121">
        <f>Fixed!J42</f>
        <v>3050</v>
      </c>
      <c r="F202" s="6"/>
      <c r="G202" s="6">
        <f>Fixed!L42</f>
        <v>3405</v>
      </c>
      <c r="H202" s="6">
        <f>Fixed!M42</f>
        <v>3593</v>
      </c>
      <c r="I202" s="6">
        <f>Fixed!N42</f>
        <v>3628</v>
      </c>
      <c r="J202" s="6">
        <f>Fixed!O42</f>
        <v>3933</v>
      </c>
      <c r="K202" s="6">
        <f>Fixed!P42</f>
        <v>4153.0469999999996</v>
      </c>
      <c r="L202" s="6">
        <f>Fixed!Q42</f>
        <v>4397.9939999999997</v>
      </c>
      <c r="M202" s="6">
        <f>Fixed!R42</f>
        <v>4945.826</v>
      </c>
      <c r="N202" s="6">
        <f>Fixed!S42</f>
        <v>5566.5464285714288</v>
      </c>
      <c r="O202" s="6">
        <f>Fixed!T42</f>
        <v>5963.3718253968254</v>
      </c>
    </row>
    <row r="203" spans="3:15" ht="15.75">
      <c r="C203" s="7" t="str">
        <f>C198</f>
        <v>TV</v>
      </c>
      <c r="D203" s="128">
        <v>4418.2352941176468</v>
      </c>
      <c r="E203" s="128">
        <v>5067.4157303370785</v>
      </c>
      <c r="F203" s="55"/>
      <c r="G203" s="55">
        <v>5117.0603583109059</v>
      </c>
      <c r="H203" s="55">
        <v>5731.6922869103319</v>
      </c>
      <c r="I203" s="55">
        <v>5828.554857614653</v>
      </c>
      <c r="J203" s="55">
        <v>5866.1681214267082</v>
      </c>
      <c r="K203" s="55">
        <v>6018.262105533744</v>
      </c>
      <c r="L203" s="55">
        <v>6171.8513819297887</v>
      </c>
      <c r="M203" s="55">
        <v>6315.9070130693826</v>
      </c>
      <c r="N203" s="55">
        <v>6461.4825073244483</v>
      </c>
      <c r="O203" s="55">
        <v>6608.6179354596597</v>
      </c>
    </row>
    <row r="204" spans="3:15" ht="15.75">
      <c r="C204" s="8" t="str">
        <f>C199</f>
        <v>Total</v>
      </c>
      <c r="D204" s="121">
        <f>D202+D203</f>
        <v>6978.2352941176468</v>
      </c>
      <c r="E204" s="121">
        <f>E202+E203</f>
        <v>8117.4157303370785</v>
      </c>
      <c r="F204" s="6"/>
      <c r="G204" s="6">
        <f t="shared" ref="G204:O204" si="17">G202+G203</f>
        <v>8522.0603583109059</v>
      </c>
      <c r="H204" s="6">
        <f t="shared" si="17"/>
        <v>9324.6922869103328</v>
      </c>
      <c r="I204" s="6">
        <f t="shared" si="17"/>
        <v>9456.5548576146539</v>
      </c>
      <c r="J204" s="6">
        <f t="shared" si="17"/>
        <v>9799.1681214267082</v>
      </c>
      <c r="K204" s="6">
        <f t="shared" si="17"/>
        <v>10171.309105533743</v>
      </c>
      <c r="L204" s="6">
        <f t="shared" si="17"/>
        <v>10569.845381929788</v>
      </c>
      <c r="M204" s="6">
        <f t="shared" si="17"/>
        <v>11261.733013069383</v>
      </c>
      <c r="N204" s="6">
        <f t="shared" si="17"/>
        <v>12028.028935895876</v>
      </c>
      <c r="O204" s="6">
        <f t="shared" si="17"/>
        <v>12571.989760856486</v>
      </c>
    </row>
    <row r="205" spans="3:15" ht="15.75">
      <c r="C205" s="8"/>
      <c r="D205" s="121"/>
      <c r="E205" s="121"/>
      <c r="F205" s="6"/>
      <c r="G205" s="6"/>
      <c r="H205" s="6"/>
      <c r="I205" s="6"/>
      <c r="J205" s="6"/>
      <c r="K205" s="6"/>
      <c r="L205" s="6"/>
      <c r="M205" s="6"/>
      <c r="N205" s="6"/>
      <c r="O205" s="6"/>
    </row>
    <row r="206" spans="3:15" ht="15.75">
      <c r="C206" s="16" t="s">
        <v>1697</v>
      </c>
      <c r="D206" s="120">
        <f>D201</f>
        <v>2014</v>
      </c>
      <c r="E206" s="120">
        <f>E201</f>
        <v>2015</v>
      </c>
      <c r="F206" s="16"/>
      <c r="G206" s="16" t="e">
        <f t="shared" ref="G206:O206" si="18">G201</f>
        <v>#REF!</v>
      </c>
      <c r="H206" s="16" t="e">
        <f t="shared" si="18"/>
        <v>#REF!</v>
      </c>
      <c r="I206" s="16" t="e">
        <f t="shared" si="18"/>
        <v>#REF!</v>
      </c>
      <c r="J206" s="16" t="e">
        <f t="shared" si="18"/>
        <v>#REF!</v>
      </c>
      <c r="K206" s="16" t="e">
        <f t="shared" si="18"/>
        <v>#REF!</v>
      </c>
      <c r="L206" s="16" t="e">
        <f t="shared" si="18"/>
        <v>#REF!</v>
      </c>
      <c r="M206" s="16" t="e">
        <f t="shared" si="18"/>
        <v>#REF!</v>
      </c>
      <c r="N206" s="16" t="e">
        <f t="shared" si="18"/>
        <v>#REF!</v>
      </c>
      <c r="O206" s="16" t="e">
        <f t="shared" si="18"/>
        <v>#REF!</v>
      </c>
    </row>
    <row r="207" spans="3:15" ht="15.75">
      <c r="C207" s="8" t="str">
        <f>C202</f>
        <v>MEGA</v>
      </c>
      <c r="D207" s="121">
        <f>D197*1000/D202</f>
        <v>68.609022556390968</v>
      </c>
      <c r="E207" s="121">
        <f>E197*1000/E202</f>
        <v>74.813710879284642</v>
      </c>
      <c r="F207" s="6"/>
      <c r="G207" s="6">
        <f t="shared" ref="G207:O207" si="19">G197*1000/G202</f>
        <v>74.485057744969637</v>
      </c>
      <c r="H207" s="6">
        <f t="shared" si="19"/>
        <v>83.395998585211998</v>
      </c>
      <c r="I207" s="6">
        <f t="shared" si="19"/>
        <v>93.57235928349489</v>
      </c>
      <c r="J207" s="6">
        <f t="shared" si="19"/>
        <v>102.73328248156623</v>
      </c>
      <c r="K207" s="6">
        <f t="shared" si="19"/>
        <v>112.36848027786529</v>
      </c>
      <c r="L207" s="6">
        <f t="shared" si="19"/>
        <v>133.89188830021934</v>
      </c>
      <c r="M207" s="6">
        <f t="shared" si="19"/>
        <v>147.66877153247805</v>
      </c>
      <c r="N207" s="6">
        <f t="shared" si="19"/>
        <v>115.37722310444252</v>
      </c>
      <c r="O207" s="6">
        <f t="shared" si="19"/>
        <v>99.504281959545423</v>
      </c>
    </row>
    <row r="208" spans="3:15" ht="15.75">
      <c r="C208" s="7" t="str">
        <f>C203</f>
        <v>TV</v>
      </c>
      <c r="D208" s="128">
        <f>D198*1000/D203</f>
        <v>159.21028406457498</v>
      </c>
      <c r="E208" s="128">
        <f>E198*1000/E203</f>
        <v>204.45738036686154</v>
      </c>
      <c r="F208" s="55"/>
      <c r="G208" s="55">
        <f t="shared" ref="G208:O208" si="20">G198*1000/G203</f>
        <v>111.74416199584718</v>
      </c>
      <c r="H208" s="55">
        <f t="shared" si="20"/>
        <v>116.3237203706787</v>
      </c>
      <c r="I208" s="55">
        <f t="shared" si="20"/>
        <v>110.92754799358607</v>
      </c>
      <c r="J208" s="55">
        <f t="shared" si="20"/>
        <v>96.358889470001102</v>
      </c>
      <c r="K208" s="55">
        <f t="shared" si="20"/>
        <v>96.010502531491099</v>
      </c>
      <c r="L208" s="55">
        <f t="shared" si="20"/>
        <v>97.791274997205619</v>
      </c>
      <c r="M208" s="55">
        <f t="shared" si="20"/>
        <v>117.00136219617791</v>
      </c>
      <c r="N208" s="55">
        <f t="shared" si="20"/>
        <v>128.81844200381329</v>
      </c>
      <c r="O208" s="55">
        <f t="shared" si="20"/>
        <v>136.02643808098688</v>
      </c>
    </row>
    <row r="209" spans="3:15" ht="15.75">
      <c r="C209" s="8" t="str">
        <f>C204</f>
        <v>Total</v>
      </c>
      <c r="D209" s="121">
        <f>D207+D208</f>
        <v>227.81930662096596</v>
      </c>
      <c r="E209" s="121">
        <f>E207+E208</f>
        <v>279.27109124614617</v>
      </c>
      <c r="F209" s="6"/>
      <c r="G209" s="6">
        <f t="shared" ref="G209:O209" si="21">G207+G208</f>
        <v>186.2292197408168</v>
      </c>
      <c r="H209" s="6">
        <f t="shared" si="21"/>
        <v>199.7197189558907</v>
      </c>
      <c r="I209" s="6">
        <f t="shared" si="21"/>
        <v>204.49990727708098</v>
      </c>
      <c r="J209" s="6">
        <f t="shared" si="21"/>
        <v>199.09217195156734</v>
      </c>
      <c r="K209" s="6">
        <f t="shared" si="21"/>
        <v>208.37898280935639</v>
      </c>
      <c r="L209" s="6">
        <f t="shared" si="21"/>
        <v>231.68316329742495</v>
      </c>
      <c r="M209" s="6">
        <f t="shared" si="21"/>
        <v>264.67013372865597</v>
      </c>
      <c r="N209" s="6">
        <f t="shared" si="21"/>
        <v>244.19566510825581</v>
      </c>
      <c r="O209" s="6">
        <f t="shared" si="21"/>
        <v>235.53072004053229</v>
      </c>
    </row>
    <row r="210" spans="3:15" ht="15.75">
      <c r="C210" s="8"/>
      <c r="D210" s="121"/>
      <c r="E210" s="121"/>
      <c r="F210" s="6"/>
      <c r="G210" s="6"/>
      <c r="H210" s="6"/>
      <c r="I210" s="6"/>
      <c r="J210" s="6"/>
      <c r="K210" s="6"/>
      <c r="L210" s="6"/>
      <c r="M210" s="6"/>
      <c r="N210" s="6"/>
      <c r="O210" s="6"/>
    </row>
    <row r="211" spans="3:15" ht="15.75">
      <c r="C211" s="8"/>
      <c r="D211" s="121"/>
      <c r="E211" s="121"/>
      <c r="F211" s="6"/>
      <c r="G211" s="6"/>
      <c r="H211" s="6"/>
      <c r="I211" s="6"/>
      <c r="J211" s="6"/>
      <c r="K211" s="6"/>
      <c r="L211" s="6"/>
      <c r="M211" s="6"/>
      <c r="N211" s="6"/>
      <c r="O211" s="6"/>
    </row>
    <row r="212" spans="3:15">
      <c r="C212" s="3"/>
      <c r="D212" s="115">
        <v>2016</v>
      </c>
      <c r="E212" s="115">
        <f>D212+1</f>
        <v>2017</v>
      </c>
      <c r="F212" s="3" t="e">
        <f>#REF!+1</f>
        <v>#REF!</v>
      </c>
      <c r="G212" s="3" t="e">
        <f>F212+1</f>
        <v>#REF!</v>
      </c>
    </row>
    <row r="213" spans="3:15">
      <c r="C213" t="s">
        <v>1226</v>
      </c>
      <c r="D213" s="119">
        <f>Master!P45</f>
        <v>0.28743291855870734</v>
      </c>
      <c r="E213" s="119">
        <f>Master!Q45</f>
        <v>0.27141782842598483</v>
      </c>
      <c r="F213" s="26">
        <f>Master!S45</f>
        <v>0.30249027957785596</v>
      </c>
      <c r="G213" s="26">
        <f>Master!T45</f>
        <v>0.36103292677478444</v>
      </c>
      <c r="I213" s="26"/>
      <c r="J213" s="26"/>
    </row>
    <row r="214" spans="3:15">
      <c r="C214" t="s">
        <v>1213</v>
      </c>
      <c r="D214" s="119">
        <v>0.26600000000000001</v>
      </c>
      <c r="E214" s="119">
        <v>0.28499999999999998</v>
      </c>
      <c r="F214" s="26">
        <v>0.24748710749952918</v>
      </c>
      <c r="G214" s="26">
        <v>0.23003197022730565</v>
      </c>
    </row>
    <row r="216" spans="3:15">
      <c r="C216" s="54" t="s">
        <v>997</v>
      </c>
    </row>
    <row r="217" spans="3:15" ht="15.75">
      <c r="C217" s="8" t="str">
        <f>C180</f>
        <v>MEGA</v>
      </c>
    </row>
    <row r="218" spans="3:15" ht="15.75">
      <c r="C218" s="8" t="str">
        <f>C181</f>
        <v>TV</v>
      </c>
    </row>
    <row r="221" spans="3:15">
      <c r="C221" s="3"/>
      <c r="D221" s="115"/>
      <c r="E221" s="115"/>
    </row>
    <row r="222" spans="3:15" ht="15.75" thickBot="1">
      <c r="C222" t="s">
        <v>301</v>
      </c>
      <c r="D222" s="116">
        <f>D224-D223</f>
        <v>198</v>
      </c>
      <c r="E222" s="118">
        <f>E224-E223</f>
        <v>175</v>
      </c>
    </row>
    <row r="223" spans="3:15" ht="15.75" thickBot="1">
      <c r="C223" s="3" t="s">
        <v>1426</v>
      </c>
      <c r="D223" s="132">
        <v>2</v>
      </c>
      <c r="E223" s="133">
        <v>25</v>
      </c>
    </row>
    <row r="224" spans="3:15">
      <c r="C224" t="s">
        <v>1427</v>
      </c>
      <c r="D224" s="116">
        <f>D226*D227</f>
        <v>200</v>
      </c>
      <c r="E224" s="116">
        <f>E226*E227</f>
        <v>200</v>
      </c>
    </row>
    <row r="226" spans="3:5">
      <c r="C226" t="s">
        <v>16</v>
      </c>
      <c r="D226" s="134">
        <v>25</v>
      </c>
      <c r="E226" s="134">
        <v>25</v>
      </c>
    </row>
    <row r="227" spans="3:5">
      <c r="C227" t="s">
        <v>1428</v>
      </c>
      <c r="D227" s="135">
        <v>8</v>
      </c>
      <c r="E227" s="136">
        <f>D227</f>
        <v>8</v>
      </c>
    </row>
    <row r="228" spans="3:5">
      <c r="D228" s="136"/>
      <c r="E228" s="136"/>
    </row>
    <row r="229" spans="3:5">
      <c r="C229" t="s">
        <v>1434</v>
      </c>
      <c r="D229" s="136">
        <f>D223/D226</f>
        <v>0.08</v>
      </c>
      <c r="E229" s="136">
        <f>E223/E226</f>
        <v>1</v>
      </c>
    </row>
    <row r="231" spans="3:5">
      <c r="C231" t="s">
        <v>22</v>
      </c>
      <c r="D231" s="134">
        <v>19</v>
      </c>
      <c r="E231" s="116">
        <f>D231</f>
        <v>19</v>
      </c>
    </row>
    <row r="233" spans="3:5">
      <c r="C233" t="s">
        <v>24</v>
      </c>
      <c r="D233" s="116">
        <f>D226-D231</f>
        <v>6</v>
      </c>
      <c r="E233" s="116">
        <f>E226-E231</f>
        <v>6</v>
      </c>
    </row>
    <row r="234" spans="3:5">
      <c r="C234" t="s">
        <v>1430</v>
      </c>
      <c r="D234" s="137">
        <v>7.4999999999999997E-2</v>
      </c>
      <c r="E234" s="119">
        <f>D234</f>
        <v>7.4999999999999997E-2</v>
      </c>
    </row>
    <row r="235" spans="3:5">
      <c r="C235" t="s">
        <v>1432</v>
      </c>
      <c r="D235" s="138">
        <v>0.2</v>
      </c>
      <c r="E235" s="117">
        <f>D235</f>
        <v>0.2</v>
      </c>
    </row>
    <row r="236" spans="3:5">
      <c r="C236" t="s">
        <v>1433</v>
      </c>
      <c r="D236" s="119">
        <f>D234*(1-D235)</f>
        <v>0.06</v>
      </c>
      <c r="E236" s="119">
        <f>E234*(1-E235)</f>
        <v>0.06</v>
      </c>
    </row>
    <row r="237" spans="3:5">
      <c r="D237" s="119"/>
      <c r="E237" s="119"/>
    </row>
    <row r="238" spans="3:5">
      <c r="C238" t="s">
        <v>1429</v>
      </c>
      <c r="D238" s="136">
        <f>D234*D223</f>
        <v>0.15</v>
      </c>
      <c r="E238" s="136">
        <f>E234*E223</f>
        <v>1.875</v>
      </c>
    </row>
    <row r="239" spans="3:5">
      <c r="C239" t="s">
        <v>1431</v>
      </c>
      <c r="D239" s="136">
        <f>D233-D238</f>
        <v>5.85</v>
      </c>
      <c r="E239" s="136">
        <f>E233-E238</f>
        <v>4.125</v>
      </c>
    </row>
    <row r="240" spans="3:5">
      <c r="C240" t="s">
        <v>14</v>
      </c>
      <c r="D240" s="136">
        <f>D239*D235</f>
        <v>1.17</v>
      </c>
      <c r="E240" s="136">
        <f>E239*E235</f>
        <v>0.82500000000000007</v>
      </c>
    </row>
    <row r="241" spans="3:27">
      <c r="D241" s="136"/>
      <c r="E241" s="136"/>
    </row>
    <row r="242" spans="3:27">
      <c r="C242" t="s">
        <v>325</v>
      </c>
      <c r="D242" s="136">
        <f>D239-D240</f>
        <v>4.68</v>
      </c>
      <c r="E242" s="116">
        <f>E239-E240</f>
        <v>3.3</v>
      </c>
    </row>
    <row r="243" spans="3:27">
      <c r="C243" t="s">
        <v>1006</v>
      </c>
      <c r="D243" s="119">
        <f>D242/D222</f>
        <v>2.3636363636363636E-2</v>
      </c>
      <c r="E243" s="119">
        <f>E242/E222</f>
        <v>1.8857142857142857E-2</v>
      </c>
    </row>
    <row r="245" spans="3:27">
      <c r="C245" t="s">
        <v>338</v>
      </c>
      <c r="D245" s="136">
        <f>D224/(D233-D240)</f>
        <v>41.407867494824018</v>
      </c>
      <c r="E245" s="136">
        <f>E224/(E233-E240)</f>
        <v>38.647342995169083</v>
      </c>
    </row>
    <row r="248" spans="3:27">
      <c r="C248" s="3"/>
      <c r="D248" s="115">
        <v>2011</v>
      </c>
      <c r="E248" s="115">
        <f>D248+1</f>
        <v>2012</v>
      </c>
      <c r="F248" s="3"/>
      <c r="G248" s="3" t="e">
        <f>#REF!+1</f>
        <v>#REF!</v>
      </c>
      <c r="H248" s="3" t="e">
        <f t="shared" ref="H248:V248" si="22">G248+1</f>
        <v>#REF!</v>
      </c>
      <c r="I248" s="3" t="e">
        <f t="shared" si="22"/>
        <v>#REF!</v>
      </c>
      <c r="J248" s="3" t="e">
        <f t="shared" si="22"/>
        <v>#REF!</v>
      </c>
      <c r="K248" s="3" t="e">
        <f t="shared" si="22"/>
        <v>#REF!</v>
      </c>
      <c r="L248" s="3" t="e">
        <f t="shared" si="22"/>
        <v>#REF!</v>
      </c>
      <c r="M248" s="3" t="e">
        <f t="shared" si="22"/>
        <v>#REF!</v>
      </c>
      <c r="N248" s="3" t="e">
        <f t="shared" si="22"/>
        <v>#REF!</v>
      </c>
      <c r="O248" s="3" t="e">
        <f t="shared" si="22"/>
        <v>#REF!</v>
      </c>
      <c r="P248" s="3" t="e">
        <f t="shared" si="22"/>
        <v>#REF!</v>
      </c>
      <c r="Q248" s="3" t="e">
        <f t="shared" si="22"/>
        <v>#REF!</v>
      </c>
      <c r="R248" s="3" t="e">
        <f t="shared" si="22"/>
        <v>#REF!</v>
      </c>
      <c r="S248" s="3" t="e">
        <f t="shared" si="22"/>
        <v>#REF!</v>
      </c>
      <c r="T248" s="3" t="e">
        <f t="shared" si="22"/>
        <v>#REF!</v>
      </c>
      <c r="U248" s="3" t="e">
        <f t="shared" si="22"/>
        <v>#REF!</v>
      </c>
      <c r="V248" s="3" t="e">
        <f t="shared" si="22"/>
        <v>#REF!</v>
      </c>
      <c r="W248" s="21"/>
      <c r="X248" s="21"/>
      <c r="Y248" s="21"/>
      <c r="Z248" s="21"/>
      <c r="AA248" s="21" t="s">
        <v>1436</v>
      </c>
    </row>
    <row r="249" spans="3:27">
      <c r="C249" t="s">
        <v>231</v>
      </c>
      <c r="D249" s="118">
        <f>Fixed!F50</f>
        <v>5011.26966705</v>
      </c>
      <c r="E249" s="118">
        <f>Fixed!G50</f>
        <v>5501.5720500000007</v>
      </c>
      <c r="F249" s="25"/>
      <c r="G249" s="25">
        <f>Fixed!I50</f>
        <v>6239.0855217000008</v>
      </c>
      <c r="H249" s="25">
        <f>Fixed!J50</f>
        <v>6880.2556255</v>
      </c>
      <c r="I249" s="25">
        <f>Fixed!K50</f>
        <v>7775.6624948499993</v>
      </c>
      <c r="J249" s="25">
        <f>Fixed!L50</f>
        <v>7490.3016378000002</v>
      </c>
      <c r="K249" s="25">
        <f>Fixed!M50</f>
        <v>8128.7349387000004</v>
      </c>
      <c r="L249" s="25">
        <f>Fixed!N50</f>
        <v>8966.2410969499997</v>
      </c>
      <c r="M249" s="25">
        <f>Fixed!O50</f>
        <v>9245.9353932000013</v>
      </c>
      <c r="N249" s="25">
        <f>Fixed!P50</f>
        <v>9480.2566471499995</v>
      </c>
      <c r="O249" s="25">
        <f>Fixed!Q50</f>
        <v>9876.7625811000016</v>
      </c>
      <c r="P249" s="25">
        <f>Fixed!R50</f>
        <v>10778.534942549999</v>
      </c>
      <c r="Q249" s="25">
        <f>Fixed!S50</f>
        <v>11386.879643871973</v>
      </c>
      <c r="R249" s="25">
        <f>Fixed!T50</f>
        <v>11815.055480110512</v>
      </c>
      <c r="S249" s="76">
        <f>R249*0.975</f>
        <v>11519.679093107748</v>
      </c>
      <c r="T249" s="76">
        <f>S249*0.975</f>
        <v>11231.687115780054</v>
      </c>
      <c r="U249" s="76">
        <f>T249*0.975</f>
        <v>10950.894937885552</v>
      </c>
      <c r="V249" s="76">
        <f>U249*0.975</f>
        <v>10677.122564438414</v>
      </c>
      <c r="W249" s="76">
        <f>V249*0.975</f>
        <v>10410.194500327454</v>
      </c>
      <c r="X249" s="76">
        <f>W249*0.97</f>
        <v>10097.888665317631</v>
      </c>
      <c r="Y249" s="76">
        <f>X249*0.98</f>
        <v>9895.930892011278</v>
      </c>
      <c r="Z249" s="76">
        <f>Y249*0.98</f>
        <v>9698.0122741710529</v>
      </c>
      <c r="AA249" s="76">
        <f>Z249*0.98</f>
        <v>9504.0520286876308</v>
      </c>
    </row>
    <row r="250" spans="3:27">
      <c r="C250" t="s">
        <v>1121</v>
      </c>
      <c r="D250" s="118">
        <f>Fixed!F51</f>
        <v>1615.8040283999999</v>
      </c>
      <c r="E250" s="118">
        <f>Fixed!G51</f>
        <v>1796.5300499999998</v>
      </c>
      <c r="F250" s="25"/>
      <c r="G250" s="25">
        <f>Fixed!I51</f>
        <v>2512.566965</v>
      </c>
      <c r="H250" s="25">
        <f>Fixed!J51</f>
        <v>3490.0319199999999</v>
      </c>
      <c r="I250" s="25">
        <f>Fixed!K51</f>
        <v>4457.5604041000006</v>
      </c>
      <c r="J250" s="25">
        <f>Fixed!L51</f>
        <v>5137.1891435999996</v>
      </c>
      <c r="K250" s="25">
        <f>Fixed!M51</f>
        <v>6056.1526047000007</v>
      </c>
      <c r="L250" s="25">
        <f>Fixed!N51</f>
        <v>6617.4883136999997</v>
      </c>
      <c r="M250" s="25">
        <f>Fixed!O51</f>
        <v>7178.6430369</v>
      </c>
      <c r="N250" s="25">
        <f>Fixed!P51</f>
        <v>8202.1739376000005</v>
      </c>
      <c r="O250" s="25">
        <f>Fixed!Q51</f>
        <v>8988.8520795000004</v>
      </c>
      <c r="P250" s="25">
        <f>Fixed!R51</f>
        <v>10278.634920150002</v>
      </c>
      <c r="Q250" s="25">
        <f>Fixed!S51</f>
        <v>12185.816258291947</v>
      </c>
      <c r="R250" s="25">
        <f>Fixed!T51</f>
        <v>13550.363806597899</v>
      </c>
      <c r="S250" s="76">
        <f>R250*1.08</f>
        <v>14634.392911125733</v>
      </c>
      <c r="T250" s="76">
        <f>S250*1.08</f>
        <v>15805.144344015793</v>
      </c>
      <c r="U250" s="76">
        <f>T250*1.07</f>
        <v>16911.504448096901</v>
      </c>
      <c r="V250" s="76">
        <f>U250*1.06</f>
        <v>17926.194714982717</v>
      </c>
      <c r="W250" s="76">
        <f>V250*1.05</f>
        <v>18822.504450731853</v>
      </c>
      <c r="X250" s="76">
        <f>W250*1.06</f>
        <v>19951.854717775765</v>
      </c>
      <c r="Y250" s="76">
        <f>X250*1.05</f>
        <v>20949.447453664554</v>
      </c>
      <c r="Z250" s="76">
        <f>Y250*1.05</f>
        <v>21996.919826347781</v>
      </c>
      <c r="AA250" s="76">
        <f>Z250*1.05</f>
        <v>23096.765817665171</v>
      </c>
    </row>
    <row r="251" spans="3:27">
      <c r="C251" t="s">
        <v>197</v>
      </c>
      <c r="D251" s="118">
        <f>Fixed!F52</f>
        <v>1132.9679225999998</v>
      </c>
      <c r="E251" s="118">
        <f>Fixed!G52</f>
        <v>1131.9396000000002</v>
      </c>
      <c r="F251" s="25"/>
      <c r="G251" s="25">
        <f>Fixed!I52</f>
        <v>1265.7480292</v>
      </c>
      <c r="H251" s="25">
        <f>Fixed!J52</f>
        <v>1357.288</v>
      </c>
      <c r="I251" s="25">
        <f>Fixed!K52</f>
        <v>1641.2073165000002</v>
      </c>
      <c r="J251" s="25">
        <f>Fixed!L52</f>
        <v>1641.2073165000002</v>
      </c>
      <c r="K251" s="25">
        <f>Fixed!M52</f>
        <v>1656.3104122499999</v>
      </c>
      <c r="L251" s="25">
        <f>Fixed!N52</f>
        <v>1595.4044411499999</v>
      </c>
      <c r="M251" s="25">
        <f>Fixed!O52</f>
        <v>1832.6767752000001</v>
      </c>
      <c r="N251" s="25">
        <f>Fixed!P52</f>
        <v>2337.3784965</v>
      </c>
      <c r="O251" s="25">
        <f>Fixed!Q52</f>
        <v>2459.61045375</v>
      </c>
      <c r="P251" s="25">
        <f>Fixed!R52</f>
        <v>2556.1935830999996</v>
      </c>
      <c r="Q251" s="25">
        <f>Fixed!S52</f>
        <v>2820.4775924872956</v>
      </c>
      <c r="R251" s="25">
        <f>Fixed!T52</f>
        <v>3079.4529503017993</v>
      </c>
      <c r="S251" s="25">
        <f t="shared" ref="S251:AA251" si="23">S252-S249-S250</f>
        <v>3144.1463998870368</v>
      </c>
      <c r="T251" s="25">
        <f t="shared" si="23"/>
        <v>3140.3334964482892</v>
      </c>
      <c r="U251" s="25">
        <f t="shared" si="23"/>
        <v>3220.0805189490056</v>
      </c>
      <c r="V251" s="25">
        <f t="shared" si="23"/>
        <v>3411.6370226582731</v>
      </c>
      <c r="W251" s="25">
        <f t="shared" si="23"/>
        <v>3742.7039800824859</v>
      </c>
      <c r="X251" s="25">
        <f t="shared" si="23"/>
        <v>3914.9216359826532</v>
      </c>
      <c r="Y251" s="25">
        <f t="shared" si="23"/>
        <v>4138.2266239724995</v>
      </c>
      <c r="Z251" s="25">
        <f t="shared" si="23"/>
        <v>4338.1810182189511</v>
      </c>
      <c r="AA251" s="25">
        <f t="shared" si="23"/>
        <v>4513.2886659471187</v>
      </c>
    </row>
    <row r="252" spans="3:27">
      <c r="C252" t="s">
        <v>21</v>
      </c>
      <c r="D252" s="118">
        <f>D249+D250+D251</f>
        <v>7760.0416180499997</v>
      </c>
      <c r="E252" s="118">
        <f>E249+E250+E251</f>
        <v>8430.0416999999998</v>
      </c>
      <c r="F252" s="25"/>
      <c r="G252" s="25">
        <f t="shared" ref="G252:R252" si="24">G249+G250+G251</f>
        <v>10017.400515900001</v>
      </c>
      <c r="H252" s="25">
        <f t="shared" si="24"/>
        <v>11727.5755455</v>
      </c>
      <c r="I252" s="25">
        <f t="shared" si="24"/>
        <v>13874.43021545</v>
      </c>
      <c r="J252" s="25">
        <f t="shared" si="24"/>
        <v>14268.6980979</v>
      </c>
      <c r="K252" s="25">
        <f t="shared" si="24"/>
        <v>15841.197955650001</v>
      </c>
      <c r="L252" s="25">
        <f t="shared" si="24"/>
        <v>17179.133851799998</v>
      </c>
      <c r="M252" s="25">
        <f t="shared" si="24"/>
        <v>18257.255205300004</v>
      </c>
      <c r="N252" s="25">
        <f t="shared" si="24"/>
        <v>20019.809081250001</v>
      </c>
      <c r="O252" s="25">
        <f t="shared" si="24"/>
        <v>21325.225114350003</v>
      </c>
      <c r="P252" s="25">
        <f t="shared" si="24"/>
        <v>23613.363445800002</v>
      </c>
      <c r="Q252" s="25">
        <f t="shared" si="24"/>
        <v>26393.173494651215</v>
      </c>
      <c r="R252" s="25">
        <f t="shared" si="24"/>
        <v>28444.872237010211</v>
      </c>
      <c r="S252" s="25">
        <f t="shared" ref="S252:AA252" si="25">(1+S253)*R252</f>
        <v>29298.218404120518</v>
      </c>
      <c r="T252" s="25">
        <f t="shared" si="25"/>
        <v>30177.164956244134</v>
      </c>
      <c r="U252" s="25">
        <f t="shared" si="25"/>
        <v>31082.479904931461</v>
      </c>
      <c r="V252" s="25">
        <f t="shared" si="25"/>
        <v>32014.954302079404</v>
      </c>
      <c r="W252" s="25">
        <f t="shared" si="25"/>
        <v>32975.402931141791</v>
      </c>
      <c r="X252" s="25">
        <f t="shared" si="25"/>
        <v>33964.665019076048</v>
      </c>
      <c r="Y252" s="25">
        <f t="shared" si="25"/>
        <v>34983.604969648331</v>
      </c>
      <c r="Z252" s="25">
        <f t="shared" si="25"/>
        <v>36033.113118737783</v>
      </c>
      <c r="AA252" s="25">
        <f t="shared" si="25"/>
        <v>37114.106512299921</v>
      </c>
    </row>
    <row r="253" spans="3:27">
      <c r="E253" s="117">
        <f>E252/D252-1</f>
        <v>8.6339753693017274E-2</v>
      </c>
      <c r="F253" s="23"/>
      <c r="G253" s="23" t="e">
        <f>G252/#REF!-1</f>
        <v>#REF!</v>
      </c>
      <c r="H253" s="23">
        <f t="shared" ref="H253:R253" si="26">H252/G252-1</f>
        <v>0.17072044058591285</v>
      </c>
      <c r="I253" s="23">
        <f t="shared" si="26"/>
        <v>0.18306039996252865</v>
      </c>
      <c r="J253" s="23">
        <f t="shared" si="26"/>
        <v>2.841687019413297E-2</v>
      </c>
      <c r="K253" s="23">
        <f t="shared" si="26"/>
        <v>0.11020626037223624</v>
      </c>
      <c r="L253" s="23">
        <f t="shared" si="26"/>
        <v>8.4459262481017205E-2</v>
      </c>
      <c r="M253" s="23">
        <f t="shared" si="26"/>
        <v>6.2757608317199454E-2</v>
      </c>
      <c r="N253" s="23">
        <f t="shared" si="26"/>
        <v>9.6539915563996548E-2</v>
      </c>
      <c r="O253" s="23">
        <f t="shared" si="26"/>
        <v>6.5206217891589091E-2</v>
      </c>
      <c r="P253" s="23">
        <f t="shared" si="26"/>
        <v>0.10729726505490822</v>
      </c>
      <c r="Q253" s="23">
        <f t="shared" si="26"/>
        <v>0.11772190163556084</v>
      </c>
      <c r="R253" s="23">
        <f t="shared" si="26"/>
        <v>7.7735962398564507E-2</v>
      </c>
      <c r="S253" s="75">
        <v>0.03</v>
      </c>
      <c r="T253" s="75">
        <v>0.03</v>
      </c>
      <c r="U253" s="75">
        <v>0.03</v>
      </c>
      <c r="V253" s="75">
        <v>0.03</v>
      </c>
      <c r="W253" s="75">
        <v>0.03</v>
      </c>
      <c r="X253" s="75">
        <v>0.03</v>
      </c>
      <c r="Y253" s="75">
        <v>0.03</v>
      </c>
      <c r="Z253" s="75">
        <v>0.03</v>
      </c>
      <c r="AA253" s="75">
        <v>0.03</v>
      </c>
    </row>
    <row r="255" spans="3:27">
      <c r="C255" t="str">
        <f>C249</f>
        <v>Video</v>
      </c>
      <c r="D255" s="118">
        <f>D249/D$252*D$258</f>
        <v>64.57787101803288</v>
      </c>
      <c r="E255" s="118">
        <f>E249/D249*D255</f>
        <v>70.896166809250659</v>
      </c>
      <c r="F255" s="25"/>
      <c r="G255" s="25" t="e">
        <f>G249/#REF!*#REF!</f>
        <v>#REF!</v>
      </c>
      <c r="H255" s="25" t="e">
        <f t="shared" ref="H255:AA255" si="27">H249/G249*G255</f>
        <v>#REF!</v>
      </c>
      <c r="I255" s="25" t="e">
        <f t="shared" si="27"/>
        <v>#REF!</v>
      </c>
      <c r="J255" s="25" t="e">
        <f t="shared" si="27"/>
        <v>#REF!</v>
      </c>
      <c r="K255" s="25" t="e">
        <f t="shared" si="27"/>
        <v>#REF!</v>
      </c>
      <c r="L255" s="25" t="e">
        <f t="shared" si="27"/>
        <v>#REF!</v>
      </c>
      <c r="M255" s="25" t="e">
        <f t="shared" si="27"/>
        <v>#REF!</v>
      </c>
      <c r="N255" s="25" t="e">
        <f t="shared" si="27"/>
        <v>#REF!</v>
      </c>
      <c r="O255" s="25" t="e">
        <f t="shared" si="27"/>
        <v>#REF!</v>
      </c>
      <c r="P255" s="25" t="e">
        <f t="shared" si="27"/>
        <v>#REF!</v>
      </c>
      <c r="Q255" s="25" t="e">
        <f t="shared" si="27"/>
        <v>#REF!</v>
      </c>
      <c r="R255" s="25" t="e">
        <f t="shared" si="27"/>
        <v>#REF!</v>
      </c>
      <c r="S255" s="25" t="e">
        <f t="shared" si="27"/>
        <v>#REF!</v>
      </c>
      <c r="T255" s="25" t="e">
        <f t="shared" si="27"/>
        <v>#REF!</v>
      </c>
      <c r="U255" s="25" t="e">
        <f t="shared" si="27"/>
        <v>#REF!</v>
      </c>
      <c r="V255" s="25" t="e">
        <f t="shared" si="27"/>
        <v>#REF!</v>
      </c>
      <c r="W255" s="25" t="e">
        <f t="shared" si="27"/>
        <v>#REF!</v>
      </c>
      <c r="X255" s="25" t="e">
        <f t="shared" si="27"/>
        <v>#REF!</v>
      </c>
      <c r="Y255" s="25" t="e">
        <f t="shared" si="27"/>
        <v>#REF!</v>
      </c>
      <c r="Z255" s="25" t="e">
        <f t="shared" si="27"/>
        <v>#REF!</v>
      </c>
      <c r="AA255" s="25" t="e">
        <f t="shared" si="27"/>
        <v>#REF!</v>
      </c>
    </row>
    <row r="256" spans="3:27">
      <c r="C256" t="str">
        <f>C250</f>
        <v>Broadband</v>
      </c>
      <c r="D256" s="118">
        <f>D250/D$252*D$258</f>
        <v>20.8221051887352</v>
      </c>
      <c r="E256" s="118">
        <f>E250/D250*D256</f>
        <v>23.151036275646231</v>
      </c>
      <c r="F256" s="25"/>
      <c r="G256" s="25" t="e">
        <f>G250/#REF!*#REF!</f>
        <v>#REF!</v>
      </c>
      <c r="H256" s="25" t="e">
        <f t="shared" ref="H256:AA256" si="28">H250/G250*G256</f>
        <v>#REF!</v>
      </c>
      <c r="I256" s="25" t="e">
        <f t="shared" si="28"/>
        <v>#REF!</v>
      </c>
      <c r="J256" s="25" t="e">
        <f t="shared" si="28"/>
        <v>#REF!</v>
      </c>
      <c r="K256" s="25" t="e">
        <f t="shared" si="28"/>
        <v>#REF!</v>
      </c>
      <c r="L256" s="25" t="e">
        <f t="shared" si="28"/>
        <v>#REF!</v>
      </c>
      <c r="M256" s="25" t="e">
        <f t="shared" si="28"/>
        <v>#REF!</v>
      </c>
      <c r="N256" s="25" t="e">
        <f t="shared" si="28"/>
        <v>#REF!</v>
      </c>
      <c r="O256" s="25" t="e">
        <f t="shared" si="28"/>
        <v>#REF!</v>
      </c>
      <c r="P256" s="25" t="e">
        <f t="shared" si="28"/>
        <v>#REF!</v>
      </c>
      <c r="Q256" s="25" t="e">
        <f t="shared" si="28"/>
        <v>#REF!</v>
      </c>
      <c r="R256" s="25" t="e">
        <f t="shared" si="28"/>
        <v>#REF!</v>
      </c>
      <c r="S256" s="25" t="e">
        <f t="shared" si="28"/>
        <v>#REF!</v>
      </c>
      <c r="T256" s="25" t="e">
        <f t="shared" si="28"/>
        <v>#REF!</v>
      </c>
      <c r="U256" s="25" t="e">
        <f t="shared" si="28"/>
        <v>#REF!</v>
      </c>
      <c r="V256" s="25" t="e">
        <f t="shared" si="28"/>
        <v>#REF!</v>
      </c>
      <c r="W256" s="25" t="e">
        <f t="shared" si="28"/>
        <v>#REF!</v>
      </c>
      <c r="X256" s="25" t="e">
        <f t="shared" si="28"/>
        <v>#REF!</v>
      </c>
      <c r="Y256" s="25" t="e">
        <f t="shared" si="28"/>
        <v>#REF!</v>
      </c>
      <c r="Z256" s="25" t="e">
        <f t="shared" si="28"/>
        <v>#REF!</v>
      </c>
      <c r="AA256" s="25" t="e">
        <f t="shared" si="28"/>
        <v>#REF!</v>
      </c>
    </row>
    <row r="257" spans="3:27">
      <c r="C257" t="str">
        <f>C251</f>
        <v>Voice</v>
      </c>
      <c r="D257" s="118">
        <f>D251/D$252*D$258</f>
        <v>14.600023793231928</v>
      </c>
      <c r="E257" s="118">
        <f>E251/D251*D257</f>
        <v>14.586772284404866</v>
      </c>
      <c r="F257" s="25"/>
      <c r="G257" s="25" t="e">
        <f>G251/#REF!*#REF!</f>
        <v>#REF!</v>
      </c>
      <c r="H257" s="25" t="e">
        <f t="shared" ref="H257:AA257" si="29">H251/G251*G257</f>
        <v>#REF!</v>
      </c>
      <c r="I257" s="25" t="e">
        <f t="shared" si="29"/>
        <v>#REF!</v>
      </c>
      <c r="J257" s="25" t="e">
        <f t="shared" si="29"/>
        <v>#REF!</v>
      </c>
      <c r="K257" s="25" t="e">
        <f t="shared" si="29"/>
        <v>#REF!</v>
      </c>
      <c r="L257" s="25" t="e">
        <f t="shared" si="29"/>
        <v>#REF!</v>
      </c>
      <c r="M257" s="25" t="e">
        <f t="shared" si="29"/>
        <v>#REF!</v>
      </c>
      <c r="N257" s="25" t="e">
        <f t="shared" si="29"/>
        <v>#REF!</v>
      </c>
      <c r="O257" s="25" t="e">
        <f t="shared" si="29"/>
        <v>#REF!</v>
      </c>
      <c r="P257" s="25" t="e">
        <f t="shared" si="29"/>
        <v>#REF!</v>
      </c>
      <c r="Q257" s="25" t="e">
        <f t="shared" si="29"/>
        <v>#REF!</v>
      </c>
      <c r="R257" s="25" t="e">
        <f t="shared" si="29"/>
        <v>#REF!</v>
      </c>
      <c r="S257" s="25" t="e">
        <f t="shared" si="29"/>
        <v>#REF!</v>
      </c>
      <c r="T257" s="25" t="e">
        <f t="shared" si="29"/>
        <v>#REF!</v>
      </c>
      <c r="U257" s="25" t="e">
        <f t="shared" si="29"/>
        <v>#REF!</v>
      </c>
      <c r="V257" s="25" t="e">
        <f t="shared" si="29"/>
        <v>#REF!</v>
      </c>
      <c r="W257" s="25" t="e">
        <f t="shared" si="29"/>
        <v>#REF!</v>
      </c>
      <c r="X257" s="25" t="e">
        <f t="shared" si="29"/>
        <v>#REF!</v>
      </c>
      <c r="Y257" s="25" t="e">
        <f t="shared" si="29"/>
        <v>#REF!</v>
      </c>
      <c r="Z257" s="25" t="e">
        <f t="shared" si="29"/>
        <v>#REF!</v>
      </c>
      <c r="AA257" s="25" t="e">
        <f t="shared" si="29"/>
        <v>#REF!</v>
      </c>
    </row>
    <row r="258" spans="3:27">
      <c r="D258" s="134">
        <v>100</v>
      </c>
      <c r="E258" s="118">
        <f>E252/D252*D258</f>
        <v>108.63397536930172</v>
      </c>
      <c r="F258" s="25"/>
      <c r="G258" s="25" t="e">
        <f>G252/#REF!*#REF!</f>
        <v>#REF!</v>
      </c>
      <c r="H258" s="25" t="e">
        <f t="shared" ref="H258:AA258" si="30">H252/G252*G258</f>
        <v>#REF!</v>
      </c>
      <c r="I258" s="25" t="e">
        <f t="shared" si="30"/>
        <v>#REF!</v>
      </c>
      <c r="J258" s="25" t="e">
        <f t="shared" si="30"/>
        <v>#REF!</v>
      </c>
      <c r="K258" s="25" t="e">
        <f t="shared" si="30"/>
        <v>#REF!</v>
      </c>
      <c r="L258" s="25" t="e">
        <f t="shared" si="30"/>
        <v>#REF!</v>
      </c>
      <c r="M258" s="25" t="e">
        <f t="shared" si="30"/>
        <v>#REF!</v>
      </c>
      <c r="N258" s="25" t="e">
        <f t="shared" si="30"/>
        <v>#REF!</v>
      </c>
      <c r="O258" s="25" t="e">
        <f t="shared" si="30"/>
        <v>#REF!</v>
      </c>
      <c r="P258" s="25" t="e">
        <f t="shared" si="30"/>
        <v>#REF!</v>
      </c>
      <c r="Q258" s="25" t="e">
        <f t="shared" si="30"/>
        <v>#REF!</v>
      </c>
      <c r="R258" s="25" t="e">
        <f t="shared" si="30"/>
        <v>#REF!</v>
      </c>
      <c r="S258" s="25" t="e">
        <f t="shared" si="30"/>
        <v>#REF!</v>
      </c>
      <c r="T258" s="25" t="e">
        <f t="shared" si="30"/>
        <v>#REF!</v>
      </c>
      <c r="U258" s="25" t="e">
        <f t="shared" si="30"/>
        <v>#REF!</v>
      </c>
      <c r="V258" s="25" t="e">
        <f t="shared" si="30"/>
        <v>#REF!</v>
      </c>
      <c r="W258" s="25" t="e">
        <f t="shared" si="30"/>
        <v>#REF!</v>
      </c>
      <c r="X258" s="25" t="e">
        <f t="shared" si="30"/>
        <v>#REF!</v>
      </c>
      <c r="Y258" s="25" t="e">
        <f t="shared" si="30"/>
        <v>#REF!</v>
      </c>
      <c r="Z258" s="25" t="e">
        <f t="shared" si="30"/>
        <v>#REF!</v>
      </c>
      <c r="AA258" s="25" t="e">
        <f t="shared" si="30"/>
        <v>#REF!</v>
      </c>
    </row>
    <row r="264" spans="3:27">
      <c r="D264" s="116" t="str">
        <f>Quarts!AM4</f>
        <v>Q1 17</v>
      </c>
      <c r="E264" s="116" t="str">
        <f>Quarts!AN4</f>
        <v>Q2 17</v>
      </c>
      <c r="F264" s="20"/>
      <c r="G264" s="20" t="str">
        <f>Quarts!AP4</f>
        <v>Q4 17</v>
      </c>
      <c r="H264" s="20" t="str">
        <f>Quarts!AQ4</f>
        <v>Q1 18</v>
      </c>
      <c r="I264" s="20" t="str">
        <f>Quarts!AR4</f>
        <v>Q2 18</v>
      </c>
      <c r="J264" s="20" t="str">
        <f>Quarts!AS4</f>
        <v>Q3 18</v>
      </c>
      <c r="K264" s="20" t="str">
        <f>Quarts!AT4</f>
        <v>Q4 18</v>
      </c>
      <c r="L264" s="20" t="str">
        <f>Quarts!AU4</f>
        <v>Q1 19</v>
      </c>
      <c r="M264" s="20" t="str">
        <f>Quarts!AV4</f>
        <v>Q2 19</v>
      </c>
      <c r="N264" s="20"/>
      <c r="O264" s="20"/>
    </row>
    <row r="265" spans="3:27">
      <c r="D265" s="136">
        <f>Quarts!AM41</f>
        <v>178.4</v>
      </c>
      <c r="E265" s="136">
        <f>Quarts!AN41</f>
        <v>178.7</v>
      </c>
      <c r="F265" s="79"/>
      <c r="G265" s="79">
        <f>Quarts!AP41</f>
        <v>177.2</v>
      </c>
      <c r="H265" s="79">
        <f>Quarts!AQ41</f>
        <v>181.9</v>
      </c>
      <c r="I265" s="79">
        <f>Quarts!AR41</f>
        <v>179.3</v>
      </c>
      <c r="J265" s="79">
        <f>Quarts!AS41</f>
        <v>178.2</v>
      </c>
      <c r="K265" s="79">
        <f>Quarts!AT41</f>
        <v>179.8</v>
      </c>
      <c r="L265" s="79">
        <f>Quarts!AU41</f>
        <v>182</v>
      </c>
      <c r="M265" s="79">
        <f>Quarts!AV41</f>
        <v>182.7</v>
      </c>
      <c r="N265" s="79"/>
      <c r="O265" s="79"/>
    </row>
    <row r="269" spans="3:27" ht="15.75">
      <c r="D269" s="123"/>
    </row>
    <row r="270" spans="3:27" ht="15.75">
      <c r="C270" s="80" t="s">
        <v>1680</v>
      </c>
      <c r="D270" s="123"/>
    </row>
    <row r="271" spans="3:27" ht="15.75">
      <c r="C271" s="8" t="s">
        <v>1684</v>
      </c>
      <c r="D271" s="131">
        <f>Quarts!AW7/1000-0.6</f>
        <v>8.1639999999999997</v>
      </c>
    </row>
    <row r="272" spans="3:27" ht="15.75">
      <c r="C272" s="8" t="s">
        <v>1685</v>
      </c>
      <c r="D272" s="126">
        <v>0.5</v>
      </c>
    </row>
    <row r="273" spans="3:5" ht="15.75">
      <c r="C273" s="8" t="s">
        <v>1686</v>
      </c>
      <c r="D273" s="131">
        <f>D272*D271</f>
        <v>4.0819999999999999</v>
      </c>
    </row>
    <row r="274" spans="3:5" ht="15.75">
      <c r="C274" s="8"/>
      <c r="D274" s="131"/>
    </row>
    <row r="275" spans="3:5" ht="15.75">
      <c r="C275" s="8" t="s">
        <v>1682</v>
      </c>
      <c r="D275" s="126">
        <v>0.5</v>
      </c>
    </row>
    <row r="276" spans="3:5" ht="15.75">
      <c r="C276" s="8" t="s">
        <v>1683</v>
      </c>
      <c r="D276" s="131">
        <f>D275*D273</f>
        <v>2.0409999999999999</v>
      </c>
    </row>
    <row r="277" spans="3:5" ht="15.75">
      <c r="C277" s="8" t="s">
        <v>1681</v>
      </c>
      <c r="D277" s="123">
        <v>60</v>
      </c>
    </row>
    <row r="278" spans="3:5" ht="15.75">
      <c r="C278" s="8" t="s">
        <v>1687</v>
      </c>
      <c r="D278" s="125">
        <f>D277/D276</f>
        <v>29.39735423811857</v>
      </c>
    </row>
    <row r="279" spans="3:5" ht="15.75">
      <c r="C279" s="8"/>
      <c r="D279" s="123"/>
    </row>
    <row r="281" spans="3:5">
      <c r="C281" s="59">
        <v>2019</v>
      </c>
      <c r="D281" s="118">
        <v>0</v>
      </c>
      <c r="E281" s="116">
        <v>323</v>
      </c>
    </row>
    <row r="282" spans="3:5">
      <c r="C282" t="s">
        <v>1691</v>
      </c>
      <c r="D282" s="116">
        <v>265</v>
      </c>
      <c r="E282" s="118">
        <f>E281-D282</f>
        <v>58</v>
      </c>
    </row>
    <row r="283" spans="3:5">
      <c r="C283" t="s">
        <v>1689</v>
      </c>
      <c r="D283" s="116">
        <f>D282</f>
        <v>265</v>
      </c>
      <c r="E283" s="116">
        <v>55</v>
      </c>
    </row>
    <row r="284" spans="3:5">
      <c r="C284" t="s">
        <v>1690</v>
      </c>
      <c r="D284" s="116">
        <f>D283+E283</f>
        <v>320</v>
      </c>
      <c r="E284" s="118">
        <f>E281+50-D284</f>
        <v>53</v>
      </c>
    </row>
    <row r="285" spans="3:5">
      <c r="C285" s="59">
        <v>2020</v>
      </c>
      <c r="D285" s="118"/>
      <c r="E285" s="118">
        <f>D284+E284</f>
        <v>373</v>
      </c>
    </row>
    <row r="287" spans="3:5">
      <c r="D287" s="116">
        <v>100</v>
      </c>
      <c r="E287" s="116">
        <f>D287*D276</f>
        <v>204.1</v>
      </c>
    </row>
    <row r="288" spans="3:5">
      <c r="D288" s="116">
        <v>300</v>
      </c>
      <c r="E288" s="116">
        <f>D276*0.45*D288</f>
        <v>275.53499999999997</v>
      </c>
    </row>
    <row r="293" spans="3:9" ht="15.75">
      <c r="C293" s="80" t="s">
        <v>1787</v>
      </c>
    </row>
    <row r="295" spans="3:9" ht="15.75">
      <c r="C295" s="16" t="s">
        <v>1692</v>
      </c>
      <c r="D295" s="120">
        <v>2020</v>
      </c>
      <c r="E295" s="120">
        <f>D295+1</f>
        <v>2021</v>
      </c>
      <c r="F295" s="16"/>
      <c r="G295" s="16" t="e">
        <f>#REF!+1</f>
        <v>#REF!</v>
      </c>
      <c r="H295" s="16" t="e">
        <f>G295+1</f>
        <v>#REF!</v>
      </c>
      <c r="I295" s="16" t="e">
        <f>H295+1</f>
        <v>#REF!</v>
      </c>
    </row>
    <row r="296" spans="3:9" ht="15.75">
      <c r="C296" s="8" t="s">
        <v>411</v>
      </c>
      <c r="D296" s="121">
        <f>Master!T7</f>
        <v>22383</v>
      </c>
      <c r="E296" s="121">
        <f>Master!U7</f>
        <v>24634</v>
      </c>
      <c r="F296" s="6"/>
      <c r="G296" s="6">
        <f>Master!W7</f>
        <v>29870.54</v>
      </c>
      <c r="H296" s="6">
        <f>Master!X7</f>
        <v>33085.7435653906</v>
      </c>
      <c r="I296" s="6">
        <f>Master!Y7</f>
        <v>36026.705486593608</v>
      </c>
    </row>
    <row r="297" spans="3:9" ht="15.75">
      <c r="C297" s="8" t="s">
        <v>16</v>
      </c>
      <c r="D297" s="121">
        <f>Master!T12</f>
        <v>11037</v>
      </c>
      <c r="E297" s="121">
        <f>Master!U12</f>
        <v>12116</v>
      </c>
      <c r="F297" s="6"/>
      <c r="G297" s="6">
        <f>Master!W12</f>
        <v>13319.993</v>
      </c>
      <c r="H297" s="6">
        <f>Master!X12</f>
        <v>15052.832575733581</v>
      </c>
      <c r="I297" s="6">
        <f>Master!Y12</f>
        <v>16703.957652064935</v>
      </c>
    </row>
    <row r="298" spans="3:9" ht="15.75">
      <c r="C298" s="8" t="s">
        <v>200</v>
      </c>
      <c r="D298" s="126">
        <f>D297/D296</f>
        <v>0.49309744002144484</v>
      </c>
      <c r="E298" s="126">
        <f>E297/E296</f>
        <v>0.49184054558739954</v>
      </c>
      <c r="F298" s="5"/>
      <c r="G298" s="5">
        <f>G297/G296</f>
        <v>0.44592407770331571</v>
      </c>
      <c r="H298" s="5">
        <f>H297/H296</f>
        <v>0.45496431252884467</v>
      </c>
      <c r="I298" s="5">
        <f>I297/I296</f>
        <v>0.46365487563887503</v>
      </c>
    </row>
    <row r="299" spans="3:9" ht="15.75">
      <c r="C299" s="8" t="s">
        <v>22</v>
      </c>
      <c r="D299" s="121">
        <f>Master!T44</f>
        <v>8081</v>
      </c>
      <c r="E299" s="121">
        <f>Master!U44</f>
        <v>9466.5730000000003</v>
      </c>
      <c r="F299" s="6"/>
      <c r="G299" s="6">
        <f>Master!W44</f>
        <v>12949</v>
      </c>
      <c r="H299" s="6">
        <f>Master!X44</f>
        <v>10918.295376578899</v>
      </c>
      <c r="I299" s="6">
        <f>Master!Y44</f>
        <v>10087.477536246211</v>
      </c>
    </row>
    <row r="300" spans="3:9" ht="15.75">
      <c r="C300" s="8" t="s">
        <v>23</v>
      </c>
      <c r="D300" s="126">
        <f>D299/D296</f>
        <v>0.36103292677478444</v>
      </c>
      <c r="E300" s="126">
        <f>E299/E296</f>
        <v>0.38428890963708695</v>
      </c>
      <c r="F300" s="5"/>
      <c r="G300" s="5">
        <f>G299/G296</f>
        <v>0.43350404780094365</v>
      </c>
      <c r="H300" s="5">
        <f>H299/H296</f>
        <v>0.33</v>
      </c>
      <c r="I300" s="5">
        <f>I299/I296</f>
        <v>0.28000000000000003</v>
      </c>
    </row>
    <row r="301" spans="3:9" ht="15.75">
      <c r="C301" s="8" t="s">
        <v>24</v>
      </c>
      <c r="D301" s="121">
        <f>D297-D299</f>
        <v>2956</v>
      </c>
      <c r="E301" s="121">
        <f>E297-E299</f>
        <v>2649.4269999999997</v>
      </c>
      <c r="F301" s="6"/>
      <c r="G301" s="6">
        <f>G297-G299</f>
        <v>370.99300000000039</v>
      </c>
      <c r="H301" s="6">
        <f>H297-H299</f>
        <v>4134.5371991546817</v>
      </c>
      <c r="I301" s="6">
        <f>I297-I299</f>
        <v>6616.4801158187238</v>
      </c>
    </row>
    <row r="302" spans="3:9" ht="15.75" hidden="1">
      <c r="C302" s="8" t="s">
        <v>325</v>
      </c>
      <c r="D302" s="121">
        <f>Valuation!M25</f>
        <v>707.4</v>
      </c>
      <c r="E302" s="121">
        <f ca="1">Valuation!N25</f>
        <v>352.61755085867782</v>
      </c>
      <c r="F302" s="6"/>
      <c r="G302" s="6">
        <f>Valuation!P25</f>
        <v>-3116.6468759965855</v>
      </c>
      <c r="H302" s="6">
        <f ca="1">Valuation!Q25</f>
        <v>489.4027899182081</v>
      </c>
      <c r="I302" s="6">
        <f ca="1">Valuation!R25</f>
        <v>2406.2727879732583</v>
      </c>
    </row>
    <row r="303" spans="3:9" ht="15.75">
      <c r="C303" s="8" t="s">
        <v>325</v>
      </c>
      <c r="D303" s="121">
        <f>Valuation!M25</f>
        <v>707.4</v>
      </c>
      <c r="E303" s="121">
        <f ca="1">Valuation!N25</f>
        <v>352.61755085867782</v>
      </c>
      <c r="F303" s="6"/>
      <c r="G303" s="6">
        <f>Valuation!P25</f>
        <v>-3116.6468759965855</v>
      </c>
      <c r="H303" s="6">
        <f ca="1">Valuation!Q25</f>
        <v>489.4027899182081</v>
      </c>
      <c r="I303" s="6">
        <f ca="1">Valuation!R25</f>
        <v>2406.2727879732583</v>
      </c>
    </row>
    <row r="305" spans="3:17" ht="15.75" outlineLevel="1">
      <c r="C305" s="16" t="s">
        <v>1693</v>
      </c>
      <c r="D305" s="120">
        <v>2020</v>
      </c>
      <c r="E305" s="120">
        <f>D305+1</f>
        <v>2021</v>
      </c>
      <c r="F305" s="16"/>
      <c r="G305" s="16" t="e">
        <f>#REF!+1</f>
        <v>#REF!</v>
      </c>
      <c r="H305" s="16" t="e">
        <f>G305+1</f>
        <v>#REF!</v>
      </c>
      <c r="I305" s="16" t="e">
        <f>H305+1</f>
        <v>#REF!</v>
      </c>
    </row>
    <row r="306" spans="3:17" ht="15.75" outlineLevel="1">
      <c r="C306" s="8" t="s">
        <v>411</v>
      </c>
      <c r="D306" s="121">
        <v>22463.406504111979</v>
      </c>
      <c r="E306" s="121">
        <v>24040.844293397171</v>
      </c>
      <c r="F306" s="6"/>
      <c r="G306" s="6">
        <v>28183.423734084732</v>
      </c>
      <c r="H306" s="6">
        <v>30246.07387829346</v>
      </c>
      <c r="I306" s="6">
        <v>32330.460969282183</v>
      </c>
    </row>
    <row r="307" spans="3:17" ht="15.75" outlineLevel="1">
      <c r="C307" s="8" t="s">
        <v>16</v>
      </c>
      <c r="D307" s="121">
        <v>10457.967434882365</v>
      </c>
      <c r="E307" s="121">
        <v>11075.383432307532</v>
      </c>
      <c r="F307" s="6"/>
      <c r="G307" s="6">
        <v>12707.421629467792</v>
      </c>
      <c r="H307" s="6">
        <v>13589.956926309218</v>
      </c>
      <c r="I307" s="6">
        <v>14559.106297601007</v>
      </c>
    </row>
    <row r="308" spans="3:17" ht="15.75" outlineLevel="1">
      <c r="C308" s="8" t="s">
        <v>200</v>
      </c>
      <c r="D308" s="126">
        <v>0.46100667350778385</v>
      </c>
      <c r="E308" s="126">
        <v>0.45631948204213452</v>
      </c>
      <c r="F308" s="5"/>
      <c r="G308" s="5">
        <v>0.44904349501045027</v>
      </c>
      <c r="H308" s="5">
        <v>0.44759270536569812</v>
      </c>
      <c r="I308" s="5">
        <v>0.4486555139835966</v>
      </c>
      <c r="O308">
        <v>1000</v>
      </c>
      <c r="P308" t="s">
        <v>2007</v>
      </c>
    </row>
    <row r="309" spans="3:17" ht="15.75" outlineLevel="1">
      <c r="C309" s="8" t="s">
        <v>22</v>
      </c>
      <c r="D309" s="121">
        <v>7490.9365690650448</v>
      </c>
      <c r="E309" s="121">
        <v>7916.4183151704528</v>
      </c>
      <c r="F309" s="6"/>
      <c r="G309" s="6">
        <v>6736.3095377944601</v>
      </c>
      <c r="H309" s="6">
        <v>6623.1816860687195</v>
      </c>
      <c r="I309" s="6">
        <v>6637.7783495877566</v>
      </c>
      <c r="O309">
        <v>700</v>
      </c>
      <c r="P309" t="s">
        <v>2006</v>
      </c>
    </row>
    <row r="310" spans="3:17" ht="15.75" outlineLevel="1">
      <c r="C310" s="8" t="s">
        <v>23</v>
      </c>
      <c r="D310" s="126">
        <v>0.32852815406270269</v>
      </c>
      <c r="E310" s="126">
        <v>0.3245018447802529</v>
      </c>
      <c r="F310" s="5"/>
      <c r="G310" s="5">
        <v>0.23927315948755432</v>
      </c>
      <c r="H310" s="5">
        <v>0.21923917657156408</v>
      </c>
      <c r="I310" s="5">
        <v>0.20554682214859607</v>
      </c>
      <c r="O310" s="3">
        <f>5100-O308-O309</f>
        <v>3400</v>
      </c>
      <c r="P310" t="s">
        <v>2008</v>
      </c>
    </row>
    <row r="311" spans="3:17" ht="15.75" outlineLevel="1">
      <c r="C311" s="8" t="s">
        <v>24</v>
      </c>
      <c r="D311" s="121">
        <v>3041.6184173356387</v>
      </c>
      <c r="E311" s="121">
        <v>3241.7831832758238</v>
      </c>
      <c r="F311" s="6"/>
      <c r="G311" s="6">
        <v>6053.3808828572828</v>
      </c>
      <c r="H311" s="6">
        <v>7075.3471768620702</v>
      </c>
      <c r="I311" s="6">
        <v>8056.4277495994884</v>
      </c>
      <c r="O311">
        <f>SUM(O308:O310)</f>
        <v>5100</v>
      </c>
      <c r="P311">
        <v>2019</v>
      </c>
    </row>
    <row r="312" spans="3:17" ht="15.75" outlineLevel="1">
      <c r="C312" s="8" t="s">
        <v>325</v>
      </c>
      <c r="D312" s="121">
        <v>1643.2970451183055</v>
      </c>
      <c r="E312" s="121">
        <v>1657.1001721664675</v>
      </c>
      <c r="F312" s="6"/>
      <c r="G312" s="6">
        <v>4255.9840616646179</v>
      </c>
      <c r="H312" s="6">
        <v>4932.6509920131357</v>
      </c>
      <c r="I312" s="6">
        <v>5508.32969578144</v>
      </c>
    </row>
    <row r="313" spans="3:17" ht="15.75" outlineLevel="1">
      <c r="C313" s="8"/>
      <c r="D313" s="123"/>
      <c r="E313" s="123"/>
      <c r="F313" s="8"/>
      <c r="G313" s="8"/>
      <c r="H313" s="8"/>
      <c r="I313" s="8"/>
      <c r="O313">
        <v>33</v>
      </c>
      <c r="P313" t="s">
        <v>2014</v>
      </c>
    </row>
    <row r="314" spans="3:17" ht="15.75">
      <c r="C314" s="16" t="s">
        <v>85</v>
      </c>
      <c r="D314" s="120">
        <v>2020</v>
      </c>
      <c r="E314" s="120">
        <f>D314+1</f>
        <v>2021</v>
      </c>
      <c r="F314" s="16"/>
      <c r="G314" s="16" t="e">
        <f>#REF!+1</f>
        <v>#REF!</v>
      </c>
      <c r="H314" s="16" t="e">
        <f>G314+1</f>
        <v>#REF!</v>
      </c>
      <c r="I314" s="16" t="e">
        <f>H314+1</f>
        <v>#REF!</v>
      </c>
      <c r="Q314" t="s">
        <v>2010</v>
      </c>
    </row>
    <row r="315" spans="3:17" ht="15.75">
      <c r="C315" s="8" t="s">
        <v>411</v>
      </c>
      <c r="D315" s="122">
        <f>D296/D306-1</f>
        <v>-3.5794439323911798E-3</v>
      </c>
      <c r="E315" s="122">
        <f>E296/E306-1</f>
        <v>2.4672831759313008E-2</v>
      </c>
      <c r="F315" s="10"/>
      <c r="G315" s="10">
        <f t="shared" ref="G315:I316" si="31">G296/G306-1</f>
        <v>5.9862005476463365E-2</v>
      </c>
      <c r="H315" s="10">
        <f t="shared" si="31"/>
        <v>9.38855634130773E-2</v>
      </c>
      <c r="I315" s="10">
        <f t="shared" si="31"/>
        <v>0.11432699709488525</v>
      </c>
      <c r="Q315" t="s">
        <v>2011</v>
      </c>
    </row>
    <row r="316" spans="3:17" ht="15.75">
      <c r="C316" s="8" t="s">
        <v>16</v>
      </c>
      <c r="D316" s="122">
        <f>D297/D307-1</f>
        <v>5.5367600704729902E-2</v>
      </c>
      <c r="E316" s="122">
        <f>E297/E307-1</f>
        <v>9.3957610953398607E-2</v>
      </c>
      <c r="F316" s="10"/>
      <c r="G316" s="10">
        <f t="shared" si="31"/>
        <v>4.8205795667603413E-2</v>
      </c>
      <c r="H316" s="10">
        <f t="shared" si="31"/>
        <v>0.1076438768243877</v>
      </c>
      <c r="I316" s="10">
        <f t="shared" si="31"/>
        <v>0.14732026201480153</v>
      </c>
      <c r="Q316" t="s">
        <v>2009</v>
      </c>
    </row>
    <row r="317" spans="3:17" ht="15.75">
      <c r="C317" s="8" t="s">
        <v>22</v>
      </c>
      <c r="D317" s="122">
        <f>D299/D309-1</f>
        <v>7.8770314698927146E-2</v>
      </c>
      <c r="E317" s="122">
        <f>E299/E309-1</f>
        <v>0.19581515568207686</v>
      </c>
      <c r="F317" s="10"/>
      <c r="G317" s="10">
        <f>G299/G309-1</f>
        <v>0.92226914861154685</v>
      </c>
      <c r="H317" s="10">
        <f>H299/H309-1</f>
        <v>0.6484970357290023</v>
      </c>
      <c r="I317" s="10">
        <f>I299/I309-1</f>
        <v>0.51970689664150971</v>
      </c>
      <c r="Q317" t="s">
        <v>2012</v>
      </c>
    </row>
    <row r="318" spans="3:17" ht="15.75">
      <c r="C318" s="8" t="s">
        <v>24</v>
      </c>
      <c r="D318" s="122">
        <f>D301/D311-1</f>
        <v>-2.8148967289143956E-2</v>
      </c>
      <c r="E318" s="122">
        <f>E301/E311-1</f>
        <v>-0.18272541678041776</v>
      </c>
      <c r="F318" s="10"/>
      <c r="G318" s="10">
        <f t="shared" ref="G318:I319" si="32">G301/G311-1</f>
        <v>-0.93871309154680416</v>
      </c>
      <c r="H318" s="10">
        <f t="shared" si="32"/>
        <v>-0.41564179173065585</v>
      </c>
      <c r="I318" s="10">
        <f t="shared" si="32"/>
        <v>-0.17873276823618867</v>
      </c>
      <c r="Q318" t="s">
        <v>2013</v>
      </c>
    </row>
    <row r="319" spans="3:17" ht="15.75">
      <c r="C319" s="8" t="s">
        <v>325</v>
      </c>
      <c r="D319" s="122">
        <f>D302/D312-1</f>
        <v>-0.56952396275435868</v>
      </c>
      <c r="E319" s="122">
        <f ca="1">E302/E312-1</f>
        <v>-0.78720806576365809</v>
      </c>
      <c r="F319" s="10"/>
      <c r="G319" s="10">
        <f t="shared" si="32"/>
        <v>-1.7322975910717084</v>
      </c>
      <c r="H319" s="10">
        <f t="shared" ca="1" si="32"/>
        <v>-0.90078300883021312</v>
      </c>
      <c r="I319" s="10">
        <f t="shared" ca="1" si="32"/>
        <v>-0.56315745046704357</v>
      </c>
      <c r="P319" t="s">
        <v>2015</v>
      </c>
    </row>
    <row r="320" spans="3:17" ht="15.75">
      <c r="C320" s="80"/>
      <c r="Q320" t="s">
        <v>2016</v>
      </c>
    </row>
    <row r="321" spans="3:24" ht="15.75">
      <c r="C321" s="81" t="s">
        <v>1725</v>
      </c>
      <c r="D321" s="120">
        <v>2020</v>
      </c>
      <c r="E321" s="120">
        <f>D321+1</f>
        <v>2021</v>
      </c>
      <c r="F321" s="16"/>
      <c r="G321" s="16" t="e">
        <f>#REF!+1</f>
        <v>#REF!</v>
      </c>
      <c r="H321" s="16" t="e">
        <f>G321+1</f>
        <v>#REF!</v>
      </c>
      <c r="I321" s="16" t="e">
        <f>H321+1</f>
        <v>#REF!</v>
      </c>
      <c r="J321" s="16" t="e">
        <f>I321+1</f>
        <v>#REF!</v>
      </c>
      <c r="K321" s="16" t="e">
        <f>J321+1</f>
        <v>#REF!</v>
      </c>
      <c r="L321" s="82" t="s">
        <v>1726</v>
      </c>
      <c r="Q321" t="s">
        <v>2017</v>
      </c>
    </row>
    <row r="322" spans="3:24">
      <c r="P322" t="s">
        <v>2018</v>
      </c>
      <c r="Q322" s="74" t="s">
        <v>2019</v>
      </c>
      <c r="T322" t="s">
        <v>2021</v>
      </c>
      <c r="U322" s="23">
        <v>0.11</v>
      </c>
      <c r="V322" t="s">
        <v>2020</v>
      </c>
      <c r="W322" s="23">
        <v>0.25</v>
      </c>
    </row>
    <row r="323" spans="3:24" ht="15.75">
      <c r="C323" s="8" t="s">
        <v>168</v>
      </c>
      <c r="D323" s="121">
        <v>103419</v>
      </c>
      <c r="E323" s="121">
        <v>0</v>
      </c>
      <c r="F323" s="6"/>
      <c r="G323" s="6">
        <v>7990</v>
      </c>
      <c r="H323" s="6">
        <v>10000</v>
      </c>
      <c r="I323" s="6">
        <v>11843</v>
      </c>
      <c r="J323" s="6">
        <v>5921</v>
      </c>
      <c r="K323" s="6">
        <v>4500</v>
      </c>
      <c r="L323" s="6">
        <v>81075</v>
      </c>
      <c r="M323" s="6">
        <f>SUM(D323:L323)</f>
        <v>224748</v>
      </c>
      <c r="P323" t="s">
        <v>2022</v>
      </c>
      <c r="Q323" s="74">
        <v>0.1</v>
      </c>
      <c r="U323" s="23">
        <v>0.04</v>
      </c>
    </row>
    <row r="324" spans="3:24" ht="15.75">
      <c r="C324" s="8" t="s">
        <v>1727</v>
      </c>
      <c r="D324" s="121">
        <f>D323</f>
        <v>103419</v>
      </c>
      <c r="E324" s="121">
        <f>D324+E323</f>
        <v>103419</v>
      </c>
      <c r="F324" s="6"/>
      <c r="G324" s="6" t="e">
        <f>#REF!+G323</f>
        <v>#REF!</v>
      </c>
      <c r="H324" s="6" t="e">
        <f>G324+H323</f>
        <v>#REF!</v>
      </c>
      <c r="I324" s="6" t="e">
        <f>H324+I323</f>
        <v>#REF!</v>
      </c>
      <c r="J324" s="6" t="e">
        <f>I324+J323</f>
        <v>#REF!</v>
      </c>
      <c r="K324" s="6" t="e">
        <f>J324+K323</f>
        <v>#REF!</v>
      </c>
      <c r="L324" s="6" t="e">
        <f>K324+L323</f>
        <v>#REF!</v>
      </c>
      <c r="M324" s="6"/>
    </row>
    <row r="325" spans="3:24" ht="15.75">
      <c r="C325" s="8" t="s">
        <v>1477</v>
      </c>
      <c r="D325" s="126" t="e">
        <f>D324/$L$2470</f>
        <v>#DIV/0!</v>
      </c>
      <c r="E325" s="126" t="e">
        <f>E324/$L$2470</f>
        <v>#DIV/0!</v>
      </c>
      <c r="F325" s="5"/>
      <c r="G325" s="5" t="e">
        <f t="shared" ref="G325:L325" si="33">G324/$L$2470</f>
        <v>#REF!</v>
      </c>
      <c r="H325" s="5" t="e">
        <f t="shared" si="33"/>
        <v>#REF!</v>
      </c>
      <c r="I325" s="5" t="e">
        <f t="shared" si="33"/>
        <v>#REF!</v>
      </c>
      <c r="J325" s="5" t="e">
        <f t="shared" si="33"/>
        <v>#REF!</v>
      </c>
      <c r="K325" s="5" t="e">
        <f t="shared" si="33"/>
        <v>#REF!</v>
      </c>
      <c r="L325" s="5" t="e">
        <f t="shared" si="33"/>
        <v>#REF!</v>
      </c>
      <c r="M325" s="6"/>
      <c r="P325" t="s">
        <v>2023</v>
      </c>
      <c r="Q325" s="3"/>
      <c r="R325" s="21" t="s">
        <v>1729</v>
      </c>
      <c r="S325" s="21" t="s">
        <v>1871</v>
      </c>
    </row>
    <row r="326" spans="3:24" ht="15.75">
      <c r="C326" s="8"/>
      <c r="E326" s="121"/>
      <c r="F326" s="6"/>
      <c r="G326" s="6"/>
      <c r="H326" s="6"/>
      <c r="I326" s="6"/>
      <c r="J326" s="6"/>
      <c r="K326" s="6"/>
      <c r="L326" s="6"/>
      <c r="M326" s="6"/>
      <c r="Q326" t="s">
        <v>2026</v>
      </c>
      <c r="R326" s="86" t="s">
        <v>2024</v>
      </c>
      <c r="S326" s="86" t="s">
        <v>2025</v>
      </c>
      <c r="T326">
        <v>1.5</v>
      </c>
    </row>
    <row r="327" spans="3:24" ht="15.75">
      <c r="C327" s="8" t="s">
        <v>1728</v>
      </c>
      <c r="D327" s="139">
        <v>57373</v>
      </c>
      <c r="Q327" t="s">
        <v>2027</v>
      </c>
      <c r="R327" s="23"/>
      <c r="S327" s="87" t="s">
        <v>2028</v>
      </c>
    </row>
    <row r="329" spans="3:24" ht="15.75">
      <c r="C329" s="80" t="s">
        <v>2063</v>
      </c>
    </row>
    <row r="331" spans="3:24">
      <c r="C331" s="21"/>
      <c r="D331" s="115" t="s">
        <v>2029</v>
      </c>
      <c r="E331" s="115" t="s">
        <v>1639</v>
      </c>
      <c r="F331" s="21"/>
      <c r="G331" s="21" t="s">
        <v>605</v>
      </c>
      <c r="H331" s="21" t="s">
        <v>2031</v>
      </c>
      <c r="I331" s="21" t="s">
        <v>21</v>
      </c>
      <c r="K331" s="21" t="str">
        <f>D331</f>
        <v>Total Play</v>
      </c>
      <c r="L331" s="21" t="str">
        <f>E331</f>
        <v>Izzy</v>
      </c>
      <c r="M331" s="21" t="e">
        <f>#REF!</f>
        <v>#REF!</v>
      </c>
      <c r="N331" s="21" t="str">
        <f>G331</f>
        <v>Telmex</v>
      </c>
      <c r="O331" s="21" t="str">
        <f>H331</f>
        <v xml:space="preserve">Other </v>
      </c>
      <c r="P331" s="21" t="str">
        <f>I331</f>
        <v>Total</v>
      </c>
      <c r="S331" s="21" t="s">
        <v>2029</v>
      </c>
      <c r="T331" s="21" t="s">
        <v>1639</v>
      </c>
      <c r="U331" s="21" t="s">
        <v>2030</v>
      </c>
      <c r="V331" s="21" t="s">
        <v>605</v>
      </c>
      <c r="W331" s="21" t="s">
        <v>2031</v>
      </c>
      <c r="X331" s="21" t="s">
        <v>21</v>
      </c>
    </row>
    <row r="332" spans="3:24">
      <c r="C332" t="s">
        <v>2005</v>
      </c>
      <c r="D332" s="116">
        <v>29260</v>
      </c>
      <c r="E332" s="116">
        <v>66498</v>
      </c>
      <c r="G332">
        <v>116007</v>
      </c>
      <c r="I332">
        <f>SUM(D332:H332)</f>
        <v>211765</v>
      </c>
      <c r="K332" s="23">
        <f t="shared" ref="K332:K363" si="34">D332/$I332</f>
        <v>0.13817203031662456</v>
      </c>
      <c r="L332" s="23">
        <f t="shared" ref="L332:L363" si="35">E332/$I332</f>
        <v>0.314017897197365</v>
      </c>
      <c r="M332" s="23" t="e">
        <f>#REF!/$I332</f>
        <v>#REF!</v>
      </c>
      <c r="N332" s="23">
        <f t="shared" ref="N332:N363" si="36">G332/$I332</f>
        <v>0.54781007248601044</v>
      </c>
      <c r="O332" s="23">
        <f t="shared" ref="O332:O363" si="37">H332/$I332</f>
        <v>0</v>
      </c>
      <c r="P332" s="23">
        <f t="shared" ref="P332:P363" si="38">I332/$I332</f>
        <v>1</v>
      </c>
      <c r="R332" t="s">
        <v>2055</v>
      </c>
      <c r="S332" s="23">
        <v>3.5230352303523035E-3</v>
      </c>
      <c r="T332" s="23">
        <v>0</v>
      </c>
      <c r="U332" s="23">
        <v>0.59097366137060059</v>
      </c>
      <c r="V332" s="23">
        <v>0.40550330339904705</v>
      </c>
      <c r="W332" s="23">
        <v>0</v>
      </c>
      <c r="X332" s="23">
        <v>1</v>
      </c>
    </row>
    <row r="333" spans="3:24">
      <c r="C333" t="s">
        <v>2032</v>
      </c>
      <c r="D333" s="116">
        <v>67697</v>
      </c>
      <c r="E333" s="116">
        <v>382618</v>
      </c>
      <c r="G333">
        <v>415126</v>
      </c>
      <c r="I333">
        <v>868927</v>
      </c>
      <c r="K333" s="23">
        <f t="shared" si="34"/>
        <v>7.7908731113200527E-2</v>
      </c>
      <c r="L333" s="23">
        <f t="shared" si="35"/>
        <v>0.4403338830534671</v>
      </c>
      <c r="M333" s="23" t="e">
        <f>#REF!/$I333</f>
        <v>#REF!</v>
      </c>
      <c r="N333" s="23">
        <f t="shared" si="36"/>
        <v>0.47774554134006653</v>
      </c>
      <c r="O333" s="23">
        <f t="shared" si="37"/>
        <v>0</v>
      </c>
      <c r="P333" s="23">
        <f t="shared" si="38"/>
        <v>1</v>
      </c>
      <c r="R333" t="s">
        <v>2054</v>
      </c>
      <c r="S333" s="23">
        <v>7.724364764438021E-4</v>
      </c>
      <c r="T333" s="23">
        <v>0</v>
      </c>
      <c r="U333" s="23">
        <v>0.59072287180253868</v>
      </c>
      <c r="V333" s="23">
        <v>0.40850469172101755</v>
      </c>
      <c r="W333" s="23">
        <v>0</v>
      </c>
      <c r="X333" s="23">
        <v>1</v>
      </c>
    </row>
    <row r="334" spans="3:24">
      <c r="C334" t="s">
        <v>2033</v>
      </c>
      <c r="D334" s="116">
        <v>14</v>
      </c>
      <c r="G334">
        <v>120830</v>
      </c>
      <c r="I334">
        <f t="shared" ref="I334:I363" si="39">SUM(D334:H334)</f>
        <v>120844</v>
      </c>
      <c r="K334" s="23">
        <f t="shared" si="34"/>
        <v>1.158518420442885E-4</v>
      </c>
      <c r="L334" s="23">
        <f t="shared" si="35"/>
        <v>0</v>
      </c>
      <c r="M334" s="23" t="e">
        <f>#REF!/$I334</f>
        <v>#REF!</v>
      </c>
      <c r="N334" s="23">
        <f t="shared" si="36"/>
        <v>0.99988414815795568</v>
      </c>
      <c r="O334" s="23">
        <f t="shared" si="37"/>
        <v>0</v>
      </c>
      <c r="P334" s="23">
        <f t="shared" si="38"/>
        <v>1</v>
      </c>
      <c r="R334" t="s">
        <v>2040</v>
      </c>
      <c r="S334" s="23">
        <v>4.7637433997081583E-4</v>
      </c>
      <c r="T334" s="23">
        <v>0</v>
      </c>
      <c r="U334" s="23">
        <v>0.49932053975719953</v>
      </c>
      <c r="V334" s="23">
        <v>0.50020308590282969</v>
      </c>
      <c r="W334" s="23">
        <v>0</v>
      </c>
      <c r="X334" s="23">
        <v>1</v>
      </c>
    </row>
    <row r="335" spans="3:24">
      <c r="C335" t="s">
        <v>2034</v>
      </c>
      <c r="D335" s="116">
        <v>65</v>
      </c>
      <c r="E335" s="116">
        <v>44691</v>
      </c>
      <c r="G335">
        <v>52942</v>
      </c>
      <c r="I335">
        <f t="shared" si="39"/>
        <v>97698</v>
      </c>
      <c r="K335" s="23">
        <f t="shared" si="34"/>
        <v>6.6531556428995481E-4</v>
      </c>
      <c r="L335" s="23">
        <f t="shared" si="35"/>
        <v>0.45744027513357488</v>
      </c>
      <c r="M335" s="23" t="e">
        <f>#REF!/$I335</f>
        <v>#REF!</v>
      </c>
      <c r="N335" s="23">
        <f t="shared" si="36"/>
        <v>0.54189440930213517</v>
      </c>
      <c r="O335" s="23">
        <f t="shared" si="37"/>
        <v>0</v>
      </c>
      <c r="P335" s="23">
        <f t="shared" si="38"/>
        <v>1</v>
      </c>
      <c r="R335" t="s">
        <v>2045</v>
      </c>
      <c r="S335" s="23">
        <v>2.5328328497875495E-2</v>
      </c>
      <c r="T335" s="23">
        <v>4.6205486013597566E-3</v>
      </c>
      <c r="U335" s="23">
        <v>0.49860764311953509</v>
      </c>
      <c r="V335" s="23">
        <v>0.47144347978122969</v>
      </c>
      <c r="W335" s="23">
        <v>0</v>
      </c>
      <c r="X335" s="23">
        <v>1</v>
      </c>
    </row>
    <row r="336" spans="3:24">
      <c r="C336" t="s">
        <v>2035</v>
      </c>
      <c r="D336" s="116">
        <v>2352</v>
      </c>
      <c r="E336" s="116">
        <v>11425</v>
      </c>
      <c r="G336">
        <v>158888</v>
      </c>
      <c r="I336">
        <f t="shared" si="39"/>
        <v>172665</v>
      </c>
      <c r="K336" s="23">
        <f t="shared" si="34"/>
        <v>1.3621753105724959E-2</v>
      </c>
      <c r="L336" s="23">
        <f t="shared" si="35"/>
        <v>6.6168592360930131E-2</v>
      </c>
      <c r="M336" s="23" t="e">
        <f>#REF!/$I336</f>
        <v>#REF!</v>
      </c>
      <c r="N336" s="23">
        <f t="shared" si="36"/>
        <v>0.92020965453334491</v>
      </c>
      <c r="O336" s="23">
        <f t="shared" si="37"/>
        <v>0</v>
      </c>
      <c r="P336" s="23">
        <f t="shared" si="38"/>
        <v>1</v>
      </c>
      <c r="R336" t="s">
        <v>2041</v>
      </c>
      <c r="S336" s="23">
        <v>0</v>
      </c>
      <c r="T336" s="23">
        <v>7.5372746478397909E-2</v>
      </c>
      <c r="U336" s="23">
        <v>0.39168989652868241</v>
      </c>
      <c r="V336" s="23">
        <v>0.53293735699291966</v>
      </c>
      <c r="W336" s="23">
        <v>0</v>
      </c>
      <c r="X336" s="23">
        <v>1</v>
      </c>
    </row>
    <row r="337" spans="3:24">
      <c r="C337" t="s">
        <v>2036</v>
      </c>
      <c r="D337" s="116">
        <v>85623</v>
      </c>
      <c r="E337" s="116">
        <v>246358</v>
      </c>
      <c r="G337">
        <v>306656</v>
      </c>
      <c r="I337">
        <f t="shared" si="39"/>
        <v>638637</v>
      </c>
      <c r="K337" s="23">
        <f t="shared" si="34"/>
        <v>0.13407146782914237</v>
      </c>
      <c r="L337" s="23">
        <f t="shared" si="35"/>
        <v>0.38575591454926667</v>
      </c>
      <c r="M337" s="23" t="e">
        <f>#REF!/$I337</f>
        <v>#REF!</v>
      </c>
      <c r="N337" s="23">
        <f t="shared" si="36"/>
        <v>0.48017261762159097</v>
      </c>
      <c r="O337" s="23">
        <f t="shared" si="37"/>
        <v>0</v>
      </c>
      <c r="P337" s="23">
        <f t="shared" si="38"/>
        <v>1</v>
      </c>
      <c r="R337" t="s">
        <v>2051</v>
      </c>
      <c r="S337" s="23">
        <v>3.133751523008993E-2</v>
      </c>
      <c r="T337" s="23">
        <v>0.22938313255982626</v>
      </c>
      <c r="U337" s="23">
        <v>0.39115802104372088</v>
      </c>
      <c r="V337" s="23">
        <v>0.3481213311663629</v>
      </c>
      <c r="W337" s="23">
        <v>0</v>
      </c>
      <c r="X337" s="23">
        <v>1</v>
      </c>
    </row>
    <row r="338" spans="3:24">
      <c r="C338" t="s">
        <v>2037</v>
      </c>
      <c r="D338" s="116">
        <v>330408</v>
      </c>
      <c r="E338" s="116">
        <v>1040795</v>
      </c>
      <c r="G338">
        <v>1272293</v>
      </c>
      <c r="I338">
        <f t="shared" si="39"/>
        <v>2643496</v>
      </c>
      <c r="K338" s="23">
        <f t="shared" si="34"/>
        <v>0.12498902967887979</v>
      </c>
      <c r="L338" s="23">
        <f t="shared" si="35"/>
        <v>0.39371915070043612</v>
      </c>
      <c r="M338" s="23" t="e">
        <f>#REF!/$I338</f>
        <v>#REF!</v>
      </c>
      <c r="N338" s="23">
        <f t="shared" si="36"/>
        <v>0.48129181962068412</v>
      </c>
      <c r="O338" s="23">
        <f t="shared" si="37"/>
        <v>0</v>
      </c>
      <c r="P338" s="23">
        <f t="shared" si="38"/>
        <v>1</v>
      </c>
      <c r="R338" t="s">
        <v>2047</v>
      </c>
      <c r="S338" s="23">
        <v>1.2119925828288018E-3</v>
      </c>
      <c r="T338" s="23">
        <v>4.0442572775407165E-2</v>
      </c>
      <c r="U338" s="23">
        <v>0.38163244788990414</v>
      </c>
      <c r="V338" s="23">
        <v>0.57671298675185989</v>
      </c>
      <c r="W338" s="23">
        <v>0</v>
      </c>
      <c r="X338" s="23">
        <v>1</v>
      </c>
    </row>
    <row r="339" spans="3:24">
      <c r="C339" t="s">
        <v>2038</v>
      </c>
      <c r="D339" s="116">
        <v>3324</v>
      </c>
      <c r="E339" s="116">
        <v>120269</v>
      </c>
      <c r="G339">
        <v>299065</v>
      </c>
      <c r="I339">
        <f t="shared" si="39"/>
        <v>422658</v>
      </c>
      <c r="K339" s="23">
        <f t="shared" si="34"/>
        <v>7.8645145720653582E-3</v>
      </c>
      <c r="L339" s="23">
        <f t="shared" si="35"/>
        <v>0.28455394195780037</v>
      </c>
      <c r="M339" s="23" t="e">
        <f>#REF!/$I339</f>
        <v>#REF!</v>
      </c>
      <c r="N339" s="23">
        <f t="shared" si="36"/>
        <v>0.70758154347013424</v>
      </c>
      <c r="O339" s="23">
        <f t="shared" si="37"/>
        <v>0</v>
      </c>
      <c r="P339" s="23">
        <f t="shared" si="38"/>
        <v>1</v>
      </c>
      <c r="R339" t="s">
        <v>2035</v>
      </c>
      <c r="S339" s="23">
        <v>8.7585369668352342E-3</v>
      </c>
      <c r="T339" s="23">
        <v>4.2545189135243432E-2</v>
      </c>
      <c r="U339" s="23">
        <v>0.35701837356351801</v>
      </c>
      <c r="V339" s="23">
        <v>0.59167790033440337</v>
      </c>
      <c r="W339" s="23">
        <v>0</v>
      </c>
      <c r="X339" s="23">
        <v>1</v>
      </c>
    </row>
    <row r="340" spans="3:24">
      <c r="C340" t="s">
        <v>2039</v>
      </c>
      <c r="D340" s="116">
        <v>20</v>
      </c>
      <c r="E340" s="116">
        <v>13037</v>
      </c>
      <c r="G340">
        <v>79866</v>
      </c>
      <c r="I340">
        <f t="shared" si="39"/>
        <v>92923</v>
      </c>
      <c r="K340" s="23">
        <f t="shared" si="34"/>
        <v>2.152319662516277E-4</v>
      </c>
      <c r="L340" s="23">
        <f t="shared" si="35"/>
        <v>0.14029895720112351</v>
      </c>
      <c r="M340" s="23" t="e">
        <f>#REF!/$I340</f>
        <v>#REF!</v>
      </c>
      <c r="N340" s="23">
        <f t="shared" si="36"/>
        <v>0.85948581083262487</v>
      </c>
      <c r="O340" s="23">
        <f t="shared" si="37"/>
        <v>0</v>
      </c>
      <c r="P340" s="23">
        <f t="shared" si="38"/>
        <v>1</v>
      </c>
      <c r="R340" t="s">
        <v>2039</v>
      </c>
      <c r="S340" s="23">
        <v>1.3981809665625022E-4</v>
      </c>
      <c r="T340" s="23">
        <v>9.1140426305376707E-2</v>
      </c>
      <c r="U340" s="23">
        <v>0.35038415022056307</v>
      </c>
      <c r="V340" s="23">
        <v>0.55833560537740401</v>
      </c>
      <c r="W340" s="23">
        <v>0</v>
      </c>
      <c r="X340" s="23">
        <v>1</v>
      </c>
    </row>
    <row r="341" spans="3:24">
      <c r="C341" t="s">
        <v>2040</v>
      </c>
      <c r="D341" s="116">
        <v>95</v>
      </c>
      <c r="G341">
        <v>99752</v>
      </c>
      <c r="I341">
        <f t="shared" si="39"/>
        <v>99847</v>
      </c>
      <c r="K341" s="23">
        <f t="shared" si="34"/>
        <v>9.51455727262712E-4</v>
      </c>
      <c r="L341" s="23">
        <f t="shared" si="35"/>
        <v>0</v>
      </c>
      <c r="M341" s="23" t="e">
        <f>#REF!/$I341</f>
        <v>#REF!</v>
      </c>
      <c r="N341" s="23">
        <f t="shared" si="36"/>
        <v>0.99904854427273726</v>
      </c>
      <c r="O341" s="23">
        <f t="shared" si="37"/>
        <v>0</v>
      </c>
      <c r="P341" s="23">
        <f t="shared" si="38"/>
        <v>1</v>
      </c>
      <c r="R341" t="s">
        <v>2050</v>
      </c>
      <c r="S341" s="23">
        <v>9.9433426619131696E-2</v>
      </c>
      <c r="T341" s="23">
        <v>5.5971479021453942E-3</v>
      </c>
      <c r="U341" s="23">
        <v>0.34967784796252788</v>
      </c>
      <c r="V341" s="23">
        <v>0.54529157751619506</v>
      </c>
      <c r="W341" s="23">
        <v>0</v>
      </c>
      <c r="X341" s="23">
        <v>1</v>
      </c>
    </row>
    <row r="342" spans="3:24">
      <c r="C342" t="s">
        <v>2041</v>
      </c>
      <c r="E342" s="116">
        <v>55835</v>
      </c>
      <c r="G342">
        <v>394792</v>
      </c>
      <c r="I342">
        <f t="shared" si="39"/>
        <v>450627</v>
      </c>
      <c r="K342" s="23">
        <f t="shared" si="34"/>
        <v>0</v>
      </c>
      <c r="L342" s="23">
        <f t="shared" si="35"/>
        <v>0.12390513662075286</v>
      </c>
      <c r="M342" s="23" t="e">
        <f>#REF!/$I342</f>
        <v>#REF!</v>
      </c>
      <c r="N342" s="23">
        <f t="shared" si="36"/>
        <v>0.87609486337924714</v>
      </c>
      <c r="O342" s="23">
        <f t="shared" si="37"/>
        <v>0</v>
      </c>
      <c r="P342" s="23">
        <f t="shared" si="38"/>
        <v>1</v>
      </c>
      <c r="R342" t="s">
        <v>2046</v>
      </c>
      <c r="S342" s="23">
        <v>8.0362895597601527E-2</v>
      </c>
      <c r="T342" s="23">
        <v>7.0363800369037083E-2</v>
      </c>
      <c r="U342" s="23">
        <v>0.33624596622734987</v>
      </c>
      <c r="V342" s="23">
        <v>0.51302733780601151</v>
      </c>
      <c r="W342" s="23">
        <v>0</v>
      </c>
      <c r="X342" s="23">
        <v>1</v>
      </c>
    </row>
    <row r="343" spans="3:24">
      <c r="C343" t="s">
        <v>2042</v>
      </c>
      <c r="D343" s="116">
        <v>53</v>
      </c>
      <c r="E343" s="116">
        <v>85046</v>
      </c>
      <c r="G343">
        <v>214382</v>
      </c>
      <c r="I343">
        <f t="shared" si="39"/>
        <v>299481</v>
      </c>
      <c r="K343" s="23">
        <f t="shared" si="34"/>
        <v>1.769728296619819E-4</v>
      </c>
      <c r="L343" s="23">
        <f t="shared" si="35"/>
        <v>0.28397794851760211</v>
      </c>
      <c r="M343" s="23" t="e">
        <f>#REF!/$I343</f>
        <v>#REF!</v>
      </c>
      <c r="N343" s="23">
        <f t="shared" si="36"/>
        <v>0.71584507865273594</v>
      </c>
      <c r="O343" s="23">
        <f t="shared" si="37"/>
        <v>0</v>
      </c>
      <c r="P343" s="23">
        <f t="shared" si="38"/>
        <v>1</v>
      </c>
      <c r="R343" t="s">
        <v>2061</v>
      </c>
      <c r="S343" s="23">
        <v>1.5062945732841277E-4</v>
      </c>
      <c r="T343" s="23">
        <v>0.13922796609678523</v>
      </c>
      <c r="U343" s="23">
        <v>0.30490298883603983</v>
      </c>
      <c r="V343" s="23">
        <v>0.55571841560984658</v>
      </c>
      <c r="W343" s="23">
        <v>0</v>
      </c>
      <c r="X343" s="23">
        <v>1</v>
      </c>
    </row>
    <row r="344" spans="3:24">
      <c r="C344" t="s">
        <v>2043</v>
      </c>
      <c r="D344" s="116">
        <v>33519</v>
      </c>
      <c r="E344" s="116">
        <v>64517</v>
      </c>
      <c r="G344">
        <v>166238</v>
      </c>
      <c r="I344">
        <f t="shared" si="39"/>
        <v>264274</v>
      </c>
      <c r="K344" s="23">
        <f t="shared" si="34"/>
        <v>0.12683427049198936</v>
      </c>
      <c r="L344" s="23">
        <f t="shared" si="35"/>
        <v>0.24412919924018253</v>
      </c>
      <c r="M344" s="23" t="e">
        <f>#REF!/$I344</f>
        <v>#REF!</v>
      </c>
      <c r="N344" s="23">
        <f t="shared" si="36"/>
        <v>0.62903653026782813</v>
      </c>
      <c r="O344" s="23">
        <f t="shared" si="37"/>
        <v>0</v>
      </c>
      <c r="P344" s="23">
        <f t="shared" si="38"/>
        <v>1</v>
      </c>
      <c r="R344" t="s">
        <v>2033</v>
      </c>
      <c r="S344" s="23">
        <v>8.4819183675942256E-5</v>
      </c>
      <c r="T344" s="23">
        <v>0</v>
      </c>
      <c r="U344" s="23">
        <v>0.26786504056174532</v>
      </c>
      <c r="V344" s="23">
        <v>0.73205014025457871</v>
      </c>
      <c r="W344" s="23">
        <v>0</v>
      </c>
      <c r="X344" s="23">
        <v>1</v>
      </c>
    </row>
    <row r="345" spans="3:24">
      <c r="C345" t="s">
        <v>2044</v>
      </c>
      <c r="D345" s="116">
        <v>204455</v>
      </c>
      <c r="E345" s="116">
        <v>187878</v>
      </c>
      <c r="G345">
        <v>768102</v>
      </c>
      <c r="I345">
        <f t="shared" si="39"/>
        <v>1160435</v>
      </c>
      <c r="K345" s="23">
        <f t="shared" si="34"/>
        <v>0.17618823975491948</v>
      </c>
      <c r="L345" s="23">
        <f t="shared" si="35"/>
        <v>0.16190307944865504</v>
      </c>
      <c r="M345" s="23" t="e">
        <f>#REF!/$I345</f>
        <v>#REF!</v>
      </c>
      <c r="N345" s="23">
        <f t="shared" si="36"/>
        <v>0.66190868079642551</v>
      </c>
      <c r="O345" s="23">
        <f t="shared" si="37"/>
        <v>0</v>
      </c>
      <c r="P345" s="23">
        <f t="shared" si="38"/>
        <v>1</v>
      </c>
      <c r="R345" t="s">
        <v>2059</v>
      </c>
      <c r="S345" s="23">
        <v>6.5886120965192654E-2</v>
      </c>
      <c r="T345" s="23">
        <v>0.14750755154367601</v>
      </c>
      <c r="U345" s="23">
        <v>0.24404547609848617</v>
      </c>
      <c r="V345" s="23">
        <v>0.54256085139264509</v>
      </c>
      <c r="W345" s="23">
        <v>0</v>
      </c>
      <c r="X345" s="23">
        <v>1</v>
      </c>
    </row>
    <row r="346" spans="3:24">
      <c r="C346" t="s">
        <v>2062</v>
      </c>
      <c r="D346" s="116">
        <v>353497</v>
      </c>
      <c r="E346" s="116">
        <v>616028</v>
      </c>
      <c r="G346">
        <v>1381837</v>
      </c>
      <c r="I346">
        <f t="shared" si="39"/>
        <v>2351362</v>
      </c>
      <c r="K346" s="23">
        <f t="shared" si="34"/>
        <v>0.15033712376061192</v>
      </c>
      <c r="L346" s="23">
        <f t="shared" si="35"/>
        <v>0.26198773306704792</v>
      </c>
      <c r="M346" s="23" t="e">
        <f>#REF!/$I346</f>
        <v>#REF!</v>
      </c>
      <c r="N346" s="23">
        <f t="shared" si="36"/>
        <v>0.58767514317234015</v>
      </c>
      <c r="O346" s="23">
        <f t="shared" si="37"/>
        <v>0</v>
      </c>
      <c r="P346" s="23">
        <f t="shared" si="38"/>
        <v>1</v>
      </c>
      <c r="R346" t="s">
        <v>2044</v>
      </c>
      <c r="S346" s="23">
        <v>0.13377568633198592</v>
      </c>
      <c r="T346" s="23">
        <v>0.12292929200401481</v>
      </c>
      <c r="U346" s="23">
        <v>0.24072295337038438</v>
      </c>
      <c r="V346" s="23">
        <v>0.50257206829361489</v>
      </c>
      <c r="W346" s="23">
        <v>0</v>
      </c>
      <c r="X346" s="23">
        <v>1</v>
      </c>
    </row>
    <row r="347" spans="3:24">
      <c r="C347" t="s">
        <v>2045</v>
      </c>
      <c r="D347" s="116">
        <v>13907</v>
      </c>
      <c r="E347" s="116">
        <v>2537</v>
      </c>
      <c r="G347">
        <v>258855</v>
      </c>
      <c r="I347">
        <f t="shared" si="39"/>
        <v>275299</v>
      </c>
      <c r="K347" s="23">
        <f t="shared" si="34"/>
        <v>5.0515984438737518E-2</v>
      </c>
      <c r="L347" s="23">
        <f t="shared" si="35"/>
        <v>9.2154348544673248E-3</v>
      </c>
      <c r="M347" s="23" t="e">
        <f>#REF!/$I347</f>
        <v>#REF!</v>
      </c>
      <c r="N347" s="23">
        <f t="shared" si="36"/>
        <v>0.9402685807067952</v>
      </c>
      <c r="O347" s="23">
        <f t="shared" si="37"/>
        <v>0</v>
      </c>
      <c r="P347" s="23">
        <f t="shared" si="38"/>
        <v>1</v>
      </c>
      <c r="R347" t="s">
        <v>2038</v>
      </c>
      <c r="S347" s="23">
        <v>6.4153288531538172E-3</v>
      </c>
      <c r="T347" s="23">
        <v>0.23211949032489665</v>
      </c>
      <c r="U347" s="23">
        <v>0.18426893429112931</v>
      </c>
      <c r="V347" s="23">
        <v>0.57719624653082025</v>
      </c>
      <c r="W347" s="23">
        <v>0</v>
      </c>
      <c r="X347" s="23">
        <v>1</v>
      </c>
    </row>
    <row r="348" spans="3:24">
      <c r="C348" t="s">
        <v>2046</v>
      </c>
      <c r="D348" s="116">
        <v>29311</v>
      </c>
      <c r="E348" s="116">
        <v>25664</v>
      </c>
      <c r="G348">
        <v>187118</v>
      </c>
      <c r="I348">
        <f t="shared" si="39"/>
        <v>242093</v>
      </c>
      <c r="K348" s="23">
        <f t="shared" si="34"/>
        <v>0.12107330653922253</v>
      </c>
      <c r="L348" s="23">
        <f t="shared" si="35"/>
        <v>0.10600884783946665</v>
      </c>
      <c r="M348" s="23" t="e">
        <f>#REF!/$I348</f>
        <v>#REF!</v>
      </c>
      <c r="N348" s="23">
        <f t="shared" si="36"/>
        <v>0.77291784562131083</v>
      </c>
      <c r="O348" s="23">
        <f t="shared" si="37"/>
        <v>0</v>
      </c>
      <c r="P348" s="23">
        <f t="shared" si="38"/>
        <v>1</v>
      </c>
      <c r="R348" t="s">
        <v>2049</v>
      </c>
      <c r="S348" s="23">
        <v>3.419985353540986E-4</v>
      </c>
      <c r="T348" s="23">
        <v>0.23875958618177223</v>
      </c>
      <c r="U348" s="23">
        <v>0.15413725293393851</v>
      </c>
      <c r="V348" s="23">
        <v>0.60676116234893518</v>
      </c>
      <c r="W348" s="23">
        <v>0</v>
      </c>
      <c r="X348" s="23">
        <v>1</v>
      </c>
    </row>
    <row r="349" spans="3:24">
      <c r="C349" t="s">
        <v>2047</v>
      </c>
      <c r="D349" s="116">
        <v>217</v>
      </c>
      <c r="E349" s="116">
        <v>7241</v>
      </c>
      <c r="G349">
        <v>103257</v>
      </c>
      <c r="I349">
        <f t="shared" si="39"/>
        <v>110715</v>
      </c>
      <c r="K349" s="23">
        <f t="shared" si="34"/>
        <v>1.9599873549202909E-3</v>
      </c>
      <c r="L349" s="23">
        <f t="shared" si="35"/>
        <v>6.5402158695750348E-2</v>
      </c>
      <c r="M349" s="23" t="e">
        <f>#REF!/$I349</f>
        <v>#REF!</v>
      </c>
      <c r="N349" s="23">
        <f t="shared" si="36"/>
        <v>0.93263785394932941</v>
      </c>
      <c r="O349" s="23">
        <f t="shared" si="37"/>
        <v>0</v>
      </c>
      <c r="P349" s="23">
        <f t="shared" si="38"/>
        <v>1</v>
      </c>
      <c r="R349" t="s">
        <v>2062</v>
      </c>
      <c r="S349" s="23">
        <v>0.13540138520431419</v>
      </c>
      <c r="T349" s="23">
        <v>0.23595969562582783</v>
      </c>
      <c r="U349" s="23">
        <v>9.9348305878729892E-2</v>
      </c>
      <c r="V349" s="23">
        <v>0.52929061329112814</v>
      </c>
      <c r="W349" s="23">
        <v>0</v>
      </c>
      <c r="X349" s="23">
        <v>1</v>
      </c>
    </row>
    <row r="350" spans="3:24">
      <c r="C350" t="s">
        <v>2048</v>
      </c>
      <c r="D350" s="116">
        <v>97936</v>
      </c>
      <c r="E350" s="116">
        <v>649428</v>
      </c>
      <c r="G350">
        <v>493173</v>
      </c>
      <c r="I350">
        <f t="shared" si="39"/>
        <v>1240537</v>
      </c>
      <c r="K350" s="23">
        <f t="shared" si="34"/>
        <v>7.8946456252413269E-2</v>
      </c>
      <c r="L350" s="23">
        <f t="shared" si="35"/>
        <v>0.52350554638837854</v>
      </c>
      <c r="M350" s="23" t="e">
        <f>#REF!/$I350</f>
        <v>#REF!</v>
      </c>
      <c r="N350" s="23">
        <f t="shared" si="36"/>
        <v>0.39754799735920815</v>
      </c>
      <c r="O350" s="23">
        <f t="shared" si="37"/>
        <v>0</v>
      </c>
      <c r="P350" s="23">
        <f t="shared" si="38"/>
        <v>1</v>
      </c>
      <c r="R350" t="s">
        <v>2042</v>
      </c>
      <c r="S350" s="23">
        <v>1.6731276754258583E-4</v>
      </c>
      <c r="T350" s="23">
        <v>0.26847701185710859</v>
      </c>
      <c r="U350" s="23">
        <v>5.4585001199600976E-2</v>
      </c>
      <c r="V350" s="23">
        <v>0.67677067417574788</v>
      </c>
      <c r="W350" s="23">
        <v>0</v>
      </c>
      <c r="X350" s="23">
        <v>1</v>
      </c>
    </row>
    <row r="351" spans="3:24">
      <c r="C351" t="s">
        <v>2049</v>
      </c>
      <c r="D351" s="116">
        <v>92</v>
      </c>
      <c r="E351" s="116">
        <v>64228</v>
      </c>
      <c r="G351">
        <v>163223</v>
      </c>
      <c r="I351">
        <f t="shared" si="39"/>
        <v>227543</v>
      </c>
      <c r="K351" s="23">
        <f t="shared" si="34"/>
        <v>4.0431918362683096E-4</v>
      </c>
      <c r="L351" s="23">
        <f t="shared" si="35"/>
        <v>0.28226752745634892</v>
      </c>
      <c r="M351" s="23" t="e">
        <f>#REF!/$I351</f>
        <v>#REF!</v>
      </c>
      <c r="N351" s="23">
        <f t="shared" si="36"/>
        <v>0.71732815336002431</v>
      </c>
      <c r="O351" s="23">
        <f t="shared" si="37"/>
        <v>0</v>
      </c>
      <c r="P351" s="23">
        <f t="shared" si="38"/>
        <v>1</v>
      </c>
      <c r="R351" t="s">
        <v>2043</v>
      </c>
      <c r="S351" s="23">
        <v>0.1235204374935511</v>
      </c>
      <c r="T351" s="23">
        <v>0.23775077018322255</v>
      </c>
      <c r="U351" s="23">
        <v>2.6127268171164928E-2</v>
      </c>
      <c r="V351" s="23">
        <v>0.61260152415206148</v>
      </c>
      <c r="W351" s="23">
        <v>0</v>
      </c>
      <c r="X351" s="23">
        <v>1</v>
      </c>
    </row>
    <row r="352" spans="3:24">
      <c r="C352" t="s">
        <v>2050</v>
      </c>
      <c r="D352" s="116">
        <v>73938</v>
      </c>
      <c r="E352" s="116">
        <v>4162</v>
      </c>
      <c r="G352">
        <v>405475</v>
      </c>
      <c r="I352">
        <f t="shared" si="39"/>
        <v>483575</v>
      </c>
      <c r="K352" s="23">
        <f t="shared" si="34"/>
        <v>0.15289872305226698</v>
      </c>
      <c r="L352" s="23">
        <f t="shared" si="35"/>
        <v>8.6067311172000199E-3</v>
      </c>
      <c r="M352" s="23" t="e">
        <f>#REF!/$I352</f>
        <v>#REF!</v>
      </c>
      <c r="N352" s="23">
        <f t="shared" si="36"/>
        <v>0.83849454583053296</v>
      </c>
      <c r="O352" s="23">
        <f t="shared" si="37"/>
        <v>0</v>
      </c>
      <c r="P352" s="23">
        <f t="shared" si="38"/>
        <v>1</v>
      </c>
      <c r="R352" t="s">
        <v>2034</v>
      </c>
      <c r="S352" s="23">
        <v>6.5195586760280846E-4</v>
      </c>
      <c r="T352" s="23">
        <v>0.44825476429287864</v>
      </c>
      <c r="U352" s="23">
        <v>2.0080240722166499E-2</v>
      </c>
      <c r="V352" s="23">
        <v>0.53101303911735209</v>
      </c>
      <c r="W352" s="23">
        <v>0</v>
      </c>
      <c r="X352" s="23">
        <v>1</v>
      </c>
    </row>
    <row r="353" spans="3:24">
      <c r="C353" t="s">
        <v>2051</v>
      </c>
      <c r="D353" s="116">
        <v>15252</v>
      </c>
      <c r="E353" s="116">
        <v>111641</v>
      </c>
      <c r="G353">
        <v>169431</v>
      </c>
      <c r="I353">
        <f t="shared" si="39"/>
        <v>296324</v>
      </c>
      <c r="K353" s="23">
        <f t="shared" si="34"/>
        <v>5.1470687490719619E-2</v>
      </c>
      <c r="L353" s="23">
        <f t="shared" si="35"/>
        <v>0.37675314858060771</v>
      </c>
      <c r="M353" s="23" t="e">
        <f>#REF!/$I353</f>
        <v>#REF!</v>
      </c>
      <c r="N353" s="23">
        <f t="shared" si="36"/>
        <v>0.5717761639286727</v>
      </c>
      <c r="O353" s="23">
        <f t="shared" si="37"/>
        <v>0</v>
      </c>
      <c r="P353" s="23">
        <f t="shared" si="38"/>
        <v>1</v>
      </c>
      <c r="R353" t="s">
        <v>2058</v>
      </c>
      <c r="S353" s="23">
        <v>1.5689790429227837E-4</v>
      </c>
      <c r="T353" s="23">
        <v>0.26700287646157866</v>
      </c>
      <c r="U353" s="23">
        <v>1.6093242183122268E-2</v>
      </c>
      <c r="V353" s="23">
        <v>0.71674698345100674</v>
      </c>
      <c r="W353" s="23">
        <v>0</v>
      </c>
      <c r="X353" s="23">
        <v>1</v>
      </c>
    </row>
    <row r="354" spans="3:24">
      <c r="C354" t="s">
        <v>2052</v>
      </c>
      <c r="D354" s="116">
        <v>22899</v>
      </c>
      <c r="E354" s="116">
        <v>141337</v>
      </c>
      <c r="G354">
        <v>148208</v>
      </c>
      <c r="I354">
        <f t="shared" si="39"/>
        <v>312444</v>
      </c>
      <c r="K354" s="23">
        <f t="shared" si="34"/>
        <v>7.3289933556093256E-2</v>
      </c>
      <c r="L354" s="23">
        <f t="shared" si="35"/>
        <v>0.45235946281573658</v>
      </c>
      <c r="M354" s="23" t="e">
        <f>#REF!/$I354</f>
        <v>#REF!</v>
      </c>
      <c r="N354" s="23">
        <f t="shared" si="36"/>
        <v>0.47435060362817016</v>
      </c>
      <c r="O354" s="23">
        <f t="shared" si="37"/>
        <v>0</v>
      </c>
      <c r="P354" s="23">
        <f t="shared" si="38"/>
        <v>1</v>
      </c>
      <c r="R354" t="s">
        <v>2036</v>
      </c>
      <c r="S354" s="23">
        <v>0.13240335682243076</v>
      </c>
      <c r="T354" s="23">
        <v>0.38095635728788291</v>
      </c>
      <c r="U354" s="23">
        <v>1.244195378570335E-2</v>
      </c>
      <c r="V354" s="23">
        <v>0.47419833210398293</v>
      </c>
      <c r="W354" s="23">
        <v>0</v>
      </c>
      <c r="X354" s="23">
        <v>1</v>
      </c>
    </row>
    <row r="355" spans="3:24">
      <c r="C355" t="s">
        <v>2053</v>
      </c>
      <c r="D355" s="116">
        <v>63385</v>
      </c>
      <c r="E355" s="116">
        <v>81117</v>
      </c>
      <c r="G355">
        <v>180693</v>
      </c>
      <c r="I355">
        <f t="shared" si="39"/>
        <v>325195</v>
      </c>
      <c r="K355" s="23">
        <f t="shared" si="34"/>
        <v>0.19491382093820631</v>
      </c>
      <c r="L355" s="23">
        <f t="shared" si="35"/>
        <v>0.24944110456802843</v>
      </c>
      <c r="M355" s="23" t="e">
        <f>#REF!/$I355</f>
        <v>#REF!</v>
      </c>
      <c r="N355" s="23">
        <f t="shared" si="36"/>
        <v>0.55564507449376532</v>
      </c>
      <c r="O355" s="23">
        <f t="shared" si="37"/>
        <v>0</v>
      </c>
      <c r="P355" s="23">
        <f t="shared" si="38"/>
        <v>1</v>
      </c>
      <c r="R355" t="s">
        <v>2032</v>
      </c>
      <c r="S355" s="23">
        <v>7.7908731113200527E-2</v>
      </c>
      <c r="T355" s="23">
        <v>0.4403338830534671</v>
      </c>
      <c r="U355" s="23">
        <v>4.0118444932658323E-3</v>
      </c>
      <c r="V355" s="23">
        <v>0.47774554134006653</v>
      </c>
      <c r="W355" s="23">
        <v>0</v>
      </c>
      <c r="X355" s="23">
        <v>1</v>
      </c>
    </row>
    <row r="356" spans="3:24">
      <c r="C356" t="s">
        <v>2054</v>
      </c>
      <c r="D356" s="116">
        <v>372</v>
      </c>
      <c r="G356">
        <v>196733</v>
      </c>
      <c r="I356">
        <f t="shared" si="39"/>
        <v>197105</v>
      </c>
      <c r="K356" s="23">
        <f t="shared" si="34"/>
        <v>1.8873189416808299E-3</v>
      </c>
      <c r="L356" s="23">
        <f t="shared" si="35"/>
        <v>0</v>
      </c>
      <c r="M356" s="23" t="e">
        <f>#REF!/$I356</f>
        <v>#REF!</v>
      </c>
      <c r="N356" s="23">
        <f t="shared" si="36"/>
        <v>0.99811268105831918</v>
      </c>
      <c r="O356" s="23">
        <f t="shared" si="37"/>
        <v>0</v>
      </c>
      <c r="P356" s="23">
        <f t="shared" si="38"/>
        <v>1</v>
      </c>
      <c r="R356" t="s">
        <v>2005</v>
      </c>
      <c r="S356" s="23">
        <v>0.13817203031662456</v>
      </c>
      <c r="T356" s="23">
        <v>0.314017897197365</v>
      </c>
      <c r="U356" s="23">
        <v>0</v>
      </c>
      <c r="V356" s="23">
        <v>0.54781007248601044</v>
      </c>
      <c r="W356" s="23">
        <v>0</v>
      </c>
      <c r="X356" s="23">
        <v>1</v>
      </c>
    </row>
    <row r="357" spans="3:24">
      <c r="C357" t="s">
        <v>2055</v>
      </c>
      <c r="D357" s="116">
        <v>1989</v>
      </c>
      <c r="G357">
        <v>228935</v>
      </c>
      <c r="I357">
        <f t="shared" si="39"/>
        <v>230924</v>
      </c>
      <c r="K357" s="23">
        <f t="shared" si="34"/>
        <v>8.6132233981742919E-3</v>
      </c>
      <c r="L357" s="23">
        <f t="shared" si="35"/>
        <v>0</v>
      </c>
      <c r="M357" s="23" t="e">
        <f>#REF!/$I357</f>
        <v>#REF!</v>
      </c>
      <c r="N357" s="23">
        <f t="shared" si="36"/>
        <v>0.99138677660182573</v>
      </c>
      <c r="O357" s="23">
        <f t="shared" si="37"/>
        <v>0</v>
      </c>
      <c r="P357" s="23">
        <f t="shared" si="38"/>
        <v>1</v>
      </c>
      <c r="R357" t="s">
        <v>2037</v>
      </c>
      <c r="S357" s="23">
        <v>0.12498902967887979</v>
      </c>
      <c r="T357" s="23">
        <v>0.39371915070043612</v>
      </c>
      <c r="U357" s="23">
        <v>0</v>
      </c>
      <c r="V357" s="23">
        <v>0.48129181962068412</v>
      </c>
      <c r="W357" s="23">
        <v>0</v>
      </c>
      <c r="X357" s="23">
        <v>1</v>
      </c>
    </row>
    <row r="358" spans="3:24">
      <c r="C358" t="s">
        <v>2056</v>
      </c>
      <c r="D358" s="116">
        <v>245</v>
      </c>
      <c r="E358" s="116">
        <v>44031</v>
      </c>
      <c r="G358">
        <v>126587</v>
      </c>
      <c r="I358">
        <f t="shared" si="39"/>
        <v>170863</v>
      </c>
      <c r="K358" s="23">
        <f t="shared" si="34"/>
        <v>1.4338973329509608E-3</v>
      </c>
      <c r="L358" s="23">
        <f t="shared" si="35"/>
        <v>0.25769768762107653</v>
      </c>
      <c r="M358" s="23" t="e">
        <f>#REF!/$I358</f>
        <v>#REF!</v>
      </c>
      <c r="N358" s="23">
        <f t="shared" si="36"/>
        <v>0.74086841504597245</v>
      </c>
      <c r="O358" s="23">
        <f t="shared" si="37"/>
        <v>0</v>
      </c>
      <c r="P358" s="23">
        <f t="shared" si="38"/>
        <v>1</v>
      </c>
      <c r="R358" t="s">
        <v>2048</v>
      </c>
      <c r="S358" s="23">
        <v>7.8946456252413269E-2</v>
      </c>
      <c r="T358" s="23">
        <v>0.52350554638837854</v>
      </c>
      <c r="U358" s="23">
        <v>0</v>
      </c>
      <c r="V358" s="23">
        <v>0.39754799735920815</v>
      </c>
      <c r="W358" s="23">
        <v>0</v>
      </c>
      <c r="X358" s="23">
        <v>1</v>
      </c>
    </row>
    <row r="359" spans="3:24">
      <c r="C359" t="s">
        <v>2057</v>
      </c>
      <c r="D359" s="116">
        <v>266</v>
      </c>
      <c r="E359" s="116">
        <v>214222</v>
      </c>
      <c r="G359">
        <v>352223</v>
      </c>
      <c r="I359">
        <f t="shared" si="39"/>
        <v>566711</v>
      </c>
      <c r="K359" s="23">
        <f t="shared" si="34"/>
        <v>4.6937504301134087E-4</v>
      </c>
      <c r="L359" s="23">
        <f t="shared" si="35"/>
        <v>0.37800924986456941</v>
      </c>
      <c r="M359" s="23" t="e">
        <f>#REF!/$I359</f>
        <v>#REF!</v>
      </c>
      <c r="N359" s="23">
        <f t="shared" si="36"/>
        <v>0.62152137509241923</v>
      </c>
      <c r="O359" s="23">
        <f t="shared" si="37"/>
        <v>0</v>
      </c>
      <c r="P359" s="23">
        <f t="shared" si="38"/>
        <v>1</v>
      </c>
      <c r="R359" t="s">
        <v>2052</v>
      </c>
      <c r="S359" s="23">
        <v>7.3289933556093256E-2</v>
      </c>
      <c r="T359" s="23">
        <v>0.45235946281573658</v>
      </c>
      <c r="U359" s="23">
        <v>0</v>
      </c>
      <c r="V359" s="23">
        <v>0.47435060362817016</v>
      </c>
      <c r="W359" s="23">
        <v>0</v>
      </c>
      <c r="X359" s="23">
        <v>1</v>
      </c>
    </row>
    <row r="360" spans="3:24">
      <c r="C360" t="s">
        <v>2058</v>
      </c>
      <c r="D360" s="116">
        <v>21</v>
      </c>
      <c r="E360" s="116">
        <v>35737</v>
      </c>
      <c r="G360">
        <v>95933</v>
      </c>
      <c r="I360">
        <f t="shared" si="39"/>
        <v>131691</v>
      </c>
      <c r="K360" s="23">
        <f t="shared" si="34"/>
        <v>1.5946420028703555E-4</v>
      </c>
      <c r="L360" s="23">
        <f t="shared" si="35"/>
        <v>0.2713701012217995</v>
      </c>
      <c r="M360" s="23" t="e">
        <f>#REF!/$I360</f>
        <v>#REF!</v>
      </c>
      <c r="N360" s="23">
        <f t="shared" si="36"/>
        <v>0.72847043457791349</v>
      </c>
      <c r="O360" s="23">
        <f t="shared" si="37"/>
        <v>0</v>
      </c>
      <c r="P360" s="23">
        <f t="shared" si="38"/>
        <v>1</v>
      </c>
      <c r="R360" t="s">
        <v>2053</v>
      </c>
      <c r="S360" s="23">
        <v>0.19491382093820631</v>
      </c>
      <c r="T360" s="23">
        <v>0.24944110456802843</v>
      </c>
      <c r="U360" s="23">
        <v>0</v>
      </c>
      <c r="V360" s="23">
        <v>0.55564507449376532</v>
      </c>
      <c r="W360" s="23">
        <v>0</v>
      </c>
      <c r="X360" s="23">
        <v>1</v>
      </c>
    </row>
    <row r="361" spans="3:24">
      <c r="C361" t="s">
        <v>2059</v>
      </c>
      <c r="D361" s="116">
        <v>60027</v>
      </c>
      <c r="E361" s="116">
        <v>134390</v>
      </c>
      <c r="G361">
        <v>494312</v>
      </c>
      <c r="I361">
        <f t="shared" si="39"/>
        <v>688729</v>
      </c>
      <c r="K361" s="23">
        <f t="shared" si="34"/>
        <v>8.7156196413974152E-2</v>
      </c>
      <c r="L361" s="23">
        <f t="shared" si="35"/>
        <v>0.19512754653862405</v>
      </c>
      <c r="M361" s="23" t="e">
        <f>#REF!/$I361</f>
        <v>#REF!</v>
      </c>
      <c r="N361" s="23">
        <f t="shared" si="36"/>
        <v>0.71771625704740183</v>
      </c>
      <c r="O361" s="23">
        <f t="shared" si="37"/>
        <v>0</v>
      </c>
      <c r="P361" s="23">
        <f t="shared" si="38"/>
        <v>1</v>
      </c>
      <c r="R361" t="s">
        <v>2056</v>
      </c>
      <c r="S361" s="23">
        <v>1.4338973329509608E-3</v>
      </c>
      <c r="T361" s="23">
        <v>0.25769768762107653</v>
      </c>
      <c r="U361" s="23">
        <v>0</v>
      </c>
      <c r="V361" s="23">
        <v>0.74086841504597245</v>
      </c>
      <c r="W361" s="23">
        <v>0</v>
      </c>
      <c r="X361" s="23">
        <v>1</v>
      </c>
    </row>
    <row r="362" spans="3:24">
      <c r="C362" t="s">
        <v>2060</v>
      </c>
      <c r="D362" s="116">
        <v>25065</v>
      </c>
      <c r="E362" s="116">
        <v>119646</v>
      </c>
      <c r="G362">
        <v>146334</v>
      </c>
      <c r="I362">
        <f t="shared" si="39"/>
        <v>291045</v>
      </c>
      <c r="K362" s="23">
        <f t="shared" si="34"/>
        <v>8.6120702984074621E-2</v>
      </c>
      <c r="L362" s="23">
        <f t="shared" si="35"/>
        <v>0.41109106839148585</v>
      </c>
      <c r="M362" s="23" t="e">
        <f>#REF!/$I362</f>
        <v>#REF!</v>
      </c>
      <c r="N362" s="23">
        <f t="shared" si="36"/>
        <v>0.5027882286244395</v>
      </c>
      <c r="O362" s="23">
        <f t="shared" si="37"/>
        <v>0</v>
      </c>
      <c r="P362" s="23">
        <f t="shared" si="38"/>
        <v>1</v>
      </c>
      <c r="R362" t="s">
        <v>2057</v>
      </c>
      <c r="S362" s="23">
        <v>4.6937504301134087E-4</v>
      </c>
      <c r="T362" s="23">
        <v>0.37800924986456941</v>
      </c>
      <c r="U362" s="23">
        <v>0</v>
      </c>
      <c r="V362" s="23">
        <v>0.62152137509241923</v>
      </c>
      <c r="W362" s="23">
        <v>0</v>
      </c>
      <c r="X362" s="23">
        <v>1</v>
      </c>
    </row>
    <row r="363" spans="3:24">
      <c r="C363" t="s">
        <v>2061</v>
      </c>
      <c r="D363" s="116">
        <v>26</v>
      </c>
      <c r="E363" s="116">
        <v>24032</v>
      </c>
      <c r="G363">
        <v>95922</v>
      </c>
      <c r="I363">
        <f t="shared" si="39"/>
        <v>119980</v>
      </c>
      <c r="K363" s="23">
        <f t="shared" si="34"/>
        <v>2.1670278379729954E-4</v>
      </c>
      <c r="L363" s="23">
        <f t="shared" si="35"/>
        <v>0.20030005000833473</v>
      </c>
      <c r="M363" s="23" t="e">
        <f>#REF!/$I363</f>
        <v>#REF!</v>
      </c>
      <c r="N363" s="23">
        <f t="shared" si="36"/>
        <v>0.79948324720786801</v>
      </c>
      <c r="O363" s="23">
        <f t="shared" si="37"/>
        <v>0</v>
      </c>
      <c r="P363" s="23">
        <f t="shared" si="38"/>
        <v>1</v>
      </c>
      <c r="R363" t="s">
        <v>2060</v>
      </c>
      <c r="S363" s="23">
        <v>8.6120702984074621E-2</v>
      </c>
      <c r="T363" s="23">
        <v>0.41109106839148585</v>
      </c>
      <c r="U363" s="23">
        <v>0</v>
      </c>
      <c r="V363" s="23">
        <v>0.5027882286244395</v>
      </c>
      <c r="W363" s="23">
        <v>0</v>
      </c>
      <c r="X363" s="23">
        <v>1</v>
      </c>
    </row>
    <row r="393" spans="3:11" ht="15.75">
      <c r="C393" s="7" t="s">
        <v>543</v>
      </c>
      <c r="D393" s="124" t="s">
        <v>1421</v>
      </c>
      <c r="E393" s="124" t="s">
        <v>1422</v>
      </c>
      <c r="F393" s="49"/>
      <c r="G393" s="49" t="s">
        <v>1424</v>
      </c>
      <c r="H393" s="49" t="s">
        <v>1729</v>
      </c>
      <c r="I393" s="49" t="s">
        <v>1871</v>
      </c>
      <c r="J393" s="49" t="s">
        <v>1678</v>
      </c>
      <c r="K393" s="49" t="s">
        <v>1679</v>
      </c>
    </row>
    <row r="394" spans="3:11" ht="15.75">
      <c r="C394" s="8" t="s">
        <v>1371</v>
      </c>
      <c r="D394" s="122">
        <f>Quarts!CV103</f>
        <v>9.2518063498788106E-2</v>
      </c>
      <c r="E394" s="122">
        <f>Quarts!CW103</f>
        <v>0.11523843993953453</v>
      </c>
      <c r="F394" s="10"/>
      <c r="G394" s="10">
        <f>Quarts!CY103</f>
        <v>7.4444788946657736E-2</v>
      </c>
      <c r="H394" s="10">
        <f>Quarts!CZ103</f>
        <v>7.9387117621714909E-2</v>
      </c>
      <c r="I394" s="10">
        <f>Quarts!DA103</f>
        <v>1.350615526185317E-2</v>
      </c>
      <c r="J394" s="10" t="e">
        <f>Quarts!#REF!</f>
        <v>#REF!</v>
      </c>
      <c r="K394" s="10" t="e">
        <f>Quarts!#REF!</f>
        <v>#REF!</v>
      </c>
    </row>
    <row r="395" spans="3:11" ht="15.75">
      <c r="C395" s="8" t="s">
        <v>2065</v>
      </c>
      <c r="D395" s="122">
        <f>D394</f>
        <v>9.2518063498788106E-2</v>
      </c>
      <c r="E395" s="122">
        <f>E394</f>
        <v>0.11523843993953453</v>
      </c>
      <c r="F395" s="10"/>
      <c r="G395" s="10">
        <f>G394</f>
        <v>7.4444788946657736E-2</v>
      </c>
      <c r="H395" s="10">
        <f>H394</f>
        <v>7.9387117621714909E-2</v>
      </c>
      <c r="I395" s="10">
        <f>I394</f>
        <v>1.350615526185317E-2</v>
      </c>
      <c r="J395" s="10" t="e">
        <f>J394+1.5%</f>
        <v>#REF!</v>
      </c>
      <c r="K395" s="10" t="e">
        <f>K394+1.5%</f>
        <v>#REF!</v>
      </c>
    </row>
    <row r="396" spans="3:11" ht="15.75">
      <c r="C396" s="8" t="s">
        <v>725</v>
      </c>
      <c r="D396" s="122">
        <f>Quarts!CV112</f>
        <v>3.671854742201619E-2</v>
      </c>
      <c r="E396" s="122">
        <f>Quarts!CW112</f>
        <v>6.6776619600941167E-2</v>
      </c>
      <c r="F396" s="10"/>
      <c r="G396" s="10">
        <f>Quarts!CY112</f>
        <v>4.2913640778944551E-2</v>
      </c>
      <c r="H396" s="10">
        <f>Quarts!CZ112</f>
        <v>7.1380075634125628E-2</v>
      </c>
      <c r="I396" s="10">
        <f>Quarts!DA112</f>
        <v>1.2273895225092923E-2</v>
      </c>
      <c r="J396" s="10" t="e">
        <f>Quarts!#REF!</f>
        <v>#REF!</v>
      </c>
      <c r="K396" s="10" t="e">
        <f>Quarts!#REF!</f>
        <v>#REF!</v>
      </c>
    </row>
    <row r="397" spans="3:11" ht="15.75">
      <c r="C397" s="8"/>
      <c r="D397" s="123"/>
      <c r="E397" s="123"/>
      <c r="F397" s="8"/>
      <c r="G397" s="8"/>
      <c r="H397" s="8"/>
      <c r="I397" s="8"/>
    </row>
    <row r="398" spans="3:11" ht="15.75">
      <c r="C398" s="8"/>
      <c r="D398" s="123"/>
      <c r="E398" s="123"/>
      <c r="F398" s="8"/>
      <c r="G398" s="8"/>
      <c r="H398" s="8"/>
      <c r="I398" s="8"/>
    </row>
    <row r="399" spans="3:11" ht="15.75">
      <c r="C399" s="8"/>
      <c r="D399" s="123"/>
      <c r="E399" s="123"/>
      <c r="F399" s="8"/>
      <c r="G399" s="8"/>
      <c r="H399" s="8"/>
      <c r="I399" s="8"/>
    </row>
    <row r="400" spans="3:11" ht="15.75">
      <c r="C400" s="8"/>
      <c r="D400" s="123"/>
      <c r="E400" s="123"/>
      <c r="F400" s="8"/>
      <c r="G400" s="8"/>
      <c r="H400" s="8"/>
      <c r="I400" s="8"/>
    </row>
    <row r="401" spans="3:9" ht="15.75">
      <c r="C401" s="8"/>
      <c r="D401" s="123"/>
      <c r="E401" s="123"/>
      <c r="F401" s="8"/>
      <c r="G401" s="8"/>
      <c r="H401" s="8"/>
      <c r="I401" s="8"/>
    </row>
    <row r="402" spans="3:9" ht="15.75">
      <c r="C402" s="8"/>
      <c r="D402" s="123"/>
      <c r="E402" s="123"/>
      <c r="F402" s="8"/>
      <c r="G402" s="8"/>
      <c r="H402" s="8"/>
      <c r="I402" s="8"/>
    </row>
    <row r="403" spans="3:9" ht="15.75">
      <c r="C403" s="8"/>
      <c r="D403" s="123"/>
      <c r="E403" s="123"/>
      <c r="F403" s="8"/>
      <c r="G403" s="8"/>
      <c r="H403" s="8"/>
      <c r="I403" s="8"/>
    </row>
    <row r="404" spans="3:9" ht="15.75">
      <c r="C404" s="8"/>
      <c r="D404" s="123"/>
      <c r="E404" s="123"/>
      <c r="F404" s="8"/>
      <c r="G404" s="8"/>
      <c r="H404" s="8"/>
      <c r="I404" s="8"/>
    </row>
    <row r="405" spans="3:9" ht="15.75">
      <c r="C405" s="8"/>
      <c r="D405" s="123"/>
      <c r="E405" s="123"/>
      <c r="F405" s="8"/>
      <c r="G405" s="8"/>
      <c r="H405" s="8"/>
      <c r="I405" s="8"/>
    </row>
    <row r="406" spans="3:9" ht="15.75">
      <c r="C406" s="8"/>
      <c r="D406" s="123"/>
      <c r="E406" s="123"/>
      <c r="F406" s="8"/>
      <c r="G406" s="8"/>
      <c r="H406" s="8"/>
      <c r="I406" s="8"/>
    </row>
    <row r="407" spans="3:9" ht="15.75">
      <c r="C407" s="8"/>
      <c r="D407" s="123"/>
      <c r="E407" s="123"/>
      <c r="F407" s="8"/>
      <c r="G407" s="8"/>
      <c r="H407" s="8"/>
      <c r="I407" s="8"/>
    </row>
    <row r="408" spans="3:9" ht="15.75">
      <c r="C408" s="8"/>
      <c r="D408" s="123"/>
      <c r="E408" s="123"/>
      <c r="F408" s="8"/>
      <c r="G408" s="8"/>
      <c r="H408" s="8"/>
      <c r="I408" s="8"/>
    </row>
    <row r="409" spans="3:9" ht="15.75">
      <c r="C409" s="8"/>
      <c r="D409" s="123"/>
      <c r="E409" s="123"/>
      <c r="F409" s="8"/>
      <c r="G409" s="8"/>
      <c r="H409" s="8"/>
      <c r="I409" s="8"/>
    </row>
    <row r="410" spans="3:9" ht="15.75">
      <c r="C410" s="8"/>
      <c r="D410" s="123"/>
      <c r="E410" s="123"/>
      <c r="F410" s="8"/>
      <c r="G410" s="8"/>
      <c r="H410" s="8"/>
      <c r="I410" s="8"/>
    </row>
    <row r="411" spans="3:9" ht="15.75">
      <c r="C411" s="8"/>
      <c r="D411" s="123"/>
      <c r="E411" s="123"/>
      <c r="F411" s="8"/>
      <c r="G411" s="8"/>
      <c r="H411" s="8"/>
      <c r="I411" s="8"/>
    </row>
    <row r="416" spans="3:9">
      <c r="C416" s="3" t="s">
        <v>1006</v>
      </c>
      <c r="D416" s="115">
        <v>2021</v>
      </c>
      <c r="E416" s="115">
        <f>D416+1</f>
        <v>2022</v>
      </c>
    </row>
    <row r="417" spans="3:5">
      <c r="C417" t="s">
        <v>367</v>
      </c>
      <c r="D417" s="119">
        <f ca="1">Valuation!N45</f>
        <v>8.0632806337203114E-3</v>
      </c>
      <c r="E417" s="119">
        <f>Valuation!O45</f>
        <v>-4.4685164960417433E-2</v>
      </c>
    </row>
    <row r="418" spans="3:5">
      <c r="C418" t="s">
        <v>2064</v>
      </c>
      <c r="D418" s="119" t="e">
        <f>D402/D408</f>
        <v>#DIV/0!</v>
      </c>
      <c r="E418" s="119" t="e">
        <f>E402/E408</f>
        <v>#DIV/0!</v>
      </c>
    </row>
    <row r="419" spans="3:5">
      <c r="C419" t="s">
        <v>436</v>
      </c>
      <c r="D419" s="119">
        <v>0.10043245449428712</v>
      </c>
      <c r="E419" s="119">
        <v>0.11972878185907988</v>
      </c>
    </row>
    <row r="434" spans="3:3">
      <c r="C434" t="s">
        <v>2543</v>
      </c>
    </row>
    <row r="475" spans="3:23">
      <c r="C475" s="203"/>
      <c r="D475" s="225"/>
      <c r="E475" s="225"/>
      <c r="F475" s="203"/>
      <c r="G475" s="203"/>
      <c r="H475" s="203"/>
      <c r="I475" s="203"/>
      <c r="J475" s="203"/>
      <c r="K475" s="203"/>
      <c r="L475" s="203"/>
      <c r="M475" s="203"/>
      <c r="N475" s="203"/>
      <c r="O475" s="203"/>
      <c r="P475" s="203"/>
      <c r="Q475" s="203"/>
      <c r="R475" s="203"/>
      <c r="S475" s="203"/>
      <c r="T475" s="203"/>
      <c r="U475" s="203"/>
      <c r="V475" s="203"/>
      <c r="W475" s="203"/>
    </row>
    <row r="476" spans="3:23">
      <c r="C476" s="204" t="s">
        <v>2692</v>
      </c>
      <c r="D476" s="227"/>
      <c r="E476" s="227"/>
      <c r="F476" s="227"/>
      <c r="G476" s="227"/>
      <c r="H476" s="227"/>
      <c r="I476" s="227"/>
      <c r="J476" s="227"/>
      <c r="K476" s="227"/>
      <c r="L476" s="227"/>
      <c r="M476" s="227"/>
      <c r="N476" s="227"/>
      <c r="O476" s="226"/>
      <c r="P476" s="224"/>
      <c r="Q476" s="224"/>
      <c r="R476" s="224"/>
      <c r="S476" s="224"/>
      <c r="T476" s="224"/>
      <c r="U476" s="203"/>
      <c r="V476" s="203"/>
      <c r="W476" s="203"/>
    </row>
    <row r="477" spans="3:23">
      <c r="C477" s="229" t="str">
        <f>'Market BB quarts'!B34</f>
        <v>Totalplay</v>
      </c>
      <c r="D477" s="230"/>
      <c r="E477" s="230">
        <f>'Market BB quarts'!D34-'Market BB quarts'!C34</f>
        <v>254.07012666048809</v>
      </c>
      <c r="F477" s="230">
        <f>'Market BB quarts'!E34-'Market BB quarts'!D34</f>
        <v>277.43589743589746</v>
      </c>
      <c r="G477" s="230">
        <f>'Market BB quarts'!F34-'Market BB quarts'!E34</f>
        <v>289</v>
      </c>
      <c r="H477" s="230">
        <f>'Market BB quarts'!G34-'Market BB quarts'!F34</f>
        <v>251</v>
      </c>
      <c r="I477" s="230">
        <f>'Market BB quarts'!H34-'Market BB quarts'!G34</f>
        <v>234</v>
      </c>
      <c r="J477" s="230">
        <f>'Market BB quarts'!I34-'Market BB quarts'!H34</f>
        <v>279</v>
      </c>
      <c r="K477" s="230">
        <f>'Market BB quarts'!J34-'Market BB quarts'!I34</f>
        <v>250</v>
      </c>
      <c r="L477" s="230">
        <f>'Market BB quarts'!K34-'Market BB quarts'!J34</f>
        <v>274</v>
      </c>
      <c r="M477" s="230">
        <f>'Market BB quarts'!L34-'Market BB quarts'!K34</f>
        <v>244</v>
      </c>
      <c r="N477" s="230"/>
      <c r="O477" s="226"/>
      <c r="P477" s="231"/>
      <c r="Q477" s="231"/>
      <c r="R477" s="231"/>
      <c r="S477" s="231"/>
      <c r="T477" s="231"/>
      <c r="U477" s="203"/>
      <c r="V477" s="203"/>
      <c r="W477" s="203"/>
    </row>
    <row r="478" spans="3:23">
      <c r="C478" s="202" t="str">
        <f>'Market BB quarts'!B35</f>
        <v>MEGA (Cable)</v>
      </c>
      <c r="D478" s="227"/>
      <c r="E478" s="227">
        <f>'Market BB quarts'!D35-'Market BB quarts'!C35</f>
        <v>83.019000000000233</v>
      </c>
      <c r="F478" s="227">
        <f>'Market BB quarts'!E35-'Market BB quarts'!D35</f>
        <v>184.5949999999998</v>
      </c>
      <c r="G478" s="227">
        <f>'Market BB quarts'!F35-'Market BB quarts'!E35</f>
        <v>96.329000000000178</v>
      </c>
      <c r="H478" s="227">
        <f>'Market BB quarts'!G35-'Market BB quarts'!F35</f>
        <v>79.415999999999713</v>
      </c>
      <c r="I478" s="227">
        <f>'Market BB quarts'!H35-'Market BB quarts'!G35</f>
        <v>58.160000000000309</v>
      </c>
      <c r="J478" s="227">
        <f>'Market BB quarts'!I35-'Market BB quarts'!H35</f>
        <v>105.01199999999972</v>
      </c>
      <c r="K478" s="227">
        <f>'Market BB quarts'!J35-'Market BB quarts'!I35</f>
        <v>80.981000000000222</v>
      </c>
      <c r="L478" s="227">
        <f>'Market BB quarts'!K35-'Market BB quarts'!J35</f>
        <v>59.403999999999996</v>
      </c>
      <c r="M478" s="227">
        <f>'Market BB quarts'!L35-'Market BB quarts'!K35</f>
        <v>19.177999999999884</v>
      </c>
      <c r="N478" s="227"/>
      <c r="O478" s="226"/>
      <c r="P478" s="228"/>
      <c r="Q478" s="228"/>
      <c r="R478" s="228"/>
      <c r="S478" s="228"/>
      <c r="T478" s="228"/>
      <c r="U478" s="203"/>
      <c r="V478" s="203"/>
      <c r="W478" s="203"/>
    </row>
    <row r="479" spans="3:23">
      <c r="C479" s="229" t="str">
        <f>'Market BB quarts'!B36</f>
        <v>TV (Retail)</v>
      </c>
      <c r="D479" s="230"/>
      <c r="E479" s="230">
        <f>'Market BB quarts'!D36-'Market BB quarts'!C36</f>
        <v>252</v>
      </c>
      <c r="F479" s="230">
        <f>'Market BB quarts'!E36-'Market BB quarts'!D36</f>
        <v>234</v>
      </c>
      <c r="G479" s="230">
        <f>'Market BB quarts'!F36-'Market BB quarts'!E36</f>
        <v>128.80057500770636</v>
      </c>
      <c r="H479" s="230">
        <f>'Market BB quarts'!G36-'Market BB quarts'!F36</f>
        <v>103.19942499229364</v>
      </c>
      <c r="I479" s="230">
        <f>'Market BB quarts'!H36-'Market BB quarts'!G36</f>
        <v>31</v>
      </c>
      <c r="J479" s="230">
        <f>'Market BB quarts'!I36-'Market BB quarts'!H36</f>
        <v>25</v>
      </c>
      <c r="K479" s="230">
        <f>'Market BB quarts'!J36-'Market BB quarts'!I36</f>
        <v>58.101999999999862</v>
      </c>
      <c r="L479" s="230">
        <f>'Market BB quarts'!K36-'Market BB quarts'!J36</f>
        <v>82.923999999999978</v>
      </c>
      <c r="M479" s="230">
        <f>'Market BB quarts'!L36-'Market BB quarts'!K36</f>
        <v>77.564000000000306</v>
      </c>
      <c r="N479" s="230"/>
      <c r="O479" s="226"/>
      <c r="P479" s="231"/>
      <c r="Q479" s="231"/>
      <c r="R479" s="231"/>
      <c r="S479" s="231"/>
      <c r="T479" s="231"/>
      <c r="U479" s="203"/>
      <c r="V479" s="203"/>
      <c r="W479" s="203"/>
    </row>
    <row r="480" spans="3:23">
      <c r="C480" s="202" t="s">
        <v>605</v>
      </c>
      <c r="D480" s="227"/>
      <c r="E480" s="227">
        <f>'Market BB quarts'!D37-'Market BB quarts'!C37</f>
        <v>63</v>
      </c>
      <c r="F480" s="227">
        <f>'Market BB quarts'!E37-'Market BB quarts'!D37</f>
        <v>117</v>
      </c>
      <c r="G480" s="227">
        <f>'Market BB quarts'!F37-'Market BB quarts'!E37</f>
        <v>33</v>
      </c>
      <c r="H480" s="227">
        <f>'Market BB quarts'!G37-'Market BB quarts'!F37</f>
        <v>-19</v>
      </c>
      <c r="I480" s="227">
        <f>'Market BB quarts'!H37-'Market BB quarts'!G37</f>
        <v>-38</v>
      </c>
      <c r="J480" s="227">
        <f>'Market BB quarts'!I37-'Market BB quarts'!H37</f>
        <v>94</v>
      </c>
      <c r="K480" s="227">
        <f>'Market BB quarts'!J37-'Market BB quarts'!I37</f>
        <v>-11</v>
      </c>
      <c r="L480" s="227">
        <f>'Market BB quarts'!K37-'Market BB quarts'!J37</f>
        <v>63</v>
      </c>
      <c r="M480" s="227">
        <f>'Market BB quarts'!L37-'Market BB quarts'!K37</f>
        <v>20</v>
      </c>
      <c r="N480" s="227"/>
      <c r="O480" s="226"/>
      <c r="P480" s="228"/>
      <c r="Q480" s="228"/>
      <c r="R480" s="228"/>
      <c r="S480" s="228"/>
      <c r="T480" s="228"/>
      <c r="U480" s="203"/>
      <c r="V480" s="203"/>
      <c r="W480" s="203"/>
    </row>
    <row r="481" spans="3:23">
      <c r="C481" s="232" t="s">
        <v>2691</v>
      </c>
      <c r="D481" s="233"/>
      <c r="E481" s="230">
        <f>'Market BB quarts'!D39-'Market BB quarts'!C39</f>
        <v>652.08912666048855</v>
      </c>
      <c r="F481" s="230">
        <f>'Market BB quarts'!E39-'Market BB quarts'!D39</f>
        <v>813.03089743589589</v>
      </c>
      <c r="G481" s="230">
        <f>'Market BB quarts'!F39-'Market BB quarts'!E39</f>
        <v>547.1295750077079</v>
      </c>
      <c r="H481" s="230">
        <f>'Market BB quarts'!G39-'Market BB quarts'!F39</f>
        <v>414.61542499229108</v>
      </c>
      <c r="I481" s="230">
        <f>'Market BB quarts'!H39-'Market BB quarts'!G39</f>
        <v>285.16000000000349</v>
      </c>
      <c r="J481" s="230">
        <f>'Market BB quarts'!I39-'Market BB quarts'!H39</f>
        <v>503.01199999999881</v>
      </c>
      <c r="K481" s="230">
        <f>'Market BB quarts'!J39-'Market BB quarts'!I39</f>
        <v>378.08299999999872</v>
      </c>
      <c r="L481" s="230">
        <f>'Market BB quarts'!K39-'Market BB quarts'!J39</f>
        <v>479.32800000000134</v>
      </c>
      <c r="M481" s="230">
        <f>'Market BB quarts'!L39-'Market BB quarts'!K39</f>
        <v>360.74200000000201</v>
      </c>
      <c r="N481" s="230"/>
      <c r="O481" s="226"/>
      <c r="P481" s="234"/>
      <c r="Q481" s="234"/>
      <c r="R481" s="234"/>
      <c r="S481" s="234"/>
      <c r="T481" s="234"/>
      <c r="U481" s="203"/>
      <c r="V481" s="203"/>
      <c r="W481" s="203"/>
    </row>
    <row r="482" spans="3:23">
      <c r="C482" s="203"/>
      <c r="D482" s="225"/>
      <c r="E482" s="225"/>
      <c r="F482" s="203"/>
      <c r="G482" s="203"/>
      <c r="H482" s="203"/>
      <c r="I482" s="203"/>
      <c r="J482" s="203"/>
      <c r="K482" s="203"/>
      <c r="L482" s="203"/>
      <c r="M482" s="203"/>
      <c r="N482" s="203"/>
      <c r="O482" s="203"/>
      <c r="P482" s="203"/>
      <c r="Q482" s="203"/>
      <c r="R482" s="203"/>
      <c r="S482" s="203"/>
      <c r="T482" s="203"/>
      <c r="U482" s="203"/>
      <c r="V482" s="203"/>
    </row>
    <row r="483" spans="3:23">
      <c r="C483" s="203"/>
      <c r="D483" s="225"/>
      <c r="E483" s="225"/>
      <c r="F483" s="203"/>
      <c r="G483" s="203"/>
      <c r="H483" s="203"/>
      <c r="I483" s="203"/>
      <c r="J483" s="203"/>
      <c r="K483" s="203"/>
      <c r="L483" s="203"/>
      <c r="M483" s="203"/>
      <c r="N483" s="203"/>
      <c r="O483" s="203"/>
      <c r="P483" s="203"/>
      <c r="Q483" s="203"/>
      <c r="R483" s="203"/>
      <c r="S483" s="203"/>
      <c r="T483" s="203"/>
      <c r="U483" s="203"/>
      <c r="V483" s="203"/>
    </row>
    <row r="485" spans="3:23">
      <c r="D485" s="116" t="s">
        <v>2395</v>
      </c>
      <c r="E485" s="116">
        <v>2025</v>
      </c>
    </row>
    <row r="486" spans="3:23">
      <c r="C486" t="str">
        <f>'Market BB quarts'!B22</f>
        <v>Totalplay</v>
      </c>
      <c r="D486" s="141">
        <f>'Market BB quarts'!H22</f>
        <v>13100</v>
      </c>
      <c r="E486" s="141">
        <v>20000</v>
      </c>
    </row>
    <row r="487" spans="3:23">
      <c r="C487" t="str">
        <f>'Market BB quarts'!B23</f>
        <v>MEGA (Cable)</v>
      </c>
      <c r="D487" s="141">
        <f>'Market BB quarts'!I23</f>
        <v>9292.1260000000002</v>
      </c>
      <c r="E487" s="141">
        <v>19000</v>
      </c>
    </row>
    <row r="488" spans="3:23">
      <c r="C488" t="str">
        <f>'Market BB quarts'!B24</f>
        <v>TV (Retail)</v>
      </c>
      <c r="D488" s="141">
        <f>'Market BB quarts'!I24</f>
        <v>17300</v>
      </c>
      <c r="E488" s="141">
        <v>18000</v>
      </c>
    </row>
    <row r="489" spans="3:23">
      <c r="C489" t="s">
        <v>605</v>
      </c>
      <c r="D489" s="141">
        <v>10000</v>
      </c>
      <c r="E489" s="141">
        <v>12000</v>
      </c>
    </row>
    <row r="490" spans="3:23">
      <c r="C490" t="s">
        <v>2396</v>
      </c>
      <c r="D490" s="141">
        <v>28000</v>
      </c>
      <c r="E490" s="141">
        <f>D490*1.03^(4)</f>
        <v>31514.246679999997</v>
      </c>
    </row>
    <row r="491" spans="3:23">
      <c r="C491" t="s">
        <v>2397</v>
      </c>
      <c r="D491" s="136">
        <f>SUM(D486:D489)/D490</f>
        <v>1.7747187857142859</v>
      </c>
      <c r="E491" s="136">
        <f>SUM(E486:E489)/E490</f>
        <v>2.1894859395065192</v>
      </c>
    </row>
    <row r="504" spans="3:23">
      <c r="C504" s="57" t="s">
        <v>2701</v>
      </c>
    </row>
    <row r="506" spans="3:23">
      <c r="C506" s="109" t="s">
        <v>2519</v>
      </c>
      <c r="D506" s="151">
        <v>2021</v>
      </c>
      <c r="E506" s="151">
        <f>D506+1</f>
        <v>2022</v>
      </c>
      <c r="F506" s="151">
        <f>E506+1</f>
        <v>2023</v>
      </c>
      <c r="G506" s="151">
        <f>F506+1</f>
        <v>2024</v>
      </c>
      <c r="H506" s="151">
        <f>G506+1</f>
        <v>2025</v>
      </c>
      <c r="I506" s="151">
        <f>H506+1</f>
        <v>2026</v>
      </c>
      <c r="J506" s="151">
        <v>2027</v>
      </c>
      <c r="K506" s="151">
        <v>2028</v>
      </c>
      <c r="L506" s="151">
        <v>2029</v>
      </c>
      <c r="M506" s="151">
        <v>2030</v>
      </c>
    </row>
    <row r="507" spans="3:23">
      <c r="C507" t="s">
        <v>411</v>
      </c>
      <c r="D507" s="142">
        <v>48020.9</v>
      </c>
      <c r="E507" s="142">
        <v>48411.8</v>
      </c>
      <c r="F507" s="110">
        <v>49137.976999999999</v>
      </c>
      <c r="G507" s="110">
        <v>50366.426424999998</v>
      </c>
      <c r="H507" s="110">
        <v>51625.587085624997</v>
      </c>
      <c r="I507" s="110">
        <v>53045.29073047969</v>
      </c>
      <c r="J507" s="110">
        <v>54636.649452394086</v>
      </c>
      <c r="K507" s="110">
        <v>56412.340559596894</v>
      </c>
      <c r="L507" s="110">
        <v>58386.772479182779</v>
      </c>
      <c r="M507" s="110">
        <v>60430.30951595417</v>
      </c>
    </row>
    <row r="508" spans="3:23">
      <c r="C508" t="s">
        <v>16</v>
      </c>
      <c r="D508" s="142">
        <v>20285</v>
      </c>
      <c r="E508" s="142">
        <v>19902.8</v>
      </c>
      <c r="F508" s="110">
        <v>18746.138225499999</v>
      </c>
      <c r="G508" s="110">
        <v>19164.4252547125</v>
      </c>
      <c r="H508" s="110">
        <v>19591.910298994688</v>
      </c>
      <c r="I508" s="110">
        <v>20077.642541486563</v>
      </c>
      <c r="J508" s="110">
        <v>20625.335168278769</v>
      </c>
      <c r="K508" s="110">
        <v>21295.658561247827</v>
      </c>
      <c r="L508" s="110">
        <v>22041.006610891498</v>
      </c>
      <c r="M508" s="110">
        <v>22812.441842272699</v>
      </c>
      <c r="N508" s="22"/>
    </row>
    <row r="509" spans="3:23">
      <c r="C509" t="s">
        <v>22</v>
      </c>
      <c r="D509" s="142">
        <v>17333.977760915466</v>
      </c>
      <c r="E509" s="142">
        <v>12989.048999999999</v>
      </c>
      <c r="F509" s="110">
        <v>11056.044825000001</v>
      </c>
      <c r="G509" s="110">
        <v>11080.6138135</v>
      </c>
      <c r="H509" s="110">
        <v>11357.629158837499</v>
      </c>
      <c r="I509" s="110">
        <v>11669.963960705532</v>
      </c>
      <c r="J509" s="110">
        <v>12020.062879526698</v>
      </c>
      <c r="K509" s="110">
        <v>12410.714923111316</v>
      </c>
      <c r="L509" s="110">
        <v>12845.089945420212</v>
      </c>
      <c r="M509" s="110">
        <v>13294.668093509918</v>
      </c>
    </row>
    <row r="510" spans="3:23">
      <c r="C510" t="s">
        <v>24</v>
      </c>
      <c r="D510" s="141">
        <f t="shared" ref="D510:I510" si="40">D508-D509</f>
        <v>2951.0222390845338</v>
      </c>
      <c r="E510" s="141">
        <f t="shared" si="40"/>
        <v>6913.7510000000002</v>
      </c>
      <c r="F510" s="22">
        <f t="shared" si="40"/>
        <v>7690.0934004999981</v>
      </c>
      <c r="G510" s="22">
        <f t="shared" si="40"/>
        <v>8083.8114412124996</v>
      </c>
      <c r="H510" s="22">
        <f t="shared" si="40"/>
        <v>8234.2811401571889</v>
      </c>
      <c r="I510" s="22">
        <f t="shared" si="40"/>
        <v>8407.6785807810302</v>
      </c>
      <c r="J510" s="22">
        <f t="shared" ref="J510:K510" si="41">J508-J509</f>
        <v>8605.2722887520704</v>
      </c>
      <c r="K510" s="22">
        <f t="shared" si="41"/>
        <v>8884.9436381365103</v>
      </c>
      <c r="L510" s="22">
        <f t="shared" ref="L510:M510" si="42">L508-L509</f>
        <v>9195.9166654712863</v>
      </c>
      <c r="M510" s="22">
        <f t="shared" si="42"/>
        <v>9517.7737487627819</v>
      </c>
    </row>
    <row r="511" spans="3:23" ht="15.75" thickBot="1">
      <c r="C511" t="s">
        <v>283</v>
      </c>
      <c r="D511" s="141">
        <f t="shared" ref="D511:I511" si="43">D510*0.72</f>
        <v>2124.7360121408642</v>
      </c>
      <c r="E511" s="141">
        <f t="shared" si="43"/>
        <v>4977.9007199999996</v>
      </c>
      <c r="F511" s="22">
        <f t="shared" si="43"/>
        <v>5536.8672483599985</v>
      </c>
      <c r="G511" s="22">
        <f t="shared" si="43"/>
        <v>5820.344237673</v>
      </c>
      <c r="H511" s="22">
        <f t="shared" si="43"/>
        <v>5928.6824209131755</v>
      </c>
      <c r="I511" s="22">
        <f t="shared" si="43"/>
        <v>6053.5285781623415</v>
      </c>
      <c r="J511" s="22">
        <f t="shared" ref="J511:K511" si="44">J510*0.72</f>
        <v>6195.7960479014901</v>
      </c>
      <c r="K511" s="22">
        <f t="shared" si="44"/>
        <v>6397.1594194582876</v>
      </c>
      <c r="L511" s="22">
        <f t="shared" ref="L511:M511" si="45">L510*0.72</f>
        <v>6621.0599991393256</v>
      </c>
      <c r="M511" s="22">
        <f t="shared" si="45"/>
        <v>6852.7970991092025</v>
      </c>
    </row>
    <row r="512" spans="3:23">
      <c r="C512" t="s">
        <v>2540</v>
      </c>
      <c r="D512" s="141"/>
      <c r="E512" s="141">
        <f>E511</f>
        <v>4977.9007199999996</v>
      </c>
      <c r="F512" s="22">
        <f t="shared" ref="F512:M512" si="46">E512+F511</f>
        <v>10514.767968359998</v>
      </c>
      <c r="G512" s="22">
        <f t="shared" si="46"/>
        <v>16335.112206032998</v>
      </c>
      <c r="H512" s="22">
        <f t="shared" si="46"/>
        <v>22263.794626946175</v>
      </c>
      <c r="I512" s="22">
        <f t="shared" si="46"/>
        <v>28317.323205108518</v>
      </c>
      <c r="J512" s="22">
        <f t="shared" si="46"/>
        <v>34513.119253010009</v>
      </c>
      <c r="K512" s="22">
        <f t="shared" si="46"/>
        <v>40910.278672468296</v>
      </c>
      <c r="L512" s="22">
        <f t="shared" si="46"/>
        <v>47531.33867160762</v>
      </c>
      <c r="M512" s="22">
        <f t="shared" si="46"/>
        <v>54384.135770716821</v>
      </c>
      <c r="S512" s="252" t="s">
        <v>2626</v>
      </c>
      <c r="T512" s="253" t="s">
        <v>367</v>
      </c>
      <c r="U512" s="253" t="s">
        <v>2730</v>
      </c>
      <c r="V512" s="281" t="s">
        <v>2710</v>
      </c>
      <c r="W512" s="254" t="s">
        <v>2723</v>
      </c>
    </row>
    <row r="513" spans="3:23">
      <c r="S513" s="282" t="s">
        <v>2746</v>
      </c>
      <c r="T513" s="271">
        <f>Valuation!C3</f>
        <v>51</v>
      </c>
      <c r="U513" s="272"/>
      <c r="V513" s="273"/>
      <c r="W513" s="283" t="s">
        <v>2745</v>
      </c>
    </row>
    <row r="514" spans="3:23" ht="15.75">
      <c r="C514" s="81" t="s">
        <v>2531</v>
      </c>
      <c r="D514" s="123"/>
      <c r="E514" s="123"/>
      <c r="F514" s="14" t="s">
        <v>2702</v>
      </c>
      <c r="S514" s="284" t="s">
        <v>301</v>
      </c>
      <c r="T514" s="22">
        <f>Valuation!O6</f>
        <v>43738.4925</v>
      </c>
      <c r="V514" s="278"/>
      <c r="W514" s="285"/>
    </row>
    <row r="515" spans="3:23" ht="15.75">
      <c r="C515" s="8" t="s">
        <v>2703</v>
      </c>
      <c r="D515" s="195">
        <v>4.9000000000000004</v>
      </c>
      <c r="E515" s="14"/>
      <c r="F515" s="250">
        <f>Valuation!O38</f>
        <v>4.8243058048649425</v>
      </c>
      <c r="S515" s="255" t="s">
        <v>167</v>
      </c>
      <c r="T515" s="256">
        <f>Valuation!O11</f>
        <v>12842.623</v>
      </c>
      <c r="U515" s="239"/>
      <c r="V515" s="274"/>
      <c r="W515" s="286"/>
    </row>
    <row r="516" spans="3:23" ht="15.75">
      <c r="C516" s="8" t="s">
        <v>1427</v>
      </c>
      <c r="D516" s="144">
        <f>E508*D515</f>
        <v>97523.72</v>
      </c>
      <c r="E516" s="14"/>
      <c r="F516" s="144">
        <f>Valuation!O13</f>
        <v>61601.647659824943</v>
      </c>
      <c r="L516" s="22"/>
      <c r="M516" s="22"/>
      <c r="N516" s="22"/>
      <c r="S516" s="284" t="s">
        <v>537</v>
      </c>
      <c r="T516" s="22">
        <f>Valuation!O9</f>
        <v>5020.5321598249429</v>
      </c>
      <c r="V516" s="278"/>
      <c r="W516" s="285"/>
    </row>
    <row r="517" spans="3:23" ht="15.75">
      <c r="C517" s="8" t="s">
        <v>1426</v>
      </c>
      <c r="D517" s="196">
        <v>45000</v>
      </c>
      <c r="E517" s="14"/>
      <c r="L517" s="23"/>
      <c r="M517" s="23"/>
      <c r="S517" s="255" t="s">
        <v>1427</v>
      </c>
      <c r="T517" s="256">
        <f>T514+T515+T516</f>
        <v>61601.647659824943</v>
      </c>
      <c r="U517" s="239"/>
      <c r="V517" s="274"/>
      <c r="W517" s="286"/>
    </row>
    <row r="518" spans="3:23" ht="15.75">
      <c r="C518" s="8" t="s">
        <v>301</v>
      </c>
      <c r="D518" s="144">
        <f>D516-D517</f>
        <v>52523.72</v>
      </c>
      <c r="E518" s="14"/>
      <c r="S518" s="284" t="s">
        <v>2721</v>
      </c>
      <c r="T518" s="22">
        <f>L508</f>
        <v>22041.006610891498</v>
      </c>
      <c r="U518" s="22">
        <v>20209</v>
      </c>
      <c r="V518" s="279">
        <f>T518+U518</f>
        <v>42250.006610891498</v>
      </c>
      <c r="W518" s="287" t="s">
        <v>2731</v>
      </c>
    </row>
    <row r="519" spans="3:23" ht="15.75">
      <c r="C519" s="8" t="s">
        <v>2525</v>
      </c>
      <c r="D519" s="197">
        <v>0.84</v>
      </c>
      <c r="E519" s="14"/>
      <c r="S519" s="255" t="s">
        <v>2747</v>
      </c>
      <c r="T519" s="259">
        <f>T517/T518</f>
        <v>2.7948654409179601</v>
      </c>
      <c r="U519" s="259">
        <v>5.7</v>
      </c>
      <c r="V519" s="274"/>
      <c r="W519" s="258" t="s">
        <v>2744</v>
      </c>
    </row>
    <row r="520" spans="3:23" ht="15.75">
      <c r="C520" s="8" t="s">
        <v>2526</v>
      </c>
      <c r="D520" s="144">
        <f>D518*D519</f>
        <v>44119.924800000001</v>
      </c>
      <c r="E520" s="14"/>
      <c r="S520" s="284" t="s">
        <v>1427</v>
      </c>
      <c r="T520" s="22">
        <f>T518*T519</f>
        <v>61601.647659824943</v>
      </c>
      <c r="U520" s="22">
        <f>U518*U519</f>
        <v>115191.3</v>
      </c>
      <c r="V520" s="279">
        <f>T520+U520</f>
        <v>176792.94765982495</v>
      </c>
      <c r="W520" s="288"/>
    </row>
    <row r="521" spans="3:23" ht="15.75">
      <c r="C521" s="8"/>
      <c r="D521" s="14"/>
      <c r="E521" s="14"/>
      <c r="S521" s="255" t="s">
        <v>1426</v>
      </c>
      <c r="T521" s="256">
        <f>Valuation!O11</f>
        <v>12842.623</v>
      </c>
      <c r="U521" s="256">
        <v>42000</v>
      </c>
      <c r="V521" s="275">
        <f>T521+U521</f>
        <v>54842.623</v>
      </c>
      <c r="W521" s="258" t="s">
        <v>2743</v>
      </c>
    </row>
    <row r="522" spans="3:23" ht="15.75">
      <c r="C522" s="8" t="s">
        <v>2704</v>
      </c>
      <c r="D522" s="196">
        <v>14800</v>
      </c>
      <c r="E522" s="14"/>
      <c r="S522" s="289" t="s">
        <v>537</v>
      </c>
      <c r="T522" s="111">
        <f>Valuation!O9</f>
        <v>5020.5321598249429</v>
      </c>
      <c r="U522" s="111">
        <f>0.16*(U520-U521)</f>
        <v>11710.608</v>
      </c>
      <c r="V522" s="280"/>
      <c r="W522" s="288"/>
    </row>
    <row r="523" spans="3:23" ht="15.75">
      <c r="C523" s="8" t="s">
        <v>2705</v>
      </c>
      <c r="D523" s="164">
        <f>(D516-D522)/E508</f>
        <v>4.1563860361356193</v>
      </c>
      <c r="E523" s="14"/>
      <c r="F523" s="23">
        <f>D523/F515-1</f>
        <v>-0.13844888689597112</v>
      </c>
      <c r="S523" s="255" t="s">
        <v>301</v>
      </c>
      <c r="T523" s="256">
        <f>T520-T521-T522</f>
        <v>43738.4925</v>
      </c>
      <c r="U523" s="256">
        <f>U520-U521-U522</f>
        <v>61480.692000000003</v>
      </c>
      <c r="V523" s="275">
        <f>T523+U523</f>
        <v>105219.1845</v>
      </c>
      <c r="W523" s="258"/>
    </row>
    <row r="524" spans="3:23" ht="15.75">
      <c r="C524" s="8"/>
      <c r="D524" s="14"/>
      <c r="E524" s="14"/>
      <c r="S524" s="284" t="s">
        <v>2709</v>
      </c>
      <c r="T524" s="23">
        <f>T523/V523</f>
        <v>0.41568933182522433</v>
      </c>
      <c r="U524" s="23">
        <f>U523/V523</f>
        <v>0.58431066817477573</v>
      </c>
      <c r="V524" s="278"/>
      <c r="W524" s="288" t="s">
        <v>2724</v>
      </c>
    </row>
    <row r="525" spans="3:23" ht="15.75">
      <c r="C525" s="8" t="s">
        <v>2520</v>
      </c>
      <c r="D525" s="196">
        <v>17.2</v>
      </c>
      <c r="E525" s="14"/>
      <c r="S525" s="255" t="s">
        <v>816</v>
      </c>
      <c r="T525" s="256">
        <v>14800</v>
      </c>
      <c r="U525" s="256">
        <f>-T525</f>
        <v>-14800</v>
      </c>
      <c r="V525" s="274"/>
      <c r="W525" s="258" t="s">
        <v>2725</v>
      </c>
    </row>
    <row r="526" spans="3:23" ht="15.75">
      <c r="C526" s="8" t="s">
        <v>2521</v>
      </c>
      <c r="D526" s="144">
        <f>D516/D525</f>
        <v>5669.9837209302332</v>
      </c>
      <c r="E526" s="14"/>
      <c r="S526" s="284"/>
      <c r="V526" s="278"/>
      <c r="W526" s="288"/>
    </row>
    <row r="527" spans="3:23" ht="15.75">
      <c r="C527" s="8"/>
      <c r="D527" s="14"/>
      <c r="E527" s="14"/>
      <c r="S527" s="255" t="s">
        <v>2722</v>
      </c>
      <c r="T527" s="256">
        <f>T520+T525</f>
        <v>76401.647659824943</v>
      </c>
      <c r="U527" s="256">
        <f>U520+U525</f>
        <v>100391.3</v>
      </c>
      <c r="V527" s="274"/>
      <c r="W527" s="258"/>
    </row>
    <row r="528" spans="3:23" ht="15.75">
      <c r="C528" s="8" t="s">
        <v>2527</v>
      </c>
      <c r="D528" s="197">
        <v>1</v>
      </c>
      <c r="E528" s="14"/>
      <c r="S528" s="284" t="s">
        <v>2720</v>
      </c>
      <c r="T528" s="257">
        <f>T527/T518</f>
        <v>3.466341125367264</v>
      </c>
      <c r="U528" s="257">
        <f>U527/U518</f>
        <v>4.9676530258795584</v>
      </c>
      <c r="V528" s="278"/>
      <c r="W528" s="288"/>
    </row>
    <row r="529" spans="3:23" ht="15.75">
      <c r="C529" s="8" t="s">
        <v>2522</v>
      </c>
      <c r="D529" s="144">
        <f>D518*D528</f>
        <v>52523.72</v>
      </c>
      <c r="E529" s="14"/>
      <c r="S529" s="255" t="s">
        <v>2726</v>
      </c>
      <c r="T529" s="260">
        <f>T521/T518</f>
        <v>0.58266953169252511</v>
      </c>
      <c r="U529" s="260">
        <f>U521/U518</f>
        <v>2.0782819535850363</v>
      </c>
      <c r="V529" s="276">
        <f>V521/V518</f>
        <v>1.2980500454137749</v>
      </c>
      <c r="W529" s="258" t="s">
        <v>2727</v>
      </c>
    </row>
    <row r="530" spans="3:23" ht="16.5" thickBot="1">
      <c r="C530" s="8" t="s">
        <v>815</v>
      </c>
      <c r="D530" s="144">
        <f>D516-D529</f>
        <v>45000</v>
      </c>
      <c r="E530" s="14"/>
      <c r="S530" s="284"/>
      <c r="V530" s="278"/>
      <c r="W530" s="288"/>
    </row>
    <row r="531" spans="3:23" ht="16.5" thickBot="1">
      <c r="C531" s="8" t="s">
        <v>2537</v>
      </c>
      <c r="D531" s="144">
        <f>D530/D525</f>
        <v>2616.2790697674418</v>
      </c>
      <c r="E531" s="14"/>
      <c r="S531" s="255" t="s">
        <v>2728</v>
      </c>
      <c r="T531" s="256">
        <f>T524*V531</f>
        <v>22862.913250387337</v>
      </c>
      <c r="U531" s="256">
        <f>V531-T531</f>
        <v>32137.086749612663</v>
      </c>
      <c r="V531" s="277">
        <v>55000</v>
      </c>
      <c r="W531" s="258" t="s">
        <v>2729</v>
      </c>
    </row>
    <row r="532" spans="3:23" ht="15.75">
      <c r="C532" s="8"/>
      <c r="D532" s="14"/>
      <c r="E532" s="14"/>
      <c r="S532" s="284" t="s">
        <v>2711</v>
      </c>
      <c r="T532" s="27">
        <f>T531/Valuation!O3</f>
        <v>26.658636572116752</v>
      </c>
      <c r="V532" s="278"/>
      <c r="W532" s="288"/>
    </row>
    <row r="533" spans="3:23" ht="16.5" thickBot="1">
      <c r="C533" s="8" t="s">
        <v>1429</v>
      </c>
      <c r="D533" s="197">
        <v>0.08</v>
      </c>
      <c r="E533" s="14"/>
      <c r="S533" s="267" t="s">
        <v>2712</v>
      </c>
      <c r="T533" s="268"/>
      <c r="U533" s="269">
        <f>U531/D525/572</f>
        <v>3.266495238007467</v>
      </c>
      <c r="V533" s="290"/>
      <c r="W533" s="270"/>
    </row>
    <row r="534" spans="3:23" ht="15.75">
      <c r="C534" s="8" t="s">
        <v>2534</v>
      </c>
      <c r="D534" s="14"/>
      <c r="E534" s="144"/>
      <c r="F534" s="141">
        <f>D533*0.72*D530</f>
        <v>2592</v>
      </c>
      <c r="G534" s="22">
        <f>F534</f>
        <v>2592</v>
      </c>
      <c r="H534" s="22">
        <f>G534</f>
        <v>2592</v>
      </c>
      <c r="I534" s="22">
        <f>H534</f>
        <v>2592</v>
      </c>
    </row>
    <row r="535" spans="3:23" ht="15.75">
      <c r="C535" s="8" t="s">
        <v>2535</v>
      </c>
      <c r="D535" s="14"/>
      <c r="E535" s="144"/>
      <c r="F535" s="141">
        <f>F534</f>
        <v>2592</v>
      </c>
      <c r="G535" s="22">
        <f>F535+G534</f>
        <v>5184</v>
      </c>
      <c r="H535" s="22">
        <f>G535+H534</f>
        <v>7776</v>
      </c>
      <c r="I535" s="22">
        <f>H535+I534</f>
        <v>10368</v>
      </c>
      <c r="U535" s="20" t="s">
        <v>2702</v>
      </c>
      <c r="V535" s="20" t="s">
        <v>2706</v>
      </c>
    </row>
    <row r="536" spans="3:23" ht="15.75">
      <c r="C536" s="8"/>
      <c r="D536" s="14"/>
      <c r="E536" s="14"/>
      <c r="U536">
        <v>40</v>
      </c>
      <c r="V536">
        <v>25</v>
      </c>
    </row>
    <row r="537" spans="3:23" ht="15.75">
      <c r="C537" s="8" t="s">
        <v>2030</v>
      </c>
      <c r="D537" s="164">
        <f>Valuation!C3</f>
        <v>51</v>
      </c>
      <c r="E537" s="14"/>
      <c r="U537">
        <v>20</v>
      </c>
      <c r="V537">
        <v>20</v>
      </c>
    </row>
    <row r="538" spans="3:23" ht="15.75">
      <c r="C538" s="8" t="s">
        <v>2523</v>
      </c>
      <c r="D538" s="52">
        <f>D529/D537</f>
        <v>1029.8768627450982</v>
      </c>
      <c r="E538" s="14"/>
      <c r="U538">
        <v>335</v>
      </c>
    </row>
    <row r="539" spans="3:23" ht="15.75">
      <c r="C539" s="8" t="s">
        <v>2524</v>
      </c>
      <c r="D539" s="148">
        <f>D538/Valuation!N3</f>
        <v>1.2010561960277584</v>
      </c>
      <c r="E539" s="14"/>
      <c r="U539" s="20" t="s">
        <v>2748</v>
      </c>
    </row>
    <row r="540" spans="3:23" ht="15.75">
      <c r="C540" s="8"/>
      <c r="D540" s="14"/>
      <c r="E540" s="14"/>
      <c r="T540" t="s">
        <v>2749</v>
      </c>
      <c r="U540">
        <v>150</v>
      </c>
    </row>
    <row r="541" spans="3:23" ht="15.75">
      <c r="C541" s="15" t="s">
        <v>2541</v>
      </c>
      <c r="D541" s="14"/>
      <c r="E541" s="14"/>
      <c r="U541" t="s">
        <v>2750</v>
      </c>
    </row>
    <row r="542" spans="3:23" ht="15.75">
      <c r="C542" s="8" t="s">
        <v>350</v>
      </c>
      <c r="D542" s="144">
        <f>D538*D519</f>
        <v>865.09656470588243</v>
      </c>
      <c r="E542" s="148">
        <f>D542/D$546</f>
        <v>0.45833067466634436</v>
      </c>
    </row>
    <row r="543" spans="3:23" ht="15.75">
      <c r="C543" s="8" t="s">
        <v>2529</v>
      </c>
      <c r="D543" s="144">
        <f>D538-D542</f>
        <v>164.78029803921572</v>
      </c>
      <c r="E543" s="148">
        <f>D543/D$546</f>
        <v>8.7301080888827501E-2</v>
      </c>
      <c r="S543" s="295" t="str">
        <f>S512</f>
        <v>MXN million</v>
      </c>
      <c r="T543" s="151" t="str">
        <f>T512</f>
        <v>MEGA</v>
      </c>
      <c r="U543" s="151" t="str">
        <f>U512</f>
        <v>Izzy (TV)</v>
      </c>
      <c r="V543" s="151" t="str">
        <f>V512</f>
        <v>New Co</v>
      </c>
      <c r="W543" s="151" t="str">
        <f>W512</f>
        <v>Notes</v>
      </c>
    </row>
    <row r="544" spans="3:23" ht="15.75">
      <c r="C544" s="8" t="s">
        <v>2528</v>
      </c>
      <c r="D544" s="144">
        <f>0.55*Valuation!O3</f>
        <v>471.68962500000004</v>
      </c>
      <c r="E544" s="148">
        <f>D544/D$546</f>
        <v>0.24990253444465554</v>
      </c>
      <c r="S544" s="239" t="str">
        <f>S519</f>
        <v>EV/EBITDA multiple</v>
      </c>
      <c r="T544" s="303">
        <f>U544*1.5</f>
        <v>7.5</v>
      </c>
      <c r="U544" s="303">
        <v>5</v>
      </c>
      <c r="V544" s="239"/>
      <c r="W544" s="304" t="s">
        <v>3051</v>
      </c>
    </row>
    <row r="545" spans="3:27" ht="15.75">
      <c r="C545" s="7" t="s">
        <v>2532</v>
      </c>
      <c r="D545" s="147">
        <f>Valuation!O3-D544</f>
        <v>385.92787499999991</v>
      </c>
      <c r="E545" s="161">
        <f>D545/D$546</f>
        <v>0.20446571000017266</v>
      </c>
      <c r="S545" t="s">
        <v>2844</v>
      </c>
      <c r="T545" s="22">
        <f>Quarts!BJ133+Quarts!BK133+Quarts!BL133+Quarts!BM133</f>
        <v>12977.221</v>
      </c>
      <c r="U545" s="22">
        <v>19179</v>
      </c>
      <c r="V545" s="22">
        <f>T545+U545</f>
        <v>32156.220999999998</v>
      </c>
      <c r="W545" s="20" t="s">
        <v>2868</v>
      </c>
    </row>
    <row r="546" spans="3:27" ht="15.75">
      <c r="C546" s="8" t="s">
        <v>2530</v>
      </c>
      <c r="D546" s="144">
        <f>SUM(D542:D545)</f>
        <v>1887.494362745098</v>
      </c>
      <c r="E546" s="148"/>
      <c r="S546" s="239" t="s">
        <v>1427</v>
      </c>
      <c r="T546" s="256">
        <f>T544*T545</f>
        <v>97329.157500000001</v>
      </c>
      <c r="U546" s="256">
        <f>U544*U545</f>
        <v>95895</v>
      </c>
      <c r="V546" s="239"/>
      <c r="W546" s="304" t="s">
        <v>3057</v>
      </c>
    </row>
    <row r="547" spans="3:27">
      <c r="S547" t="s">
        <v>44</v>
      </c>
      <c r="T547" s="22">
        <f>Quarts!BM170</f>
        <v>18911.531999999999</v>
      </c>
      <c r="U547" s="22">
        <v>25000</v>
      </c>
      <c r="V547" s="22">
        <f>T547+U547</f>
        <v>43911.531999999999</v>
      </c>
      <c r="W547" s="20" t="s">
        <v>2867</v>
      </c>
    </row>
    <row r="548" spans="3:27">
      <c r="C548" s="205" t="s">
        <v>2538</v>
      </c>
      <c r="D548" s="225"/>
      <c r="E548" s="225"/>
      <c r="F548" s="203"/>
      <c r="G548" s="203"/>
      <c r="H548" s="203"/>
      <c r="I548" s="203"/>
      <c r="J548" s="203"/>
      <c r="K548" s="203"/>
      <c r="L548" s="203"/>
      <c r="M548" s="203"/>
      <c r="S548" s="248" t="s">
        <v>2825</v>
      </c>
      <c r="T548" s="306"/>
      <c r="U548" s="306"/>
      <c r="V548" s="306"/>
      <c r="W548" s="239"/>
    </row>
    <row r="549" spans="3:27">
      <c r="C549" s="317" t="s">
        <v>195</v>
      </c>
      <c r="D549" s="520"/>
      <c r="E549" s="520"/>
      <c r="F549" s="317">
        <f t="shared" ref="F549:M549" si="47">F506</f>
        <v>2023</v>
      </c>
      <c r="G549" s="317">
        <f t="shared" si="47"/>
        <v>2024</v>
      </c>
      <c r="H549" s="317">
        <f t="shared" si="47"/>
        <v>2025</v>
      </c>
      <c r="I549" s="317">
        <f t="shared" si="47"/>
        <v>2026</v>
      </c>
      <c r="J549" s="317">
        <f t="shared" si="47"/>
        <v>2027</v>
      </c>
      <c r="K549" s="317">
        <f t="shared" si="47"/>
        <v>2028</v>
      </c>
      <c r="L549" s="317">
        <f t="shared" si="47"/>
        <v>2029</v>
      </c>
      <c r="M549" s="317">
        <f t="shared" si="47"/>
        <v>2030</v>
      </c>
      <c r="S549" t="s">
        <v>2871</v>
      </c>
      <c r="T549" s="22">
        <f>T546-T547-T548</f>
        <v>78417.625499999995</v>
      </c>
      <c r="U549" s="22">
        <f>U546-U547-U548</f>
        <v>70895</v>
      </c>
      <c r="V549" s="22">
        <f>T549+U549</f>
        <v>149312.62549999999</v>
      </c>
    </row>
    <row r="550" spans="3:27">
      <c r="C550" s="521" t="s">
        <v>3046</v>
      </c>
      <c r="D550" s="522"/>
      <c r="E550" s="522"/>
      <c r="F550" s="523">
        <f>(F507-F508)+(Master!W7-Master!W12)</f>
        <v>46942.385774499999</v>
      </c>
      <c r="G550" s="523">
        <f>(G507-G508)+(Master!X7-Master!X12)</f>
        <v>49234.912159944521</v>
      </c>
      <c r="H550" s="523">
        <f>(H507-H508)+(Master!Y7-Master!Y12)</f>
        <v>51356.424621158978</v>
      </c>
      <c r="I550" s="523">
        <f>(I507-I508)+(Master!Z7-Master!Z12)</f>
        <v>53388.770798317317</v>
      </c>
      <c r="J550" s="523">
        <f>(J507-J508)+(Master!AA7-Master!AA12)</f>
        <v>55618.619461233204</v>
      </c>
      <c r="K550" s="523">
        <f>(K507-K508)+(Master!AB7-Master!AB12)</f>
        <v>57828.671663182751</v>
      </c>
      <c r="L550" s="523">
        <f>(L507-L508)+(Master!AC7-Master!AC12)</f>
        <v>60146.368321932663</v>
      </c>
      <c r="M550" s="523">
        <f>(M507-M508)+(Master!AD7-Master!AD12)</f>
        <v>62534.345523989403</v>
      </c>
      <c r="S550" s="239" t="s">
        <v>2826</v>
      </c>
      <c r="T550" s="517">
        <f>T549/V549</f>
        <v>0.52519085534397758</v>
      </c>
      <c r="U550" s="517">
        <f>U549/V549</f>
        <v>0.47480914465602242</v>
      </c>
      <c r="V550" s="239"/>
      <c r="W550" s="304"/>
    </row>
    <row r="551" spans="3:27">
      <c r="C551" s="358" t="s">
        <v>3047</v>
      </c>
      <c r="D551" s="520"/>
      <c r="E551" s="520"/>
      <c r="F551" s="474">
        <f>F509+Master!W44</f>
        <v>24005.044825000001</v>
      </c>
      <c r="G551" s="474">
        <f>G509+Master!X44</f>
        <v>21998.909190078899</v>
      </c>
      <c r="H551" s="474">
        <f>H509+Master!Y44</f>
        <v>21445.106695083712</v>
      </c>
      <c r="I551" s="474">
        <f>I509+Master!Z44</f>
        <v>21357.179696584913</v>
      </c>
      <c r="J551" s="474">
        <f>J509+Master!AA44</f>
        <v>21447.344252470171</v>
      </c>
      <c r="K551" s="474">
        <f>K509+Master!AB44</f>
        <v>22314.699233379419</v>
      </c>
      <c r="L551" s="474">
        <f>L509+Master!AC44</f>
        <v>23216.803131344845</v>
      </c>
      <c r="M551" s="474">
        <f>M509+Master!AD44</f>
        <v>24144.525775072278</v>
      </c>
      <c r="S551" t="s">
        <v>1434</v>
      </c>
      <c r="T551" s="302">
        <f>T547/T545</f>
        <v>1.4572867334231265</v>
      </c>
      <c r="U551" s="302">
        <f>U547/U545</f>
        <v>1.3035090463527816</v>
      </c>
      <c r="V551" s="302">
        <f>V547/V545</f>
        <v>1.3655687961592253</v>
      </c>
      <c r="AA551" t="s">
        <v>2713</v>
      </c>
    </row>
    <row r="552" spans="3:27">
      <c r="C552" s="521" t="s">
        <v>3048</v>
      </c>
      <c r="D552" s="522"/>
      <c r="E552" s="522"/>
      <c r="F552" s="523">
        <f t="shared" ref="F552:M552" si="48">F550+F551</f>
        <v>70947.430599500003</v>
      </c>
      <c r="G552" s="523">
        <f t="shared" si="48"/>
        <v>71233.821350023412</v>
      </c>
      <c r="H552" s="523">
        <f t="shared" si="48"/>
        <v>72801.53131624269</v>
      </c>
      <c r="I552" s="523">
        <f t="shared" si="48"/>
        <v>74745.950494902238</v>
      </c>
      <c r="J552" s="523">
        <f t="shared" si="48"/>
        <v>77065.963713703371</v>
      </c>
      <c r="K552" s="523">
        <f t="shared" si="48"/>
        <v>80143.370896562177</v>
      </c>
      <c r="L552" s="523">
        <f t="shared" si="48"/>
        <v>83363.171453277508</v>
      </c>
      <c r="M552" s="523">
        <f t="shared" si="48"/>
        <v>86678.871299061677</v>
      </c>
      <c r="S552" s="239"/>
      <c r="T552" s="239"/>
      <c r="U552" s="239"/>
      <c r="V552" s="239"/>
      <c r="W552" s="239"/>
      <c r="AA552">
        <f>F598-F604</f>
        <v>6228.1284999999998</v>
      </c>
    </row>
    <row r="553" spans="3:27">
      <c r="C553" s="203"/>
      <c r="D553" s="225"/>
      <c r="E553" s="225"/>
      <c r="F553" s="337"/>
      <c r="G553" s="337"/>
      <c r="H553" s="337"/>
      <c r="I553" s="337"/>
      <c r="J553" s="337"/>
      <c r="K553" s="337"/>
      <c r="L553" s="337"/>
      <c r="M553" s="337"/>
      <c r="S553" t="s">
        <v>2704</v>
      </c>
      <c r="V553" s="22">
        <v>15000</v>
      </c>
      <c r="W553" s="20" t="s">
        <v>3049</v>
      </c>
    </row>
    <row r="554" spans="3:27">
      <c r="C554" s="521" t="s">
        <v>3044</v>
      </c>
      <c r="D554" s="522"/>
      <c r="E554" s="522"/>
      <c r="F554" s="523"/>
      <c r="G554" s="523"/>
      <c r="H554" s="523">
        <f>'PF model'!G13</f>
        <v>1150</v>
      </c>
      <c r="I554" s="523">
        <f>'PF model'!H13</f>
        <v>2300</v>
      </c>
      <c r="J554" s="523">
        <f>I554</f>
        <v>2300</v>
      </c>
      <c r="K554" s="523">
        <f>J554</f>
        <v>2300</v>
      </c>
      <c r="L554" s="523">
        <f>K554</f>
        <v>2300</v>
      </c>
      <c r="M554" s="523">
        <f>L554</f>
        <v>2300</v>
      </c>
      <c r="S554" s="248" t="s">
        <v>2828</v>
      </c>
      <c r="T554" s="248"/>
      <c r="U554" s="248"/>
      <c r="V554" s="306">
        <f>V547+V553</f>
        <v>58911.531999999999</v>
      </c>
      <c r="W554" s="239"/>
    </row>
    <row r="555" spans="3:27">
      <c r="C555" s="358" t="s">
        <v>3045</v>
      </c>
      <c r="D555" s="520"/>
      <c r="E555" s="520"/>
      <c r="F555" s="474"/>
      <c r="G555" s="474">
        <f>-('PF model'!F20-G551)</f>
        <v>1451.8478475788979</v>
      </c>
      <c r="H555" s="474">
        <f>-('PF model'!G20-H551)</f>
        <v>1974.7113669307109</v>
      </c>
      <c r="I555" s="474">
        <f>-('PF model'!H20-I551)</f>
        <v>2174.6076037176535</v>
      </c>
      <c r="J555" s="474">
        <f>-('PF model'!I20-J551)</f>
        <v>1689.2949968168941</v>
      </c>
      <c r="K555" s="474">
        <f>-('PF model'!J20-K551)</f>
        <v>1963.9085000565428</v>
      </c>
      <c r="L555" s="474">
        <f>-('PF model'!K20-L551)</f>
        <v>3208.2756967187634</v>
      </c>
      <c r="M555" s="474">
        <f>-('PF model'!L20-M551)</f>
        <v>4517.113148724784</v>
      </c>
      <c r="S555" t="s">
        <v>2854</v>
      </c>
      <c r="V555" s="22">
        <f>V549-V554</f>
        <v>90401.093499999988</v>
      </c>
    </row>
    <row r="556" spans="3:27">
      <c r="C556" s="521" t="s">
        <v>21</v>
      </c>
      <c r="D556" s="522"/>
      <c r="E556" s="522"/>
      <c r="F556" s="523"/>
      <c r="G556" s="523">
        <f t="shared" ref="G556:J556" si="49">G554+G555</f>
        <v>1451.8478475788979</v>
      </c>
      <c r="H556" s="523">
        <f t="shared" si="49"/>
        <v>3124.7113669307109</v>
      </c>
      <c r="I556" s="523">
        <f t="shared" si="49"/>
        <v>4474.6076037176535</v>
      </c>
      <c r="J556" s="523">
        <f t="shared" si="49"/>
        <v>3989.2949968168941</v>
      </c>
      <c r="K556" s="523">
        <f>K554+K555</f>
        <v>4263.9085000565428</v>
      </c>
      <c r="L556" s="523">
        <f>L554+L555</f>
        <v>5508.2756967187634</v>
      </c>
      <c r="M556" s="523">
        <f>M554+M555</f>
        <v>6817.113148724784</v>
      </c>
      <c r="S556" s="248" t="s">
        <v>2827</v>
      </c>
      <c r="T556" s="248"/>
      <c r="U556" s="248"/>
      <c r="V556" s="307">
        <f>V554/V545</f>
        <v>1.8320415200529938</v>
      </c>
      <c r="W556" s="308" t="s">
        <v>3050</v>
      </c>
    </row>
    <row r="557" spans="3:27">
      <c r="C557" s="203" t="s">
        <v>183</v>
      </c>
      <c r="D557" s="225"/>
      <c r="E557" s="225"/>
      <c r="F557" s="392"/>
      <c r="G557" s="337">
        <f>G556/G552</f>
        <v>2.0381439884362189E-2</v>
      </c>
      <c r="H557" s="337">
        <f t="shared" ref="H557:M557" si="50">H556/H552</f>
        <v>4.2920956612262348E-2</v>
      </c>
      <c r="I557" s="337">
        <f t="shared" si="50"/>
        <v>5.986421437001898E-2</v>
      </c>
      <c r="J557" s="337">
        <f t="shared" si="50"/>
        <v>5.1764680600594935E-2</v>
      </c>
      <c r="K557" s="337">
        <f t="shared" si="50"/>
        <v>5.320350831711082E-2</v>
      </c>
      <c r="L557" s="337">
        <f t="shared" si="50"/>
        <v>6.6075649482769283E-2</v>
      </c>
      <c r="M557" s="337">
        <f t="shared" si="50"/>
        <v>7.8647922458567832E-2</v>
      </c>
      <c r="V557" s="22"/>
    </row>
    <row r="558" spans="3:27">
      <c r="C558" s="524" t="s">
        <v>2715</v>
      </c>
      <c r="D558" s="525"/>
      <c r="E558" s="525"/>
      <c r="F558" s="526"/>
      <c r="G558" s="526"/>
      <c r="H558" s="526">
        <v>1500</v>
      </c>
      <c r="I558" s="526">
        <v>500</v>
      </c>
      <c r="J558" s="526"/>
      <c r="K558" s="526"/>
      <c r="L558" s="526"/>
      <c r="M558" s="526"/>
    </row>
    <row r="559" spans="3:27">
      <c r="C559" s="203" t="s">
        <v>2716</v>
      </c>
      <c r="D559" s="225"/>
      <c r="E559" s="225"/>
      <c r="F559" s="392"/>
      <c r="G559" s="392">
        <f t="shared" ref="G559:M559" si="51">G554+G555-G558</f>
        <v>1451.8478475788979</v>
      </c>
      <c r="H559" s="392">
        <f t="shared" si="51"/>
        <v>1624.7113669307109</v>
      </c>
      <c r="I559" s="392">
        <f t="shared" si="51"/>
        <v>3974.6076037176535</v>
      </c>
      <c r="J559" s="392">
        <f t="shared" si="51"/>
        <v>3989.2949968168941</v>
      </c>
      <c r="K559" s="392">
        <f t="shared" si="51"/>
        <v>4263.9085000565428</v>
      </c>
      <c r="L559" s="392">
        <f t="shared" si="51"/>
        <v>5508.2756967187634</v>
      </c>
      <c r="M559" s="392">
        <f t="shared" si="51"/>
        <v>6817.113148724784</v>
      </c>
      <c r="W559" s="20"/>
    </row>
    <row r="560" spans="3:27">
      <c r="C560" s="521" t="s">
        <v>2539</v>
      </c>
      <c r="D560" s="522"/>
      <c r="E560" s="522"/>
      <c r="F560" s="523"/>
      <c r="G560" s="523">
        <f t="shared" ref="G560:M560" si="52">G559*0.72</f>
        <v>1045.3304502568064</v>
      </c>
      <c r="H560" s="523">
        <f t="shared" si="52"/>
        <v>1169.7921841901118</v>
      </c>
      <c r="I560" s="523">
        <f t="shared" si="52"/>
        <v>2861.7174746767105</v>
      </c>
      <c r="J560" s="523">
        <f t="shared" si="52"/>
        <v>2872.2923977081637</v>
      </c>
      <c r="K560" s="523">
        <f t="shared" si="52"/>
        <v>3070.0141200407106</v>
      </c>
      <c r="L560" s="523">
        <f t="shared" si="52"/>
        <v>3965.9585016375095</v>
      </c>
      <c r="M560" s="523">
        <f t="shared" si="52"/>
        <v>4908.3214670818443</v>
      </c>
    </row>
    <row r="561" spans="3:13">
      <c r="C561" s="203" t="s">
        <v>131</v>
      </c>
      <c r="D561" s="527">
        <f>NPV(D568,G560:M560)</f>
        <v>11851.158384335995</v>
      </c>
      <c r="E561" s="394"/>
      <c r="F561" s="392"/>
      <c r="G561" s="392"/>
      <c r="H561" s="392"/>
      <c r="I561" s="392"/>
      <c r="J561" s="392"/>
      <c r="K561" s="392"/>
      <c r="L561" s="392"/>
      <c r="M561" s="392"/>
    </row>
    <row r="562" spans="3:13">
      <c r="C562" s="521" t="s">
        <v>2718</v>
      </c>
      <c r="D562" s="528">
        <f>D570</f>
        <v>10.330578512396695</v>
      </c>
      <c r="E562" s="529"/>
      <c r="F562" s="523"/>
      <c r="G562" s="523"/>
      <c r="H562" s="523"/>
      <c r="I562" s="523"/>
      <c r="J562" s="523"/>
      <c r="K562" s="523"/>
      <c r="L562" s="523"/>
      <c r="M562" s="523"/>
    </row>
    <row r="563" spans="3:13">
      <c r="C563" s="203" t="s">
        <v>350</v>
      </c>
      <c r="D563" s="527">
        <f>D562*M560</f>
        <v>50705.800279771123</v>
      </c>
      <c r="E563" s="394"/>
      <c r="F563" s="392"/>
      <c r="G563" s="392"/>
      <c r="H563" s="392"/>
      <c r="I563" s="392"/>
      <c r="J563" s="392"/>
      <c r="K563" s="392"/>
      <c r="L563" s="392"/>
      <c r="M563" s="392"/>
    </row>
    <row r="564" spans="3:13">
      <c r="C564" s="521" t="s">
        <v>2719</v>
      </c>
      <c r="D564" s="530">
        <f>D563/(1+D568)^7</f>
        <v>23400.751490157279</v>
      </c>
      <c r="E564" s="529"/>
      <c r="F564" s="523"/>
      <c r="G564" s="523"/>
      <c r="H564" s="523"/>
      <c r="I564" s="523"/>
      <c r="J564" s="523"/>
      <c r="K564" s="523"/>
      <c r="L564" s="523"/>
      <c r="M564" s="523"/>
    </row>
    <row r="565" spans="3:13" ht="15.75" thickBot="1">
      <c r="C565" s="203" t="s">
        <v>2742</v>
      </c>
      <c r="D565" s="527">
        <f>D561+D564</f>
        <v>35251.909874493271</v>
      </c>
      <c r="E565" s="394"/>
      <c r="F565" s="392"/>
      <c r="G565" s="392"/>
      <c r="H565" s="392"/>
      <c r="I565" s="392"/>
      <c r="J565" s="392"/>
      <c r="K565" s="392"/>
      <c r="L565" s="392"/>
      <c r="M565" s="392"/>
    </row>
    <row r="566" spans="3:13" ht="15.75" thickBot="1">
      <c r="C566" s="531" t="s">
        <v>2741</v>
      </c>
      <c r="D566" s="532">
        <f>D565/D525</f>
        <v>2049.5296438658879</v>
      </c>
      <c r="E566" s="529"/>
      <c r="F566" s="523"/>
      <c r="G566" s="523"/>
      <c r="H566" s="523"/>
      <c r="I566" s="523"/>
      <c r="J566" s="523"/>
      <c r="K566" s="523"/>
      <c r="L566" s="523"/>
      <c r="M566" s="523"/>
    </row>
    <row r="567" spans="3:13" ht="15.75">
      <c r="C567" s="15"/>
      <c r="D567" s="489"/>
      <c r="E567" s="121"/>
      <c r="F567" s="6"/>
      <c r="G567" s="6"/>
      <c r="H567" s="6"/>
      <c r="I567" s="6"/>
    </row>
    <row r="568" spans="3:13" ht="15.75">
      <c r="C568" s="8" t="s">
        <v>292</v>
      </c>
      <c r="D568" s="148">
        <f>Valuation!C109</f>
        <v>0.1168</v>
      </c>
      <c r="E568" s="121"/>
      <c r="F568" s="6"/>
      <c r="G568" s="6"/>
      <c r="H568" s="6"/>
      <c r="I568" s="6"/>
    </row>
    <row r="569" spans="3:13" ht="15.75">
      <c r="C569" s="8" t="s">
        <v>3055</v>
      </c>
      <c r="D569" s="165">
        <v>0.02</v>
      </c>
      <c r="E569" s="121"/>
      <c r="F569" s="6"/>
      <c r="G569" s="6"/>
      <c r="H569" s="6"/>
      <c r="I569" s="6"/>
    </row>
    <row r="570" spans="3:13" ht="15.75">
      <c r="C570" s="8" t="s">
        <v>2866</v>
      </c>
      <c r="D570" s="144">
        <f>1/(D568-D569)</f>
        <v>10.330578512396695</v>
      </c>
      <c r="E570" s="121"/>
      <c r="F570" s="6"/>
      <c r="G570" s="6"/>
      <c r="H570" s="6"/>
      <c r="I570" s="6"/>
    </row>
    <row r="571" spans="3:13" ht="15.75">
      <c r="C571" s="15"/>
      <c r="D571" s="489"/>
      <c r="E571" s="121"/>
      <c r="F571" s="6"/>
      <c r="G571" s="6"/>
      <c r="H571" s="6"/>
      <c r="I571" s="6"/>
    </row>
    <row r="572" spans="3:13" ht="15.75">
      <c r="C572" s="8" t="s">
        <v>3052</v>
      </c>
      <c r="D572" s="144">
        <f>Analysis!T550*D565</f>
        <v>18513.980699493932</v>
      </c>
      <c r="E572" s="121">
        <f>D572/Valuation!C90</f>
        <v>21.565486216366715</v>
      </c>
      <c r="F572" s="6">
        <f>D565-D572</f>
        <v>16737.929174999339</v>
      </c>
      <c r="G572" s="6">
        <v>17700</v>
      </c>
      <c r="H572" s="6"/>
      <c r="I572" s="6"/>
      <c r="K572">
        <v>2300</v>
      </c>
      <c r="L572" s="25">
        <v>6700</v>
      </c>
    </row>
    <row r="573" spans="3:13" ht="15.75">
      <c r="C573" s="7" t="s">
        <v>3053</v>
      </c>
      <c r="D573" s="147">
        <f>V553*0.9</f>
        <v>13500</v>
      </c>
      <c r="E573" s="128">
        <f>D573/Valuation!C90</f>
        <v>15.725092763487034</v>
      </c>
      <c r="F573" s="6"/>
      <c r="G573" s="6"/>
      <c r="H573" s="6"/>
      <c r="I573" s="6"/>
      <c r="K573">
        <f>K572*0.7</f>
        <v>1610</v>
      </c>
      <c r="L573">
        <f>L572*0.7</f>
        <v>4690</v>
      </c>
    </row>
    <row r="574" spans="3:13" ht="15.75">
      <c r="C574" s="8"/>
      <c r="D574" s="144">
        <f>SUM(D572:D573)</f>
        <v>32013.980699493932</v>
      </c>
      <c r="E574" s="121">
        <f>SUM(E572:E573)</f>
        <v>37.290578979853748</v>
      </c>
      <c r="F574" s="6"/>
      <c r="G574" s="6"/>
      <c r="H574" s="6"/>
      <c r="I574" s="6"/>
      <c r="K574">
        <v>17000</v>
      </c>
      <c r="L574">
        <v>38000</v>
      </c>
    </row>
    <row r="575" spans="3:13" ht="15.75">
      <c r="C575" s="8" t="s">
        <v>350</v>
      </c>
      <c r="D575" s="144"/>
      <c r="E575" s="121"/>
      <c r="F575" s="6"/>
      <c r="G575" s="6"/>
      <c r="H575" s="6"/>
      <c r="I575" s="6"/>
    </row>
    <row r="576" spans="3:13" ht="15.75">
      <c r="C576" s="8"/>
      <c r="D576" s="123"/>
      <c r="E576" s="123"/>
      <c r="F576" s="8"/>
      <c r="G576" s="8"/>
      <c r="H576" s="8"/>
      <c r="I576" s="8"/>
      <c r="K576">
        <f>K574/K573</f>
        <v>10.559006211180124</v>
      </c>
      <c r="L576">
        <f>L574/L573</f>
        <v>8.1023454157782524</v>
      </c>
    </row>
    <row r="577" spans="3:13" ht="15.75">
      <c r="C577" s="8" t="s">
        <v>3054</v>
      </c>
      <c r="D577" s="121">
        <f>(D565-D572)/18</f>
        <v>929.88495416663</v>
      </c>
      <c r="E577" s="131">
        <f>D577/573</f>
        <v>1.6228358711459512</v>
      </c>
      <c r="F577" s="8"/>
      <c r="G577" s="8"/>
      <c r="H577" s="8"/>
      <c r="I577" s="8"/>
    </row>
    <row r="578" spans="3:13" ht="15.75">
      <c r="C578" s="8"/>
      <c r="D578" s="123"/>
      <c r="E578" s="123"/>
      <c r="F578" s="8"/>
      <c r="G578" s="8"/>
      <c r="H578" s="8"/>
      <c r="I578" s="8"/>
    </row>
    <row r="579" spans="3:13" ht="15.75">
      <c r="C579" s="8" t="s">
        <v>2707</v>
      </c>
      <c r="D579" s="144">
        <f>D561*(E544+E545)</f>
        <v>5384.7900297283522</v>
      </c>
      <c r="E579" s="131">
        <f>D579/Valuation!O3</f>
        <v>6.2787781612762714</v>
      </c>
      <c r="F579" s="8"/>
      <c r="G579" s="8"/>
      <c r="H579" s="8"/>
      <c r="I579" s="8"/>
    </row>
    <row r="580" spans="3:13" ht="15.75">
      <c r="C580" s="8" t="s">
        <v>2708</v>
      </c>
      <c r="D580" s="144">
        <f>D566*(E542+E543)</f>
        <v>1118.2884576449105</v>
      </c>
      <c r="E580" s="131">
        <f>D580/572</f>
        <v>1.955049751127466</v>
      </c>
      <c r="F580" s="8"/>
      <c r="G580" s="8"/>
      <c r="H580" s="8"/>
      <c r="I580" s="8"/>
    </row>
    <row r="581" spans="3:13" ht="15.75">
      <c r="C581" s="8"/>
      <c r="D581" s="123"/>
      <c r="E581" s="123"/>
      <c r="F581" s="8"/>
      <c r="G581" s="8"/>
      <c r="H581" s="8"/>
      <c r="I581" s="8"/>
    </row>
    <row r="582" spans="3:13" ht="15.75">
      <c r="C582" s="15" t="s">
        <v>2533</v>
      </c>
      <c r="D582" s="123"/>
      <c r="E582" s="123"/>
      <c r="F582" s="8"/>
      <c r="G582" s="8"/>
      <c r="H582" s="8"/>
      <c r="I582" s="8"/>
    </row>
    <row r="583" spans="3:13" ht="15.75">
      <c r="C583" s="16" t="s">
        <v>195</v>
      </c>
      <c r="D583" s="120"/>
      <c r="E583" s="82">
        <f t="shared" ref="E583:M583" si="53">E506</f>
        <v>2022</v>
      </c>
      <c r="F583" s="82">
        <f t="shared" si="53"/>
        <v>2023</v>
      </c>
      <c r="G583" s="82">
        <f t="shared" si="53"/>
        <v>2024</v>
      </c>
      <c r="H583" s="82">
        <f t="shared" si="53"/>
        <v>2025</v>
      </c>
      <c r="I583" s="82">
        <f t="shared" si="53"/>
        <v>2026</v>
      </c>
      <c r="J583" s="82">
        <f t="shared" si="53"/>
        <v>2027</v>
      </c>
      <c r="K583" s="82">
        <f t="shared" si="53"/>
        <v>2028</v>
      </c>
      <c r="L583" s="82">
        <f t="shared" si="53"/>
        <v>2029</v>
      </c>
      <c r="M583" s="82">
        <f t="shared" si="53"/>
        <v>2030</v>
      </c>
    </row>
    <row r="584" spans="3:13" ht="15.75">
      <c r="C584" s="8" t="str">
        <f>C507</f>
        <v>Revenue</v>
      </c>
      <c r="D584" s="121"/>
      <c r="E584" s="144">
        <f>E507+Master!V7</f>
        <v>75567.35500000001</v>
      </c>
      <c r="F584" s="144">
        <f>F507+Master!X7</f>
        <v>82223.720565390598</v>
      </c>
      <c r="G584" s="144">
        <f>G507+Master!Y7</f>
        <v>86393.131911593606</v>
      </c>
      <c r="H584" s="144">
        <f>H507+Master!Z7</f>
        <v>90374.450029142521</v>
      </c>
      <c r="I584" s="144">
        <f>I507+Master!AA7</f>
        <v>94033.470612842619</v>
      </c>
      <c r="J584" s="144">
        <f>J507+Master!AB7</f>
        <v>97697.450801385843</v>
      </c>
      <c r="K584" s="144">
        <f>K507+Master!AC7</f>
        <v>101506.74571579095</v>
      </c>
      <c r="L584" s="144">
        <f>L507+Master!AD7</f>
        <v>105560.0667468452</v>
      </c>
      <c r="M584" s="144">
        <f>M507+Master!AE7</f>
        <v>60430.417847283883</v>
      </c>
    </row>
    <row r="585" spans="3:13" ht="15.75">
      <c r="C585" s="8" t="str">
        <f>C508</f>
        <v>EBITDA</v>
      </c>
      <c r="D585" s="121"/>
      <c r="E585" s="144">
        <f>E508+Master!V12</f>
        <v>32671.817999999999</v>
      </c>
      <c r="F585" s="144">
        <f>F508+Master!X12</f>
        <v>33798.970801233576</v>
      </c>
      <c r="G585" s="144">
        <f>G508+Master!Y12</f>
        <v>35868.382906777435</v>
      </c>
      <c r="H585" s="144">
        <f>H508+Master!Z12</f>
        <v>37919.65063318803</v>
      </c>
      <c r="I585" s="144">
        <f>I508+Master!AA12</f>
        <v>39458.517246731601</v>
      </c>
      <c r="J585" s="144">
        <f>J508+Master!AB12</f>
        <v>40974.146852436847</v>
      </c>
      <c r="K585" s="144">
        <f>K508+Master!AC12</f>
        <v>42589.461263800513</v>
      </c>
      <c r="L585" s="144">
        <f>L508+Master!AD12</f>
        <v>44297.823028245992</v>
      </c>
      <c r="M585" s="144">
        <f>M508+Master!AE12</f>
        <v>22812.543443783674</v>
      </c>
    </row>
    <row r="586" spans="3:13" ht="15.75">
      <c r="C586" s="8" t="s">
        <v>200</v>
      </c>
      <c r="D586" s="121"/>
      <c r="E586" s="165">
        <f>E585/E584</f>
        <v>0.4323536003079636</v>
      </c>
      <c r="F586" s="165">
        <f t="shared" ref="F586:M586" si="54">F585/F584</f>
        <v>0.41106107299479405</v>
      </c>
      <c r="G586" s="165">
        <f t="shared" si="54"/>
        <v>0.41517632377862718</v>
      </c>
      <c r="H586" s="165">
        <f t="shared" si="54"/>
        <v>0.41958374984257502</v>
      </c>
      <c r="I586" s="165">
        <f t="shared" si="54"/>
        <v>0.41962204510340123</v>
      </c>
      <c r="J586" s="165">
        <f t="shared" si="54"/>
        <v>0.41939832120835263</v>
      </c>
      <c r="K586" s="165">
        <f t="shared" si="54"/>
        <v>0.41957271867474577</v>
      </c>
      <c r="L586" s="165">
        <f t="shared" si="54"/>
        <v>0.41964565193465919</v>
      </c>
      <c r="M586" s="165">
        <f t="shared" si="54"/>
        <v>0.37750100456750374</v>
      </c>
    </row>
    <row r="587" spans="3:13" ht="15.75">
      <c r="C587" s="8" t="str">
        <f>C509</f>
        <v>Capex</v>
      </c>
      <c r="D587" s="121"/>
      <c r="E587" s="144">
        <f>E509+Master!V44</f>
        <v>24825.048999999999</v>
      </c>
      <c r="F587" s="144">
        <f>F509+Master!X44</f>
        <v>21974.3402015789</v>
      </c>
      <c r="G587" s="144">
        <f>G509+Master!Y44</f>
        <v>21168.09134974621</v>
      </c>
      <c r="H587" s="144">
        <f>H509+Master!Z44</f>
        <v>21044.84489471688</v>
      </c>
      <c r="I587" s="144">
        <f>I509+Master!AA44</f>
        <v>21097.245333649007</v>
      </c>
      <c r="J587" s="144">
        <f>J509+Master!AB44</f>
        <v>21924.047189794801</v>
      </c>
      <c r="K587" s="144">
        <f>K509+Master!AC44</f>
        <v>22782.428109035951</v>
      </c>
      <c r="L587" s="144">
        <f>L509+Master!AD44</f>
        <v>23694.947626982572</v>
      </c>
      <c r="M587" s="144">
        <f>M509+Master!AE44</f>
        <v>13294.668093509918</v>
      </c>
    </row>
    <row r="588" spans="3:13" ht="15.75">
      <c r="C588" s="8" t="s">
        <v>23</v>
      </c>
      <c r="D588" s="121"/>
      <c r="E588" s="148">
        <f>E587/E584</f>
        <v>0.32851552102094872</v>
      </c>
      <c r="F588" s="148">
        <f t="shared" ref="F588:M588" si="55">F587/F584</f>
        <v>0.26725061880535095</v>
      </c>
      <c r="G588" s="148">
        <f t="shared" si="55"/>
        <v>0.24502053440321611</v>
      </c>
      <c r="H588" s="148">
        <f t="shared" si="55"/>
        <v>0.23286277136879585</v>
      </c>
      <c r="I588" s="148">
        <f t="shared" si="55"/>
        <v>0.22435889259592692</v>
      </c>
      <c r="J588" s="148">
        <f t="shared" si="55"/>
        <v>0.22440756652254235</v>
      </c>
      <c r="K588" s="148">
        <f t="shared" si="55"/>
        <v>0.22444250328765875</v>
      </c>
      <c r="L588" s="148">
        <f t="shared" si="55"/>
        <v>0.22446885794234991</v>
      </c>
      <c r="M588" s="148">
        <f t="shared" si="55"/>
        <v>0.21999960561430176</v>
      </c>
    </row>
    <row r="589" spans="3:13" ht="15.75">
      <c r="C589" s="8" t="str">
        <f>C510</f>
        <v>OpFCF</v>
      </c>
      <c r="D589" s="121"/>
      <c r="E589" s="144">
        <f t="shared" ref="E589:M589" si="56">E585-E587</f>
        <v>7846.7690000000002</v>
      </c>
      <c r="F589" s="144">
        <f t="shared" si="56"/>
        <v>11824.630599654676</v>
      </c>
      <c r="G589" s="144">
        <f t="shared" si="56"/>
        <v>14700.291557031225</v>
      </c>
      <c r="H589" s="144">
        <f t="shared" si="56"/>
        <v>16874.80573847115</v>
      </c>
      <c r="I589" s="144">
        <f t="shared" si="56"/>
        <v>18361.271913082594</v>
      </c>
      <c r="J589" s="144">
        <f t="shared" si="56"/>
        <v>19050.099662642046</v>
      </c>
      <c r="K589" s="144">
        <f t="shared" si="56"/>
        <v>19807.033154764562</v>
      </c>
      <c r="L589" s="144">
        <f t="shared" si="56"/>
        <v>20602.87540126342</v>
      </c>
      <c r="M589" s="144">
        <f t="shared" si="56"/>
        <v>9517.8753502737563</v>
      </c>
    </row>
    <row r="590" spans="3:13" ht="15.75">
      <c r="C590" s="8"/>
      <c r="D590" s="121"/>
      <c r="E590" s="144"/>
      <c r="F590" s="144"/>
      <c r="G590" s="144"/>
      <c r="H590" s="144"/>
      <c r="I590" s="144"/>
      <c r="J590" s="144"/>
      <c r="K590" s="144"/>
      <c r="L590" s="144"/>
      <c r="M590" s="144"/>
    </row>
    <row r="591" spans="3:13" ht="15.75">
      <c r="C591" s="8" t="s">
        <v>44</v>
      </c>
      <c r="D591" s="121"/>
      <c r="E591" s="144">
        <f>Valuation!O11+$D$530+E535-E512</f>
        <v>52864.722280000002</v>
      </c>
      <c r="F591" s="144">
        <f ca="1">Valuation!Q11+$D$530+F535-F512</f>
        <v>59054.684684759995</v>
      </c>
      <c r="G591" s="144">
        <f ca="1">Valuation!R11+$D$530+G535-G512</f>
        <v>55826.35519606751</v>
      </c>
      <c r="H591" s="144">
        <f ca="1">Valuation!S11+$D$530+H535-H512</f>
        <v>51120.839669012123</v>
      </c>
      <c r="I591" s="144">
        <f ca="1">Valuation!T11+$D$530+I535-I512</f>
        <v>45378.684627069146</v>
      </c>
      <c r="J591" s="144">
        <f ca="1">Valuation!U11+$D$530+J535-J512</f>
        <v>26455.785595073045</v>
      </c>
      <c r="K591" s="144">
        <f ca="1">Valuation!V11+$D$530+K535-K512</f>
        <v>17725.440012332816</v>
      </c>
      <c r="L591" s="144">
        <f ca="1">Valuation!W11+$D$530+L535-L512</f>
        <v>8966.4721769288662</v>
      </c>
      <c r="M591" s="144">
        <f>Valuation!X11+$D$530+M535-M512</f>
        <v>-9384.1357707168208</v>
      </c>
    </row>
    <row r="592" spans="3:13" ht="15.75">
      <c r="C592" s="8" t="s">
        <v>2536</v>
      </c>
      <c r="D592" s="198"/>
      <c r="E592" s="200">
        <f t="shared" ref="E592:M592" si="57">E591/E585</f>
        <v>1.6180526678986766</v>
      </c>
      <c r="F592" s="200">
        <f t="shared" ca="1" si="57"/>
        <v>1.7472332229301091</v>
      </c>
      <c r="G592" s="200">
        <f t="shared" ca="1" si="57"/>
        <v>1.5564224163983418</v>
      </c>
      <c r="H592" s="200">
        <f t="shared" ca="1" si="57"/>
        <v>1.3481358297185932</v>
      </c>
      <c r="I592" s="200">
        <f t="shared" ca="1" si="57"/>
        <v>1.150035221630836</v>
      </c>
      <c r="J592" s="200">
        <f t="shared" ca="1" si="57"/>
        <v>0.64567020004956233</v>
      </c>
      <c r="K592" s="200">
        <f t="shared" ca="1" si="57"/>
        <v>0.41619310238607765</v>
      </c>
      <c r="L592" s="200">
        <f t="shared" ca="1" si="57"/>
        <v>0.20241338205743203</v>
      </c>
      <c r="M592" s="200">
        <f t="shared" si="57"/>
        <v>-0.41135859286545096</v>
      </c>
    </row>
    <row r="594" spans="3:11">
      <c r="C594" t="s">
        <v>2714</v>
      </c>
      <c r="D594"/>
      <c r="E594"/>
    </row>
    <row r="595" spans="3:11" ht="15.75">
      <c r="C595" s="16" t="s">
        <v>2626</v>
      </c>
      <c r="D595" s="251"/>
      <c r="E595" s="16">
        <v>2022</v>
      </c>
      <c r="F595" s="16">
        <v>2023</v>
      </c>
      <c r="G595" s="16">
        <f>F595+1</f>
        <v>2024</v>
      </c>
      <c r="H595" s="16">
        <f>G595+1</f>
        <v>2025</v>
      </c>
      <c r="I595" s="16">
        <f>H595+1</f>
        <v>2026</v>
      </c>
    </row>
    <row r="596" spans="3:11" ht="15.75">
      <c r="C596" s="239" t="s">
        <v>411</v>
      </c>
      <c r="D596" s="262"/>
      <c r="E596" s="242">
        <f>Master!V7</f>
        <v>27155.555</v>
      </c>
      <c r="F596" s="242">
        <f>Master!W7</f>
        <v>29870.54</v>
      </c>
      <c r="G596" s="242">
        <f>Master!X7</f>
        <v>33085.7435653906</v>
      </c>
      <c r="H596" s="242">
        <f>Master!Y7</f>
        <v>36026.705486593608</v>
      </c>
      <c r="I596" s="242">
        <f>Master!Z7</f>
        <v>38748.862943517532</v>
      </c>
    </row>
    <row r="597" spans="3:11" ht="15.75">
      <c r="C597" t="s">
        <v>728</v>
      </c>
      <c r="E597" s="10">
        <f>Master!V8</f>
        <v>0.10236076154907847</v>
      </c>
      <c r="F597" s="10">
        <f>Master!W8</f>
        <v>9.9978991407098761E-2</v>
      </c>
      <c r="G597" s="10">
        <f>Master!X8</f>
        <v>0.10763794579510777</v>
      </c>
      <c r="H597" s="10">
        <f>Master!Y8</f>
        <v>8.8889098574753023E-2</v>
      </c>
      <c r="I597" s="10">
        <f>Master!Z8</f>
        <v>7.5559433485720806E-2</v>
      </c>
    </row>
    <row r="598" spans="3:11" ht="15.75">
      <c r="C598" s="239" t="s">
        <v>2732</v>
      </c>
      <c r="D598" s="262"/>
      <c r="E598" s="242">
        <f>Master!V44</f>
        <v>11836</v>
      </c>
      <c r="F598" s="242">
        <f>Master!W44</f>
        <v>12949</v>
      </c>
      <c r="G598" s="242">
        <f>Master!X44</f>
        <v>10918.295376578899</v>
      </c>
      <c r="H598" s="242">
        <f>Master!Y44</f>
        <v>10087.477536246211</v>
      </c>
      <c r="I598" s="242">
        <f>Master!Z44</f>
        <v>9687.2157358793829</v>
      </c>
    </row>
    <row r="599" spans="3:11" ht="15.75">
      <c r="C599" t="s">
        <v>23</v>
      </c>
      <c r="E599" s="5">
        <f>E598/E596</f>
        <v>0.4358592560527671</v>
      </c>
      <c r="F599" s="5">
        <f>F598/F596</f>
        <v>0.43350404780094365</v>
      </c>
      <c r="G599" s="5">
        <f>G598/G596</f>
        <v>0.33</v>
      </c>
      <c r="H599" s="5">
        <f>H598/H596</f>
        <v>0.28000000000000003</v>
      </c>
      <c r="I599" s="5">
        <f>I598/I596</f>
        <v>0.25</v>
      </c>
    </row>
    <row r="600" spans="3:11" ht="15.75">
      <c r="C600" s="239"/>
      <c r="D600" s="262"/>
      <c r="E600" s="263"/>
      <c r="F600" s="263"/>
      <c r="G600" s="263"/>
      <c r="H600" s="263"/>
      <c r="I600" s="263"/>
    </row>
    <row r="601" spans="3:11" ht="15.75">
      <c r="C601" t="s">
        <v>2735</v>
      </c>
      <c r="E601" s="5"/>
      <c r="F601" s="10">
        <f>F597</f>
        <v>9.9978991407098761E-2</v>
      </c>
      <c r="G601" s="10">
        <v>0.02</v>
      </c>
      <c r="H601" s="10">
        <v>0.02</v>
      </c>
      <c r="I601" s="10">
        <v>0.02</v>
      </c>
    </row>
    <row r="602" spans="3:11" ht="15.75">
      <c r="C602" s="239" t="s">
        <v>2736</v>
      </c>
      <c r="D602" s="262"/>
      <c r="E602" s="263"/>
      <c r="F602" s="242">
        <f>F596</f>
        <v>29870.54</v>
      </c>
      <c r="G602" s="242">
        <f>(1+G601)*F602</f>
        <v>30467.950800000002</v>
      </c>
      <c r="H602" s="242">
        <f>(1+H601)*G602</f>
        <v>31077.309816000005</v>
      </c>
      <c r="I602" s="242">
        <f>(1+I601)*H602</f>
        <v>31698.856012320004</v>
      </c>
    </row>
    <row r="603" spans="3:11" ht="15.75">
      <c r="C603" t="s">
        <v>2733</v>
      </c>
      <c r="E603" s="5">
        <v>0.22500000000000001</v>
      </c>
      <c r="F603" s="5">
        <v>0.22500000000000001</v>
      </c>
      <c r="G603" s="5">
        <v>0.22500000000000001</v>
      </c>
      <c r="H603" s="5">
        <v>0.22500000000000001</v>
      </c>
      <c r="I603" s="5">
        <v>0.22500000000000001</v>
      </c>
    </row>
    <row r="604" spans="3:11" ht="15.75">
      <c r="C604" s="239" t="s">
        <v>2734</v>
      </c>
      <c r="D604" s="262"/>
      <c r="E604" s="242">
        <f>E603*E596</f>
        <v>6109.9998750000004</v>
      </c>
      <c r="F604" s="242">
        <f>F603*F602</f>
        <v>6720.8715000000002</v>
      </c>
      <c r="G604" s="242">
        <f>G603*G602</f>
        <v>6855.2889300000006</v>
      </c>
      <c r="H604" s="242">
        <f>H603*H602</f>
        <v>6992.3947086000007</v>
      </c>
      <c r="I604" s="242">
        <f>I603*I602</f>
        <v>7132.2426027720012</v>
      </c>
    </row>
    <row r="606" spans="3:11" ht="15.75">
      <c r="C606" s="239" t="s">
        <v>2737</v>
      </c>
      <c r="D606" s="262"/>
      <c r="E606" s="262"/>
      <c r="F606" s="242">
        <f>F598-F604</f>
        <v>6228.1284999999998</v>
      </c>
      <c r="G606" s="242">
        <f>G598-G604</f>
        <v>4063.0064465788982</v>
      </c>
      <c r="H606" s="242">
        <f>H598-H604</f>
        <v>3095.0828276462107</v>
      </c>
      <c r="I606" s="242">
        <f>I598-I604</f>
        <v>2554.9731331073817</v>
      </c>
      <c r="K606" t="s">
        <v>2717</v>
      </c>
    </row>
    <row r="607" spans="3:11" ht="15.75">
      <c r="C607" t="s">
        <v>2739</v>
      </c>
      <c r="F607" s="6">
        <f>F606*0.72</f>
        <v>4484.25252</v>
      </c>
      <c r="G607" s="6">
        <f>G606*0.72</f>
        <v>2925.3646415368066</v>
      </c>
      <c r="H607" s="6">
        <f>H606*0.72</f>
        <v>2228.4596359052716</v>
      </c>
      <c r="I607" s="6">
        <f>I606*0.72</f>
        <v>1839.5806558373147</v>
      </c>
    </row>
    <row r="608" spans="3:11" ht="16.5" thickBot="1">
      <c r="C608" s="239" t="s">
        <v>2738</v>
      </c>
      <c r="D608" s="262"/>
      <c r="E608" s="262"/>
      <c r="F608" s="242">
        <f>NPV(10%,F607:I607)</f>
        <v>9424.9829763763719</v>
      </c>
      <c r="G608" s="239"/>
      <c r="H608" s="239"/>
      <c r="I608" s="239"/>
    </row>
    <row r="609" spans="3:11" ht="15.75" thickBot="1">
      <c r="C609" s="264" t="s">
        <v>2740</v>
      </c>
      <c r="D609" s="265"/>
      <c r="E609" s="265"/>
      <c r="F609" s="266">
        <f>F608/20</f>
        <v>471.24914881881858</v>
      </c>
    </row>
    <row r="611" spans="3:11" ht="15.75">
      <c r="C611" s="109" t="s">
        <v>280</v>
      </c>
      <c r="D611" s="16">
        <v>2023</v>
      </c>
      <c r="E611" s="16">
        <f>D611+1</f>
        <v>2024</v>
      </c>
      <c r="F611" s="16">
        <f t="shared" ref="F611:K611" si="58">E611+1</f>
        <v>2025</v>
      </c>
      <c r="G611" s="16">
        <f t="shared" si="58"/>
        <v>2026</v>
      </c>
      <c r="H611" s="16">
        <f t="shared" si="58"/>
        <v>2027</v>
      </c>
      <c r="I611" s="16">
        <f t="shared" si="58"/>
        <v>2028</v>
      </c>
      <c r="J611" s="16">
        <f t="shared" si="58"/>
        <v>2029</v>
      </c>
      <c r="K611" s="16">
        <f t="shared" si="58"/>
        <v>2030</v>
      </c>
    </row>
    <row r="612" spans="3:11">
      <c r="C612" t="s">
        <v>367</v>
      </c>
      <c r="D612" s="87">
        <f>Master!W13</f>
        <v>0.44592407770331571</v>
      </c>
      <c r="E612" s="87">
        <f>Master!X13</f>
        <v>0.45496431252884467</v>
      </c>
      <c r="F612" s="87">
        <f>Master!Y13</f>
        <v>0.46365487563887503</v>
      </c>
      <c r="G612" s="87">
        <f>Master!Z13</f>
        <v>0.47298782317584032</v>
      </c>
      <c r="H612" s="87">
        <f>Master!AA13</f>
        <v>0.47284057893930931</v>
      </c>
      <c r="I612" s="87">
        <f>Master!AB13</f>
        <v>0.4725599860355254</v>
      </c>
      <c r="J612" s="87">
        <f>Master!AC13</f>
        <v>0.47220498039162667</v>
      </c>
      <c r="K612" s="87">
        <f>Master!AD13</f>
        <v>0.47180967034162957</v>
      </c>
    </row>
    <row r="613" spans="3:11">
      <c r="C613" s="3" t="s">
        <v>350</v>
      </c>
      <c r="D613" s="490">
        <f>F508/F507</f>
        <v>0.38150000000000001</v>
      </c>
      <c r="E613" s="490">
        <f t="shared" ref="E613:K613" si="59">G508/G507</f>
        <v>0.3805</v>
      </c>
      <c r="F613" s="490">
        <f t="shared" si="59"/>
        <v>0.3795</v>
      </c>
      <c r="G613" s="490">
        <f t="shared" si="59"/>
        <v>0.3785</v>
      </c>
      <c r="H613" s="490">
        <f t="shared" si="59"/>
        <v>0.3775</v>
      </c>
      <c r="I613" s="490">
        <f t="shared" si="59"/>
        <v>0.3775</v>
      </c>
      <c r="J613" s="490">
        <f t="shared" si="59"/>
        <v>0.3775</v>
      </c>
      <c r="K613" s="490">
        <f t="shared" si="59"/>
        <v>0.3775</v>
      </c>
    </row>
    <row r="614" spans="3:11">
      <c r="C614" t="s">
        <v>3056</v>
      </c>
      <c r="D614" s="87">
        <f>'PF model'!E15</f>
        <v>0.42778895345211426</v>
      </c>
      <c r="E614" s="87">
        <f>'PF model'!F15</f>
        <v>0.43641743104872216</v>
      </c>
      <c r="F614" s="87">
        <f>'PF model'!G15</f>
        <v>0.46152219788984011</v>
      </c>
      <c r="G614" s="87">
        <f>'PF model'!H15</f>
        <v>0.47891772541269101</v>
      </c>
      <c r="H614" s="87">
        <f>'PF model'!I15</f>
        <v>0.47991772541269101</v>
      </c>
      <c r="I614" s="87">
        <f>'PF model'!J15</f>
        <v>0.48091772541269101</v>
      </c>
      <c r="J614" s="87">
        <f>'PF model'!K15</f>
        <v>0.48191772541269101</v>
      </c>
      <c r="K614" s="87">
        <f>'PF model'!L15</f>
        <v>0.48291772541269101</v>
      </c>
    </row>
    <row r="616" spans="3:11" ht="15.75">
      <c r="C616" s="109" t="s">
        <v>1088</v>
      </c>
      <c r="D616" s="16">
        <v>2023</v>
      </c>
      <c r="E616" s="16">
        <f>D616+1</f>
        <v>2024</v>
      </c>
      <c r="F616" s="16">
        <f t="shared" ref="F616:K616" si="60">E616+1</f>
        <v>2025</v>
      </c>
      <c r="G616" s="16">
        <f t="shared" si="60"/>
        <v>2026</v>
      </c>
      <c r="H616" s="16">
        <f t="shared" si="60"/>
        <v>2027</v>
      </c>
      <c r="I616" s="16">
        <f t="shared" si="60"/>
        <v>2028</v>
      </c>
      <c r="J616" s="16">
        <f t="shared" si="60"/>
        <v>2029</v>
      </c>
      <c r="K616" s="16">
        <f t="shared" si="60"/>
        <v>2030</v>
      </c>
    </row>
    <row r="617" spans="3:11">
      <c r="C617" t="s">
        <v>367</v>
      </c>
      <c r="D617" s="87">
        <f>Master!W45</f>
        <v>0.43350404780094365</v>
      </c>
      <c r="E617" s="87">
        <f>Master!X45</f>
        <v>0.33</v>
      </c>
      <c r="F617" s="87">
        <f>Master!Y45</f>
        <v>0.28000000000000003</v>
      </c>
      <c r="G617" s="87">
        <f>Master!Z45</f>
        <v>0.25</v>
      </c>
      <c r="H617" s="87">
        <f>Master!AA45</f>
        <v>0.23</v>
      </c>
      <c r="I617" s="87">
        <f>Master!AB45</f>
        <v>0.23</v>
      </c>
      <c r="J617" s="87">
        <f>Master!AC45</f>
        <v>0.22999999999999998</v>
      </c>
      <c r="K617" s="87">
        <f>Master!AD45</f>
        <v>0.23000000000000004</v>
      </c>
    </row>
    <row r="618" spans="3:11">
      <c r="C618" s="3" t="s">
        <v>350</v>
      </c>
      <c r="D618" s="490">
        <f>F509/F507</f>
        <v>0.22500000000000003</v>
      </c>
      <c r="E618" s="490">
        <f t="shared" ref="E618:K618" si="61">G509/G507</f>
        <v>0.22</v>
      </c>
      <c r="F618" s="490">
        <f t="shared" si="61"/>
        <v>0.22</v>
      </c>
      <c r="G618" s="490">
        <f t="shared" si="61"/>
        <v>0.22</v>
      </c>
      <c r="H618" s="490">
        <f t="shared" si="61"/>
        <v>0.22</v>
      </c>
      <c r="I618" s="490">
        <f t="shared" si="61"/>
        <v>0.22</v>
      </c>
      <c r="J618" s="490">
        <f t="shared" si="61"/>
        <v>0.22</v>
      </c>
      <c r="K618" s="490">
        <f t="shared" si="61"/>
        <v>0.22</v>
      </c>
    </row>
    <row r="619" spans="3:11">
      <c r="C619" t="s">
        <v>3056</v>
      </c>
      <c r="D619" s="87">
        <f>'PF model'!E21</f>
        <v>0.30382857110202438</v>
      </c>
      <c r="E619" s="87">
        <f>'PF model'!F21</f>
        <v>0.25</v>
      </c>
      <c r="F619" s="87">
        <f>'PF model'!G21</f>
        <v>0.23</v>
      </c>
      <c r="G619" s="87">
        <f>'PF model'!H21</f>
        <v>0.22</v>
      </c>
      <c r="H619" s="87">
        <f>'PF model'!I21</f>
        <v>0.22</v>
      </c>
      <c r="I619" s="87">
        <f>'PF model'!J21</f>
        <v>0.22</v>
      </c>
      <c r="J619" s="87">
        <f>'PF model'!K21</f>
        <v>0.21</v>
      </c>
      <c r="K619" s="87">
        <f>'PF model'!L21</f>
        <v>0.2</v>
      </c>
    </row>
    <row r="656" spans="3:6">
      <c r="C656" t="s">
        <v>3077</v>
      </c>
      <c r="D656" s="118">
        <v>39.47</v>
      </c>
      <c r="E656" s="117">
        <f>D658/D656-1</f>
        <v>0.87484165188750951</v>
      </c>
      <c r="F656" s="117">
        <f>D659/D656-1</f>
        <v>0.38501815725023225</v>
      </c>
    </row>
    <row r="657" spans="2:23">
      <c r="C657" t="s">
        <v>3074</v>
      </c>
      <c r="D657" s="116">
        <v>45</v>
      </c>
    </row>
    <row r="658" spans="2:23">
      <c r="C658" t="s">
        <v>3075</v>
      </c>
      <c r="D658" s="116">
        <v>74</v>
      </c>
      <c r="E658" s="116">
        <f>D658-D657</f>
        <v>29</v>
      </c>
    </row>
    <row r="659" spans="2:23">
      <c r="C659" t="s">
        <v>3076</v>
      </c>
      <c r="D659" s="118">
        <f>E658/3+D657</f>
        <v>54.666666666666664</v>
      </c>
    </row>
    <row r="662" spans="2:23">
      <c r="C662" t="s">
        <v>3077</v>
      </c>
      <c r="D662" s="136">
        <v>2.6</v>
      </c>
      <c r="E662" s="117">
        <f>D664/D662-1</f>
        <v>0.88461538461538458</v>
      </c>
      <c r="F662" s="117">
        <f>D665/D662-1</f>
        <v>0.42307692307692313</v>
      </c>
    </row>
    <row r="663" spans="2:23">
      <c r="C663" t="s">
        <v>3074</v>
      </c>
      <c r="D663" s="116">
        <v>3.1</v>
      </c>
    </row>
    <row r="664" spans="2:23">
      <c r="C664" t="s">
        <v>3075</v>
      </c>
      <c r="D664" s="116">
        <v>4.9000000000000004</v>
      </c>
      <c r="E664" s="116">
        <f>D664-D663</f>
        <v>1.8000000000000003</v>
      </c>
    </row>
    <row r="665" spans="2:23">
      <c r="C665" t="s">
        <v>3076</v>
      </c>
      <c r="D665" s="136">
        <f>E664/3+D663</f>
        <v>3.7</v>
      </c>
    </row>
    <row r="669" spans="2:23">
      <c r="C669" s="3"/>
      <c r="D669" s="115" t="str">
        <f>Quarts!BC4</f>
        <v>Q1 21</v>
      </c>
      <c r="E669" s="115" t="str">
        <f>Quarts!BD4</f>
        <v>Q2 21</v>
      </c>
      <c r="F669" s="115" t="str">
        <f>Quarts!BE4</f>
        <v>Q3 21</v>
      </c>
      <c r="G669" s="115" t="str">
        <f>Quarts!BF4</f>
        <v>Q4 21</v>
      </c>
      <c r="H669" s="115" t="str">
        <f>Quarts!BG4</f>
        <v>Q1 22</v>
      </c>
      <c r="I669" s="115" t="str">
        <f>Quarts!BH4</f>
        <v>Q2 22</v>
      </c>
      <c r="J669" s="115" t="str">
        <f>Quarts!BI4</f>
        <v>Q3 22</v>
      </c>
      <c r="K669" s="115" t="str">
        <f>Quarts!BJ4</f>
        <v>Q4 22</v>
      </c>
      <c r="L669" s="115" t="str">
        <f>Quarts!BK4</f>
        <v>Q1 23</v>
      </c>
      <c r="M669" s="115" t="str">
        <f>Quarts!BL4</f>
        <v>Q2 23</v>
      </c>
      <c r="N669" s="115" t="str">
        <f>Quarts!BM4</f>
        <v>Q3 23</v>
      </c>
      <c r="O669" s="115" t="str">
        <f>Quarts!BN4</f>
        <v>Q4 23</v>
      </c>
      <c r="P669" s="115" t="str">
        <f>Quarts!BO4</f>
        <v>Q1 24</v>
      </c>
      <c r="Q669" s="115" t="str">
        <f>Quarts!BP4</f>
        <v>Q2 24e</v>
      </c>
      <c r="R669" s="115" t="str">
        <f>Quarts!BQ4</f>
        <v>Q3 24e</v>
      </c>
      <c r="S669" s="115" t="str">
        <f>Quarts!BR4</f>
        <v>Q4 24e</v>
      </c>
      <c r="T669" s="115" t="str">
        <f>Quarts!BS4</f>
        <v>Q1 25e</v>
      </c>
      <c r="U669" s="115" t="str">
        <f>Quarts!BT4</f>
        <v>Q2 25e</v>
      </c>
      <c r="V669" s="115" t="str">
        <f>Quarts!BU4</f>
        <v>Q3 25e</v>
      </c>
      <c r="W669" s="115" t="str">
        <f>Quarts!BV4</f>
        <v>Q4 25e</v>
      </c>
    </row>
    <row r="670" spans="2:23">
      <c r="C670" t="s">
        <v>169</v>
      </c>
      <c r="D670" s="155">
        <f>Quarts!BC8</f>
        <v>51.765999999999622</v>
      </c>
      <c r="E670" s="155">
        <f>Quarts!BD8</f>
        <v>89.777000000000044</v>
      </c>
      <c r="F670" s="155">
        <f>Quarts!BE8</f>
        <v>9.5</v>
      </c>
      <c r="G670" s="155">
        <f>Quarts!BF8</f>
        <v>276.47400000000016</v>
      </c>
      <c r="H670" s="155">
        <f>Quarts!BG8</f>
        <v>117.70499999999993</v>
      </c>
      <c r="I670" s="155">
        <f>Quarts!BH8</f>
        <v>428.20499999999993</v>
      </c>
      <c r="J670" s="155">
        <f>Quarts!BI8</f>
        <v>451.98799999999937</v>
      </c>
      <c r="K670" s="155">
        <f>Quarts!BJ8</f>
        <v>993.72000000000116</v>
      </c>
      <c r="L670" s="155">
        <f>Quarts!BK8</f>
        <v>927.35999999999876</v>
      </c>
      <c r="M670" s="155">
        <f>Quarts!BL8</f>
        <v>963.12200000000121</v>
      </c>
      <c r="N670" s="155">
        <f>Quarts!BM8</f>
        <v>1101.8979999999992</v>
      </c>
      <c r="O670" s="155">
        <f>Quarts!BN8</f>
        <v>885.30899999999929</v>
      </c>
      <c r="P670" s="155">
        <f>Quarts!BO8</f>
        <v>513.51100000000042</v>
      </c>
      <c r="Q670" s="155">
        <f>Quarts!BP8</f>
        <v>400</v>
      </c>
      <c r="R670" s="155">
        <f>Quarts!BQ8</f>
        <v>349.99999999999818</v>
      </c>
      <c r="S670" s="155">
        <f>Quarts!BR8</f>
        <v>236.4890000000014</v>
      </c>
      <c r="T670" s="155">
        <f>Quarts!BS8</f>
        <v>350</v>
      </c>
      <c r="U670" s="155">
        <f>Quarts!BT8</f>
        <v>350</v>
      </c>
      <c r="V670" s="155">
        <f>Quarts!BU8</f>
        <v>150</v>
      </c>
      <c r="W670" s="155">
        <f>Quarts!BV8</f>
        <v>150</v>
      </c>
    </row>
    <row r="671" spans="2:23">
      <c r="C671" t="s">
        <v>3157</v>
      </c>
      <c r="D671" s="155">
        <f>Quarts!BC19</f>
        <v>79.415999999999713</v>
      </c>
      <c r="E671" s="155">
        <f>Quarts!BD19</f>
        <v>58.160000000000309</v>
      </c>
      <c r="F671" s="155">
        <f>Quarts!BE19</f>
        <v>105.01199999999972</v>
      </c>
      <c r="G671" s="155">
        <f>Quarts!BF19</f>
        <v>80.981000000000222</v>
      </c>
      <c r="H671" s="155">
        <f>Quarts!BG19</f>
        <v>59.403999999999996</v>
      </c>
      <c r="I671" s="155">
        <f>Quarts!BH19</f>
        <v>19.177999999999884</v>
      </c>
      <c r="J671" s="155">
        <f>Quarts!BI19</f>
        <v>100.65700000000015</v>
      </c>
      <c r="K671" s="155">
        <f>Quarts!BJ19</f>
        <v>124.72799999999961</v>
      </c>
      <c r="L671" s="155">
        <f>Quarts!BK19</f>
        <v>147.30500000000029</v>
      </c>
      <c r="M671" s="155">
        <f>Quarts!BL19</f>
        <v>163.3119999999999</v>
      </c>
      <c r="N671" s="155">
        <f>Quarts!BM19</f>
        <v>117.12700000000041</v>
      </c>
      <c r="O671" s="155">
        <f>Quarts!BN19</f>
        <v>155.94799999999941</v>
      </c>
      <c r="P671" s="155">
        <f>Quarts!BO19</f>
        <v>151.32999999999993</v>
      </c>
      <c r="Q671" s="155">
        <f>Quarts!BP19</f>
        <v>140</v>
      </c>
      <c r="R671" s="155">
        <f>Quarts!BQ19</f>
        <v>125</v>
      </c>
      <c r="S671" s="155">
        <f>Quarts!BR19</f>
        <v>143.67000000000007</v>
      </c>
      <c r="T671" s="155">
        <f>Quarts!BS19</f>
        <v>125</v>
      </c>
      <c r="U671" s="155">
        <f>Quarts!BT19</f>
        <v>125</v>
      </c>
      <c r="V671" s="155">
        <f>Quarts!BU19</f>
        <v>125</v>
      </c>
      <c r="W671" s="155">
        <f>Quarts!BV19</f>
        <v>75</v>
      </c>
    </row>
    <row r="672" spans="2:23">
      <c r="B672" s="23">
        <f>2%*3</f>
        <v>0.06</v>
      </c>
      <c r="C672" t="s">
        <v>233</v>
      </c>
      <c r="D672" s="155">
        <f>$B$672*Quarts!AY18</f>
        <v>188.78285999999997</v>
      </c>
      <c r="E672" s="155">
        <f>$B$672*Quarts!AZ18</f>
        <v>193.76400000000001</v>
      </c>
      <c r="F672" s="155">
        <f>$B$672*Quarts!BA18</f>
        <v>204.83969999999999</v>
      </c>
      <c r="G672" s="155">
        <f>$B$672*Quarts!BB18</f>
        <v>210.61944</v>
      </c>
      <c r="H672" s="155">
        <f>$B$672*Quarts!BC18</f>
        <v>215.38439999999997</v>
      </c>
      <c r="I672" s="155">
        <f>$B$672*Quarts!BD18</f>
        <v>218.874</v>
      </c>
      <c r="J672" s="155">
        <f>$B$672*Quarts!BE18</f>
        <v>225.17471999999998</v>
      </c>
      <c r="K672" s="155">
        <f>$B$672*Quarts!BF18</f>
        <v>230.03358</v>
      </c>
      <c r="L672" s="155">
        <f>$B$672*Quarts!BG18</f>
        <v>233.59781999999998</v>
      </c>
      <c r="M672" s="155">
        <f>$B$672*Quarts!BH18</f>
        <v>234.74849999999998</v>
      </c>
      <c r="N672" s="155">
        <f>$B$672*Quarts!BI18</f>
        <v>240.78791999999999</v>
      </c>
      <c r="O672" s="155">
        <f>$B$672*Quarts!BJ18</f>
        <v>248.27159999999998</v>
      </c>
      <c r="P672" s="155">
        <f>$B$672*Quarts!BK18</f>
        <v>257.10989999999998</v>
      </c>
      <c r="Q672" s="155">
        <f>$B$672*Quarts!BL18</f>
        <v>266.90861999999998</v>
      </c>
      <c r="R672" s="155">
        <f>$B$672*Quarts!BM18</f>
        <v>273.93624</v>
      </c>
      <c r="S672" s="155">
        <f>$B$672*Quarts!BN18</f>
        <v>283.29311999999999</v>
      </c>
      <c r="T672" s="155">
        <f>$B$672*Quarts!BO18</f>
        <v>292.37291999999997</v>
      </c>
      <c r="U672" s="155">
        <f>$B$672*Quarts!BP18</f>
        <v>300.77291999999994</v>
      </c>
      <c r="V672" s="155">
        <f>$B$672*Quarts!BQ18</f>
        <v>308.27291999999994</v>
      </c>
      <c r="W672" s="155">
        <f>$B$672*Quarts!BR18</f>
        <v>316.89311999999995</v>
      </c>
    </row>
    <row r="673" spans="2:23">
      <c r="B673" s="23"/>
      <c r="C673" t="s">
        <v>555</v>
      </c>
      <c r="D673" s="155">
        <f>D671+D672</f>
        <v>268.19885999999968</v>
      </c>
      <c r="E673" s="155">
        <f>E671+E672</f>
        <v>251.92400000000032</v>
      </c>
      <c r="F673" s="155">
        <f>F671+F672</f>
        <v>309.85169999999971</v>
      </c>
      <c r="G673" s="155">
        <f>G671+G672</f>
        <v>291.60044000000022</v>
      </c>
      <c r="H673" s="155">
        <f>H671+H672</f>
        <v>274.78839999999997</v>
      </c>
      <c r="I673" s="155">
        <f t="shared" ref="I673:W673" si="62">I671+I672</f>
        <v>238.05199999999988</v>
      </c>
      <c r="J673" s="155">
        <f t="shared" si="62"/>
        <v>325.83172000000013</v>
      </c>
      <c r="K673" s="155">
        <f t="shared" si="62"/>
        <v>354.76157999999964</v>
      </c>
      <c r="L673" s="155">
        <f t="shared" si="62"/>
        <v>380.90282000000025</v>
      </c>
      <c r="M673" s="155">
        <f t="shared" si="62"/>
        <v>398.06049999999988</v>
      </c>
      <c r="N673" s="155">
        <f t="shared" si="62"/>
        <v>357.91492000000039</v>
      </c>
      <c r="O673" s="155">
        <f t="shared" si="62"/>
        <v>404.21959999999939</v>
      </c>
      <c r="P673" s="155">
        <f t="shared" si="62"/>
        <v>408.43989999999991</v>
      </c>
      <c r="Q673" s="155">
        <f t="shared" si="62"/>
        <v>406.90861999999998</v>
      </c>
      <c r="R673" s="155">
        <f t="shared" si="62"/>
        <v>398.93624</v>
      </c>
      <c r="S673" s="155">
        <f t="shared" si="62"/>
        <v>426.96312000000006</v>
      </c>
      <c r="T673" s="155">
        <f t="shared" si="62"/>
        <v>417.37291999999997</v>
      </c>
      <c r="U673" s="155">
        <f t="shared" si="62"/>
        <v>425.77291999999994</v>
      </c>
      <c r="V673" s="155">
        <f t="shared" si="62"/>
        <v>433.27291999999994</v>
      </c>
      <c r="W673" s="155">
        <f t="shared" si="62"/>
        <v>391.89311999999995</v>
      </c>
    </row>
    <row r="674" spans="2:23">
      <c r="C674" t="s">
        <v>3158</v>
      </c>
      <c r="D674" s="293">
        <v>0.9</v>
      </c>
      <c r="E674" s="293">
        <v>0.9</v>
      </c>
      <c r="F674" s="293">
        <v>0.9</v>
      </c>
      <c r="G674" s="293">
        <v>0.9</v>
      </c>
      <c r="H674" s="293">
        <v>0.9</v>
      </c>
      <c r="I674" s="293">
        <v>0.9</v>
      </c>
      <c r="J674" s="293">
        <v>0.9</v>
      </c>
      <c r="K674" s="293">
        <v>0.9</v>
      </c>
      <c r="L674" s="293">
        <v>0.9</v>
      </c>
      <c r="M674" s="293">
        <v>0.9</v>
      </c>
      <c r="N674" s="293">
        <v>0.9</v>
      </c>
      <c r="O674" s="293">
        <v>0.9</v>
      </c>
      <c r="P674" s="293">
        <v>0.9</v>
      </c>
      <c r="Q674" s="293">
        <v>0.9</v>
      </c>
      <c r="R674" s="293">
        <v>0.9</v>
      </c>
      <c r="S674" s="293">
        <v>0.9</v>
      </c>
      <c r="T674" s="293">
        <v>0.9</v>
      </c>
      <c r="U674" s="293">
        <v>0.9</v>
      </c>
      <c r="V674" s="293">
        <v>0.9</v>
      </c>
      <c r="W674" s="293">
        <v>0.9</v>
      </c>
    </row>
    <row r="675" spans="2:23">
      <c r="C675" t="s">
        <v>3159</v>
      </c>
      <c r="D675" s="155">
        <f>D674*D673</f>
        <v>241.37897399999972</v>
      </c>
      <c r="E675" s="155">
        <f>E674*E673</f>
        <v>226.7316000000003</v>
      </c>
      <c r="F675" s="155">
        <f>F674*F673</f>
        <v>278.86652999999973</v>
      </c>
      <c r="G675" s="155">
        <f>G674*G673</f>
        <v>262.44039600000019</v>
      </c>
      <c r="H675" s="155">
        <f>H674*H673</f>
        <v>247.30955999999998</v>
      </c>
      <c r="I675" s="155">
        <f t="shared" ref="I675:W675" si="63">I674*I673</f>
        <v>214.24679999999989</v>
      </c>
      <c r="J675" s="155">
        <f t="shared" si="63"/>
        <v>293.24854800000014</v>
      </c>
      <c r="K675" s="155">
        <f t="shared" si="63"/>
        <v>319.2854219999997</v>
      </c>
      <c r="L675" s="155">
        <f t="shared" si="63"/>
        <v>342.81253800000025</v>
      </c>
      <c r="M675" s="155">
        <f t="shared" si="63"/>
        <v>358.25444999999991</v>
      </c>
      <c r="N675" s="155">
        <f t="shared" si="63"/>
        <v>322.12342800000039</v>
      </c>
      <c r="O675" s="155">
        <f t="shared" si="63"/>
        <v>363.79763999999943</v>
      </c>
      <c r="P675" s="155">
        <f t="shared" si="63"/>
        <v>367.59590999999995</v>
      </c>
      <c r="Q675" s="155">
        <f t="shared" si="63"/>
        <v>366.217758</v>
      </c>
      <c r="R675" s="155">
        <f t="shared" si="63"/>
        <v>359.04261600000001</v>
      </c>
      <c r="S675" s="155">
        <f t="shared" si="63"/>
        <v>384.26680800000008</v>
      </c>
      <c r="T675" s="155">
        <f t="shared" si="63"/>
        <v>375.635628</v>
      </c>
      <c r="U675" s="155">
        <f t="shared" si="63"/>
        <v>383.19562799999994</v>
      </c>
      <c r="V675" s="155">
        <f t="shared" si="63"/>
        <v>389.94562799999994</v>
      </c>
      <c r="W675" s="155">
        <f t="shared" si="63"/>
        <v>352.70380799999998</v>
      </c>
    </row>
    <row r="676" spans="2:23">
      <c r="D676" s="155"/>
      <c r="E676" s="155"/>
      <c r="F676" s="155"/>
      <c r="G676" s="155"/>
      <c r="H676" s="155"/>
      <c r="I676" s="155"/>
      <c r="J676" s="155"/>
      <c r="K676" s="155"/>
      <c r="L676" s="155"/>
      <c r="M676" s="155"/>
      <c r="N676" s="155"/>
      <c r="O676" s="155"/>
      <c r="P676" s="155"/>
      <c r="Q676" s="155"/>
      <c r="R676" s="155"/>
      <c r="S676" s="155"/>
      <c r="T676" s="155"/>
      <c r="U676" s="155"/>
      <c r="V676" s="155"/>
      <c r="W676" s="155"/>
    </row>
    <row r="677" spans="2:23">
      <c r="C677" t="s">
        <v>1727</v>
      </c>
      <c r="D677" s="155"/>
      <c r="E677" s="155"/>
      <c r="F677" s="155"/>
      <c r="G677" s="155"/>
      <c r="H677" s="155"/>
      <c r="I677" s="155"/>
      <c r="J677" s="155"/>
      <c r="K677" s="155"/>
      <c r="L677" s="155"/>
      <c r="M677" s="155"/>
      <c r="N677" s="155"/>
      <c r="O677" s="155"/>
      <c r="P677" s="155"/>
      <c r="Q677" s="155"/>
      <c r="R677" s="155"/>
      <c r="S677" s="155"/>
      <c r="T677" s="155"/>
      <c r="U677" s="155"/>
      <c r="V677" s="155"/>
      <c r="W677" s="155"/>
    </row>
    <row r="678" spans="2:23">
      <c r="C678" t="str">
        <f>C670</f>
        <v>Homes passed</v>
      </c>
      <c r="D678" s="155">
        <f t="shared" ref="D678:G678" si="64">D670</f>
        <v>51.765999999999622</v>
      </c>
      <c r="E678" s="155">
        <f t="shared" si="64"/>
        <v>89.777000000000044</v>
      </c>
      <c r="F678" s="155">
        <f t="shared" si="64"/>
        <v>9.5</v>
      </c>
      <c r="G678" s="155">
        <f t="shared" si="64"/>
        <v>276.47400000000016</v>
      </c>
      <c r="H678" s="155">
        <f>H670</f>
        <v>117.70499999999993</v>
      </c>
      <c r="I678" s="155">
        <f>H678+I670</f>
        <v>545.90999999999985</v>
      </c>
      <c r="J678" s="155">
        <f t="shared" ref="J678:W678" si="65">I678+J670</f>
        <v>997.89799999999923</v>
      </c>
      <c r="K678" s="155">
        <f t="shared" si="65"/>
        <v>1991.6180000000004</v>
      </c>
      <c r="L678" s="155">
        <f t="shared" si="65"/>
        <v>2918.9779999999992</v>
      </c>
      <c r="M678" s="155">
        <f t="shared" si="65"/>
        <v>3882.1000000000004</v>
      </c>
      <c r="N678" s="155">
        <f t="shared" si="65"/>
        <v>4983.9979999999996</v>
      </c>
      <c r="O678" s="155">
        <f t="shared" si="65"/>
        <v>5869.3069999999989</v>
      </c>
      <c r="P678" s="155">
        <f t="shared" si="65"/>
        <v>6382.8179999999993</v>
      </c>
      <c r="Q678" s="155">
        <f t="shared" si="65"/>
        <v>6782.8179999999993</v>
      </c>
      <c r="R678" s="155">
        <f t="shared" si="65"/>
        <v>7132.8179999999975</v>
      </c>
      <c r="S678" s="155">
        <f t="shared" si="65"/>
        <v>7369.3069999999989</v>
      </c>
      <c r="T678" s="155">
        <f t="shared" si="65"/>
        <v>7719.3069999999989</v>
      </c>
      <c r="U678" s="155">
        <f t="shared" si="65"/>
        <v>8069.3069999999989</v>
      </c>
      <c r="V678" s="155">
        <f t="shared" si="65"/>
        <v>8219.3069999999989</v>
      </c>
      <c r="W678" s="155">
        <f t="shared" si="65"/>
        <v>8369.3069999999989</v>
      </c>
    </row>
    <row r="679" spans="2:23">
      <c r="C679" t="str">
        <f>C671</f>
        <v>Net customer adds</v>
      </c>
      <c r="D679" s="155">
        <f t="shared" ref="D679:G679" si="66">D671</f>
        <v>79.415999999999713</v>
      </c>
      <c r="E679" s="155">
        <f t="shared" si="66"/>
        <v>58.160000000000309</v>
      </c>
      <c r="F679" s="155">
        <f t="shared" si="66"/>
        <v>105.01199999999972</v>
      </c>
      <c r="G679" s="155">
        <f t="shared" si="66"/>
        <v>80.981000000000222</v>
      </c>
      <c r="H679" s="155">
        <f>H673</f>
        <v>274.78839999999997</v>
      </c>
      <c r="I679" s="155">
        <f t="shared" ref="I679:W679" si="67">I673</f>
        <v>238.05199999999988</v>
      </c>
      <c r="J679" s="155">
        <f t="shared" si="67"/>
        <v>325.83172000000013</v>
      </c>
      <c r="K679" s="155">
        <f t="shared" si="67"/>
        <v>354.76157999999964</v>
      </c>
      <c r="L679" s="155">
        <f t="shared" si="67"/>
        <v>380.90282000000025</v>
      </c>
      <c r="M679" s="155">
        <f t="shared" si="67"/>
        <v>398.06049999999988</v>
      </c>
      <c r="N679" s="155">
        <f t="shared" si="67"/>
        <v>357.91492000000039</v>
      </c>
      <c r="O679" s="155">
        <f t="shared" si="67"/>
        <v>404.21959999999939</v>
      </c>
      <c r="P679" s="155">
        <f t="shared" si="67"/>
        <v>408.43989999999991</v>
      </c>
      <c r="Q679" s="155">
        <f t="shared" si="67"/>
        <v>406.90861999999998</v>
      </c>
      <c r="R679" s="155">
        <f t="shared" si="67"/>
        <v>398.93624</v>
      </c>
      <c r="S679" s="155">
        <f t="shared" si="67"/>
        <v>426.96312000000006</v>
      </c>
      <c r="T679" s="155">
        <f t="shared" si="67"/>
        <v>417.37291999999997</v>
      </c>
      <c r="U679" s="155">
        <f t="shared" si="67"/>
        <v>425.77291999999994</v>
      </c>
      <c r="V679" s="155">
        <f t="shared" si="67"/>
        <v>433.27291999999994</v>
      </c>
      <c r="W679" s="155">
        <f t="shared" si="67"/>
        <v>391.89311999999995</v>
      </c>
    </row>
    <row r="680" spans="2:23">
      <c r="C680" t="s">
        <v>3147</v>
      </c>
      <c r="D680" s="293">
        <f t="shared" ref="D680:W680" si="68">D679/D678</f>
        <v>1.534134373913385</v>
      </c>
      <c r="E680" s="293">
        <f t="shared" si="68"/>
        <v>0.64782739454426275</v>
      </c>
      <c r="F680" s="293">
        <f t="shared" si="68"/>
        <v>11.053894736842075</v>
      </c>
      <c r="G680" s="293">
        <f t="shared" si="68"/>
        <v>0.29290638541056363</v>
      </c>
      <c r="H680" s="293">
        <f t="shared" si="68"/>
        <v>2.3345516333205909</v>
      </c>
      <c r="I680" s="293">
        <f t="shared" si="68"/>
        <v>0.43606455276510769</v>
      </c>
      <c r="J680" s="293">
        <f t="shared" si="68"/>
        <v>0.32651806096414704</v>
      </c>
      <c r="K680" s="293">
        <f t="shared" si="68"/>
        <v>0.17812732160484571</v>
      </c>
      <c r="L680" s="293">
        <f t="shared" si="68"/>
        <v>0.13049184337805916</v>
      </c>
      <c r="M680" s="293">
        <f t="shared" si="68"/>
        <v>0.1025374153164524</v>
      </c>
      <c r="N680" s="293">
        <f t="shared" si="68"/>
        <v>7.1812813729058567E-2</v>
      </c>
      <c r="O680" s="293">
        <f t="shared" si="68"/>
        <v>6.8870072736014573E-2</v>
      </c>
      <c r="P680" s="293">
        <f t="shared" si="68"/>
        <v>6.3990528948185577E-2</v>
      </c>
      <c r="Q680" s="293">
        <f t="shared" si="68"/>
        <v>5.9991086300708645E-2</v>
      </c>
      <c r="R680" s="293">
        <f t="shared" si="68"/>
        <v>5.5929681648964003E-2</v>
      </c>
      <c r="S680" s="293">
        <f t="shared" si="68"/>
        <v>5.7938028636885415E-2</v>
      </c>
      <c r="T680" s="293">
        <f t="shared" si="68"/>
        <v>5.4068703317538741E-2</v>
      </c>
      <c r="U680" s="293">
        <f t="shared" si="68"/>
        <v>5.2764496381163838E-2</v>
      </c>
      <c r="V680" s="293">
        <f t="shared" si="68"/>
        <v>5.271404511353573E-2</v>
      </c>
      <c r="W680" s="293">
        <f t="shared" si="68"/>
        <v>4.68250382020877E-2</v>
      </c>
    </row>
    <row r="681" spans="2:23">
      <c r="D681" s="155"/>
      <c r="E681" s="155"/>
      <c r="F681" s="155"/>
      <c r="G681" s="155"/>
      <c r="H681" s="155"/>
      <c r="I681" s="155"/>
      <c r="J681" s="155"/>
      <c r="K681" s="155"/>
      <c r="L681" s="155"/>
      <c r="M681" s="155"/>
      <c r="N681" s="155"/>
      <c r="O681" s="155"/>
      <c r="P681" s="155"/>
      <c r="Q681" s="155"/>
      <c r="R681" s="155"/>
      <c r="S681" s="155"/>
      <c r="T681" s="155"/>
      <c r="U681" s="155"/>
      <c r="V681" s="155"/>
      <c r="W681" s="155"/>
    </row>
    <row r="682" spans="2:23">
      <c r="C682" t="s">
        <v>3137</v>
      </c>
      <c r="D682" s="155">
        <f t="shared" ref="D682:G682" si="69">E682+2</f>
        <v>95</v>
      </c>
      <c r="E682" s="155">
        <f t="shared" si="69"/>
        <v>93</v>
      </c>
      <c r="F682" s="155">
        <f t="shared" si="69"/>
        <v>91</v>
      </c>
      <c r="G682" s="155">
        <f t="shared" si="69"/>
        <v>89</v>
      </c>
      <c r="H682" s="155">
        <f t="shared" ref="H682:L682" si="70">I682+2</f>
        <v>87</v>
      </c>
      <c r="I682" s="155">
        <f t="shared" si="70"/>
        <v>85</v>
      </c>
      <c r="J682" s="155">
        <f t="shared" si="70"/>
        <v>83</v>
      </c>
      <c r="K682" s="155">
        <f t="shared" si="70"/>
        <v>81</v>
      </c>
      <c r="L682" s="155">
        <f t="shared" si="70"/>
        <v>79</v>
      </c>
      <c r="M682" s="155">
        <f>N682+2</f>
        <v>77</v>
      </c>
      <c r="N682" s="155">
        <v>75</v>
      </c>
      <c r="O682" s="155">
        <v>75</v>
      </c>
      <c r="P682" s="155">
        <v>75</v>
      </c>
      <c r="Q682" s="155">
        <v>75</v>
      </c>
      <c r="R682" s="155">
        <v>75</v>
      </c>
      <c r="S682" s="155">
        <v>75</v>
      </c>
      <c r="T682" s="155">
        <v>75</v>
      </c>
      <c r="U682" s="155">
        <v>75</v>
      </c>
      <c r="V682" s="155">
        <v>75</v>
      </c>
      <c r="W682" s="155">
        <v>75</v>
      </c>
    </row>
    <row r="683" spans="2:23">
      <c r="C683" s="3" t="s">
        <v>3138</v>
      </c>
      <c r="D683" s="21">
        <f t="shared" ref="D683:G683" si="71">E683+3</f>
        <v>155</v>
      </c>
      <c r="E683" s="21">
        <f t="shared" si="71"/>
        <v>152</v>
      </c>
      <c r="F683" s="21">
        <f t="shared" si="71"/>
        <v>149</v>
      </c>
      <c r="G683" s="21">
        <f t="shared" si="71"/>
        <v>146</v>
      </c>
      <c r="H683" s="21">
        <f t="shared" ref="H683:L683" si="72">I683+3</f>
        <v>143</v>
      </c>
      <c r="I683" s="21">
        <f t="shared" si="72"/>
        <v>140</v>
      </c>
      <c r="J683" s="21">
        <f t="shared" si="72"/>
        <v>137</v>
      </c>
      <c r="K683" s="21">
        <f t="shared" si="72"/>
        <v>134</v>
      </c>
      <c r="L683" s="21">
        <f t="shared" si="72"/>
        <v>131</v>
      </c>
      <c r="M683" s="21">
        <f>N683+3</f>
        <v>128</v>
      </c>
      <c r="N683" s="21">
        <v>125</v>
      </c>
      <c r="O683" s="21">
        <v>125</v>
      </c>
      <c r="P683" s="21">
        <v>125</v>
      </c>
      <c r="Q683" s="21">
        <v>125</v>
      </c>
      <c r="R683" s="21">
        <v>125</v>
      </c>
      <c r="S683" s="21">
        <v>125</v>
      </c>
      <c r="T683" s="21">
        <v>125</v>
      </c>
      <c r="U683" s="21">
        <v>125</v>
      </c>
      <c r="V683" s="21">
        <v>125</v>
      </c>
      <c r="W683" s="21">
        <v>125</v>
      </c>
    </row>
    <row r="684" spans="2:23">
      <c r="C684" t="s">
        <v>3143</v>
      </c>
      <c r="D684" s="155">
        <f t="shared" ref="D684:G684" si="73">D682+D683</f>
        <v>250</v>
      </c>
      <c r="E684" s="155">
        <f t="shared" si="73"/>
        <v>245</v>
      </c>
      <c r="F684" s="155">
        <f t="shared" si="73"/>
        <v>240</v>
      </c>
      <c r="G684" s="155">
        <f t="shared" si="73"/>
        <v>235</v>
      </c>
      <c r="H684" s="155">
        <f>H682+H683</f>
        <v>230</v>
      </c>
      <c r="I684" s="155">
        <f t="shared" ref="I684:W684" si="74">I682+I683</f>
        <v>225</v>
      </c>
      <c r="J684" s="155">
        <f t="shared" si="74"/>
        <v>220</v>
      </c>
      <c r="K684" s="155">
        <f t="shared" si="74"/>
        <v>215</v>
      </c>
      <c r="L684" s="155">
        <f t="shared" si="74"/>
        <v>210</v>
      </c>
      <c r="M684" s="155">
        <f t="shared" si="74"/>
        <v>205</v>
      </c>
      <c r="N684" s="155">
        <f t="shared" si="74"/>
        <v>200</v>
      </c>
      <c r="O684" s="155">
        <f t="shared" si="74"/>
        <v>200</v>
      </c>
      <c r="P684" s="155">
        <f t="shared" si="74"/>
        <v>200</v>
      </c>
      <c r="Q684" s="155">
        <f t="shared" si="74"/>
        <v>200</v>
      </c>
      <c r="R684" s="155">
        <f t="shared" si="74"/>
        <v>200</v>
      </c>
      <c r="S684" s="155">
        <f t="shared" si="74"/>
        <v>200</v>
      </c>
      <c r="T684" s="155">
        <f t="shared" si="74"/>
        <v>200</v>
      </c>
      <c r="U684" s="155">
        <f t="shared" si="74"/>
        <v>200</v>
      </c>
      <c r="V684" s="155">
        <f t="shared" si="74"/>
        <v>200</v>
      </c>
      <c r="W684" s="155">
        <f t="shared" si="74"/>
        <v>200</v>
      </c>
    </row>
    <row r="685" spans="2:23">
      <c r="D685" s="20"/>
      <c r="E685" s="20"/>
      <c r="F685" s="20"/>
      <c r="G685" s="20"/>
      <c r="H685" s="20"/>
      <c r="I685" s="20"/>
      <c r="J685" s="20"/>
      <c r="K685" s="20"/>
      <c r="L685" s="20"/>
      <c r="M685" s="20"/>
      <c r="N685" s="20"/>
      <c r="O685" s="20"/>
      <c r="P685" s="20"/>
      <c r="Q685" s="20"/>
      <c r="R685" s="20"/>
      <c r="S685" s="20"/>
      <c r="T685" s="20"/>
      <c r="U685" s="20"/>
      <c r="V685" s="20"/>
      <c r="W685" s="20"/>
    </row>
    <row r="686" spans="2:23">
      <c r="C686" t="s">
        <v>3136</v>
      </c>
      <c r="D686" s="155">
        <f t="shared" ref="D686:W686" si="75">D670*D682/1000</f>
        <v>4.9177699999999644</v>
      </c>
      <c r="E686" s="155">
        <f t="shared" si="75"/>
        <v>8.3492610000000038</v>
      </c>
      <c r="F686" s="155">
        <f t="shared" si="75"/>
        <v>0.86450000000000005</v>
      </c>
      <c r="G686" s="155">
        <f t="shared" si="75"/>
        <v>24.606186000000015</v>
      </c>
      <c r="H686" s="155">
        <f t="shared" si="75"/>
        <v>10.240334999999993</v>
      </c>
      <c r="I686" s="155">
        <f t="shared" si="75"/>
        <v>36.397424999999998</v>
      </c>
      <c r="J686" s="155">
        <f t="shared" si="75"/>
        <v>37.515003999999948</v>
      </c>
      <c r="K686" s="155">
        <f t="shared" si="75"/>
        <v>80.491320000000101</v>
      </c>
      <c r="L686" s="155">
        <f t="shared" si="75"/>
        <v>73.261439999999894</v>
      </c>
      <c r="M686" s="155">
        <f t="shared" si="75"/>
        <v>74.160394000000082</v>
      </c>
      <c r="N686" s="155">
        <f t="shared" si="75"/>
        <v>82.642349999999951</v>
      </c>
      <c r="O686" s="155">
        <f>O670*O682/1000</f>
        <v>66.398174999999938</v>
      </c>
      <c r="P686" s="155">
        <f t="shared" si="75"/>
        <v>38.51332500000003</v>
      </c>
      <c r="Q686" s="155">
        <f t="shared" si="75"/>
        <v>30</v>
      </c>
      <c r="R686" s="155">
        <f t="shared" si="75"/>
        <v>26.249999999999861</v>
      </c>
      <c r="S686" s="155">
        <f t="shared" si="75"/>
        <v>17.736675000000105</v>
      </c>
      <c r="T686" s="155">
        <f t="shared" si="75"/>
        <v>26.25</v>
      </c>
      <c r="U686" s="155">
        <f t="shared" si="75"/>
        <v>26.25</v>
      </c>
      <c r="V686" s="155">
        <f t="shared" si="75"/>
        <v>11.25</v>
      </c>
      <c r="W686" s="155">
        <f t="shared" si="75"/>
        <v>11.25</v>
      </c>
    </row>
    <row r="687" spans="2:23">
      <c r="C687" s="3" t="s">
        <v>3139</v>
      </c>
      <c r="D687" s="537">
        <f t="shared" ref="D687:G687" si="76">D675*D683/1000</f>
        <v>37.413740969999957</v>
      </c>
      <c r="E687" s="537">
        <f t="shared" si="76"/>
        <v>34.463203200000045</v>
      </c>
      <c r="F687" s="537">
        <f t="shared" si="76"/>
        <v>41.551112969999956</v>
      </c>
      <c r="G687" s="537">
        <f t="shared" si="76"/>
        <v>38.316297816000031</v>
      </c>
      <c r="H687" s="537">
        <f>H675*H683/1000</f>
        <v>35.365267079999995</v>
      </c>
      <c r="I687" s="537">
        <f t="shared" ref="I687:W687" si="77">I675*I683/1000</f>
        <v>29.994551999999985</v>
      </c>
      <c r="J687" s="537">
        <f t="shared" si="77"/>
        <v>40.175051076000017</v>
      </c>
      <c r="K687" s="537">
        <f t="shared" si="77"/>
        <v>42.784246547999956</v>
      </c>
      <c r="L687" s="537">
        <f t="shared" si="77"/>
        <v>44.908442478000033</v>
      </c>
      <c r="M687" s="537">
        <f t="shared" si="77"/>
        <v>45.856569599999986</v>
      </c>
      <c r="N687" s="537">
        <f t="shared" si="77"/>
        <v>40.265428500000048</v>
      </c>
      <c r="O687" s="537">
        <f t="shared" si="77"/>
        <v>45.474704999999929</v>
      </c>
      <c r="P687" s="537">
        <f t="shared" si="77"/>
        <v>45.949488749999993</v>
      </c>
      <c r="Q687" s="537">
        <f t="shared" si="77"/>
        <v>45.77721975</v>
      </c>
      <c r="R687" s="537">
        <f t="shared" si="77"/>
        <v>44.880327000000008</v>
      </c>
      <c r="S687" s="537">
        <f t="shared" si="77"/>
        <v>48.03335100000001</v>
      </c>
      <c r="T687" s="537">
        <f t="shared" si="77"/>
        <v>46.954453500000007</v>
      </c>
      <c r="U687" s="537">
        <f t="shared" si="77"/>
        <v>47.899453499999993</v>
      </c>
      <c r="V687" s="537">
        <f t="shared" si="77"/>
        <v>48.743203499999993</v>
      </c>
      <c r="W687" s="537">
        <f t="shared" si="77"/>
        <v>44.087975999999998</v>
      </c>
    </row>
    <row r="688" spans="2:23">
      <c r="C688" t="s">
        <v>3146</v>
      </c>
      <c r="D688" s="155">
        <f t="shared" ref="D688:G688" si="78">D686+D687</f>
        <v>42.331510969999918</v>
      </c>
      <c r="E688" s="155">
        <f t="shared" si="78"/>
        <v>42.812464200000051</v>
      </c>
      <c r="F688" s="155">
        <f t="shared" si="78"/>
        <v>42.415612969999955</v>
      </c>
      <c r="G688" s="155">
        <f t="shared" si="78"/>
        <v>62.922483816000046</v>
      </c>
      <c r="H688" s="155">
        <f>H686+H687</f>
        <v>45.60560207999999</v>
      </c>
      <c r="I688" s="155">
        <f t="shared" ref="I688:W688" si="79">I686+I687</f>
        <v>66.391976999999983</v>
      </c>
      <c r="J688" s="155">
        <f t="shared" si="79"/>
        <v>77.690055075999965</v>
      </c>
      <c r="K688" s="155">
        <f t="shared" si="79"/>
        <v>123.27556654800006</v>
      </c>
      <c r="L688" s="155">
        <f t="shared" si="79"/>
        <v>118.16988247799992</v>
      </c>
      <c r="M688" s="155">
        <f t="shared" si="79"/>
        <v>120.01696360000007</v>
      </c>
      <c r="N688" s="155">
        <f t="shared" si="79"/>
        <v>122.90777850000001</v>
      </c>
      <c r="O688" s="155">
        <f t="shared" si="79"/>
        <v>111.87287999999987</v>
      </c>
      <c r="P688" s="155">
        <f t="shared" si="79"/>
        <v>84.462813750000024</v>
      </c>
      <c r="Q688" s="155">
        <f t="shared" si="79"/>
        <v>75.77721975</v>
      </c>
      <c r="R688" s="155">
        <f t="shared" si="79"/>
        <v>71.130326999999866</v>
      </c>
      <c r="S688" s="155">
        <f t="shared" si="79"/>
        <v>65.770026000000115</v>
      </c>
      <c r="T688" s="155">
        <f t="shared" si="79"/>
        <v>73.2044535</v>
      </c>
      <c r="U688" s="155">
        <f t="shared" si="79"/>
        <v>74.149453499999993</v>
      </c>
      <c r="V688" s="155">
        <f t="shared" si="79"/>
        <v>59.993203499999993</v>
      </c>
      <c r="W688" s="155">
        <f t="shared" si="79"/>
        <v>55.337975999999998</v>
      </c>
    </row>
    <row r="689" spans="3:23">
      <c r="D689" s="20"/>
      <c r="E689" s="20"/>
      <c r="F689" s="20"/>
      <c r="G689" s="20"/>
      <c r="H689" s="20"/>
      <c r="I689" s="20"/>
      <c r="J689" s="20"/>
      <c r="K689" s="20"/>
      <c r="L689" s="20"/>
      <c r="M689" s="20"/>
      <c r="N689" s="20"/>
      <c r="O689" s="20"/>
      <c r="P689" s="20"/>
      <c r="Q689" s="20"/>
      <c r="R689" s="20"/>
      <c r="S689" s="20"/>
      <c r="T689" s="20"/>
      <c r="U689" s="20"/>
      <c r="V689" s="20"/>
      <c r="W689" s="20"/>
    </row>
    <row r="690" spans="3:23">
      <c r="C690" t="s">
        <v>3140</v>
      </c>
      <c r="D690" s="155">
        <f>Quarts!BC147</f>
        <v>1875.7049999999999</v>
      </c>
      <c r="E690" s="155">
        <f>Quarts!BD147</f>
        <v>2033</v>
      </c>
      <c r="F690" s="155">
        <f>Quarts!BE147</f>
        <v>2393.6480000000001</v>
      </c>
      <c r="G690" s="155">
        <f>Quarts!BF147</f>
        <v>3164.22</v>
      </c>
      <c r="H690" s="155">
        <f>Quarts!BG147</f>
        <v>2340</v>
      </c>
      <c r="I690" s="155">
        <f>Quarts!BH147</f>
        <v>2796</v>
      </c>
      <c r="J690" s="155">
        <f>Quarts!BI147</f>
        <v>2744.5770000000002</v>
      </c>
      <c r="K690" s="155">
        <f>Quarts!BJ147</f>
        <v>3955</v>
      </c>
      <c r="L690" s="155">
        <f>Quarts!BK147</f>
        <v>2235</v>
      </c>
      <c r="M690" s="155">
        <f>Quarts!BL147</f>
        <v>2930</v>
      </c>
      <c r="N690" s="155">
        <f>Quarts!BM147</f>
        <v>3794</v>
      </c>
      <c r="O690" s="155">
        <f>Quarts!BN147</f>
        <v>3990</v>
      </c>
      <c r="P690" s="155">
        <f>Quarts!BO147</f>
        <v>2354</v>
      </c>
      <c r="Q690" s="155">
        <f>Quarts!BP147</f>
        <v>2800</v>
      </c>
      <c r="R690" s="155">
        <f>Quarts!BQ147</f>
        <v>3000</v>
      </c>
      <c r="S690" s="155">
        <f>Quarts!BR147</f>
        <v>2764.2953765788989</v>
      </c>
      <c r="T690" s="155">
        <f>Quarts!BS147</f>
        <v>2000</v>
      </c>
      <c r="U690" s="155">
        <f>Quarts!BT147</f>
        <v>2800</v>
      </c>
      <c r="V690" s="155">
        <f>Quarts!BU147</f>
        <v>2800</v>
      </c>
      <c r="W690" s="155">
        <f>Quarts!BV147</f>
        <v>2487.4775362462115</v>
      </c>
    </row>
    <row r="691" spans="3:23">
      <c r="C691" t="s">
        <v>3141</v>
      </c>
      <c r="D691" s="79">
        <v>16.501793750000001</v>
      </c>
      <c r="E691" s="79">
        <v>17.501793750000001</v>
      </c>
      <c r="F691" s="79">
        <v>18.501793750000001</v>
      </c>
      <c r="G691" s="79">
        <v>19.501793750000001</v>
      </c>
      <c r="H691" s="79">
        <v>20.501793749999983</v>
      </c>
      <c r="I691" s="79">
        <v>20.030058461538459</v>
      </c>
      <c r="J691" s="79">
        <v>20.23374545454546</v>
      </c>
      <c r="K691" s="79">
        <v>19.670035384615385</v>
      </c>
      <c r="L691" s="79">
        <v>18.651975384615387</v>
      </c>
      <c r="M691" s="79">
        <v>17.673632307692309</v>
      </c>
      <c r="N691" s="79">
        <v>17.070366153846152</v>
      </c>
      <c r="O691" s="79">
        <v>17.553212307692313</v>
      </c>
      <c r="P691" s="79">
        <v>17.082599999999999</v>
      </c>
      <c r="Q691" s="79">
        <v>17.082599999999999</v>
      </c>
      <c r="R691" s="79">
        <v>17.082599999999999</v>
      </c>
      <c r="S691" s="79">
        <v>17.082599999999999</v>
      </c>
      <c r="T691" s="79">
        <f>S691</f>
        <v>17.082599999999999</v>
      </c>
      <c r="U691" s="79">
        <f t="shared" ref="U691:W691" si="80">T691</f>
        <v>17.082599999999999</v>
      </c>
      <c r="V691" s="79">
        <f t="shared" si="80"/>
        <v>17.082599999999999</v>
      </c>
      <c r="W691" s="79">
        <f t="shared" si="80"/>
        <v>17.082599999999999</v>
      </c>
    </row>
    <row r="692" spans="3:23">
      <c r="C692" t="s">
        <v>3142</v>
      </c>
      <c r="D692" s="155">
        <f t="shared" ref="D692:G692" si="81">D690/D691</f>
        <v>113.66673395733115</v>
      </c>
      <c r="E692" s="155">
        <f t="shared" si="81"/>
        <v>116.15952222040097</v>
      </c>
      <c r="F692" s="155">
        <f t="shared" si="81"/>
        <v>129.37383436133049</v>
      </c>
      <c r="G692" s="155">
        <f t="shared" si="81"/>
        <v>162.25276713327972</v>
      </c>
      <c r="H692" s="155">
        <f>H690/H691</f>
        <v>114.13635453239314</v>
      </c>
      <c r="I692" s="155">
        <f t="shared" ref="I692:S692" si="82">I690/I691</f>
        <v>139.59020665710258</v>
      </c>
      <c r="J692" s="155">
        <f t="shared" si="82"/>
        <v>135.64354687398907</v>
      </c>
      <c r="K692" s="155">
        <f t="shared" si="82"/>
        <v>201.06725395589996</v>
      </c>
      <c r="L692" s="155">
        <f t="shared" si="82"/>
        <v>119.8264502237915</v>
      </c>
      <c r="M692" s="155">
        <f t="shared" si="82"/>
        <v>165.78369115016275</v>
      </c>
      <c r="N692" s="155">
        <f t="shared" si="82"/>
        <v>222.25650966163766</v>
      </c>
      <c r="O692" s="155">
        <f t="shared" si="82"/>
        <v>227.3088213176496</v>
      </c>
      <c r="P692" s="155">
        <f t="shared" si="82"/>
        <v>137.80103731282125</v>
      </c>
      <c r="Q692" s="155">
        <f t="shared" si="82"/>
        <v>163.90947513844498</v>
      </c>
      <c r="R692" s="155">
        <f t="shared" si="82"/>
        <v>175.61729479119106</v>
      </c>
      <c r="S692" s="155">
        <f t="shared" si="82"/>
        <v>161.81935867952765</v>
      </c>
      <c r="T692" s="155">
        <f t="shared" ref="T692" si="83">T690/T691</f>
        <v>117.07819652746069</v>
      </c>
      <c r="U692" s="155">
        <f t="shared" ref="U692" si="84">U690/U691</f>
        <v>163.90947513844498</v>
      </c>
      <c r="V692" s="155">
        <f t="shared" ref="V692" si="85">V690/V691</f>
        <v>163.90947513844498</v>
      </c>
      <c r="W692" s="155">
        <f t="shared" ref="W692" si="86">W690/W691</f>
        <v>145.61469192313885</v>
      </c>
    </row>
    <row r="693" spans="3:23">
      <c r="D693" s="155"/>
      <c r="E693" s="155"/>
      <c r="F693" s="155"/>
      <c r="G693" s="155"/>
      <c r="H693" s="155"/>
      <c r="I693" s="155"/>
      <c r="J693" s="155"/>
      <c r="K693" s="155"/>
      <c r="L693" s="155"/>
      <c r="M693" s="155"/>
      <c r="N693" s="155"/>
      <c r="O693" s="155"/>
      <c r="P693" s="155"/>
      <c r="Q693" s="155"/>
      <c r="R693" s="155"/>
      <c r="S693" s="155"/>
      <c r="T693" s="20"/>
      <c r="U693" s="20"/>
      <c r="V693" s="20"/>
      <c r="W693" s="20"/>
    </row>
    <row r="694" spans="3:23">
      <c r="C694" t="s">
        <v>3144</v>
      </c>
      <c r="D694" s="155">
        <f t="shared" ref="D694:G694" si="87">D692-D686-D687</f>
        <v>71.335222987331235</v>
      </c>
      <c r="E694" s="155">
        <f t="shared" si="87"/>
        <v>73.347058020400937</v>
      </c>
      <c r="F694" s="155">
        <f t="shared" si="87"/>
        <v>86.95822139133054</v>
      </c>
      <c r="G694" s="155">
        <f t="shared" si="87"/>
        <v>99.33028331727968</v>
      </c>
      <c r="H694" s="155">
        <f>H692-H686-H687</f>
        <v>68.530752452393159</v>
      </c>
      <c r="I694" s="155">
        <f t="shared" ref="I694:S694" si="88">I692-I686-I687</f>
        <v>73.198229657102601</v>
      </c>
      <c r="J694" s="155">
        <f t="shared" si="88"/>
        <v>57.953491797989102</v>
      </c>
      <c r="K694" s="155">
        <f t="shared" si="88"/>
        <v>77.7916874078999</v>
      </c>
      <c r="L694" s="155">
        <f t="shared" si="88"/>
        <v>1.6565677457915697</v>
      </c>
      <c r="M694" s="155">
        <f t="shared" si="88"/>
        <v>45.766727550162685</v>
      </c>
      <c r="N694" s="155">
        <f t="shared" si="88"/>
        <v>99.348731161637659</v>
      </c>
      <c r="O694" s="155">
        <f t="shared" si="88"/>
        <v>115.43594131764972</v>
      </c>
      <c r="P694" s="155">
        <f t="shared" si="88"/>
        <v>53.33822356282122</v>
      </c>
      <c r="Q694" s="155">
        <f t="shared" si="88"/>
        <v>88.132255388444975</v>
      </c>
      <c r="R694" s="155">
        <f t="shared" si="88"/>
        <v>104.48696779119119</v>
      </c>
      <c r="S694" s="155">
        <f t="shared" si="88"/>
        <v>96.049332679527538</v>
      </c>
      <c r="T694" s="155">
        <f t="shared" ref="T694" si="89">T692-T686-T687</f>
        <v>43.873743027460684</v>
      </c>
      <c r="U694" s="155">
        <f t="shared" ref="U694" si="90">U692-U686-U687</f>
        <v>89.760021638444982</v>
      </c>
      <c r="V694" s="155">
        <f t="shared" ref="V694" si="91">V692-V686-V687</f>
        <v>103.91627163844498</v>
      </c>
      <c r="W694" s="155">
        <f t="shared" ref="W694" si="92">W692-W686-W687</f>
        <v>90.276715923138852</v>
      </c>
    </row>
    <row r="695" spans="3:23">
      <c r="C695" t="s">
        <v>3160</v>
      </c>
      <c r="D695" s="155"/>
      <c r="E695" s="155"/>
      <c r="F695" s="155"/>
      <c r="G695" s="155">
        <f>AVERAGE(D694:G694)</f>
        <v>82.742696429085598</v>
      </c>
      <c r="H695" s="155">
        <f t="shared" ref="H695:W695" si="93">AVERAGE(E694:H694)</f>
        <v>82.041578795351086</v>
      </c>
      <c r="I695" s="155">
        <f t="shared" si="93"/>
        <v>82.004371704526491</v>
      </c>
      <c r="J695" s="155">
        <f t="shared" si="93"/>
        <v>74.753189306191132</v>
      </c>
      <c r="K695" s="155">
        <f t="shared" si="93"/>
        <v>69.368540328846194</v>
      </c>
      <c r="L695" s="155">
        <f t="shared" si="93"/>
        <v>52.649994152195795</v>
      </c>
      <c r="M695" s="155">
        <f t="shared" si="93"/>
        <v>45.792118625460816</v>
      </c>
      <c r="N695" s="155">
        <f t="shared" si="93"/>
        <v>56.140928466372955</v>
      </c>
      <c r="O695" s="155">
        <f t="shared" si="93"/>
        <v>65.551991943810407</v>
      </c>
      <c r="P695" s="155">
        <f t="shared" si="93"/>
        <v>78.472405898067819</v>
      </c>
      <c r="Q695" s="155">
        <f t="shared" si="93"/>
        <v>89.063787857638403</v>
      </c>
      <c r="R695" s="155">
        <f t="shared" si="93"/>
        <v>90.348347015026775</v>
      </c>
      <c r="S695" s="155">
        <f t="shared" si="93"/>
        <v>85.501694855496226</v>
      </c>
      <c r="T695" s="155">
        <f t="shared" si="93"/>
        <v>83.135574721656099</v>
      </c>
      <c r="U695" s="155">
        <f t="shared" si="93"/>
        <v>83.542516284156108</v>
      </c>
      <c r="V695" s="155">
        <f t="shared" si="93"/>
        <v>83.399842245969552</v>
      </c>
      <c r="W695" s="155">
        <f t="shared" si="93"/>
        <v>81.956688056872366</v>
      </c>
    </row>
    <row r="696" spans="3:23">
      <c r="C696" t="s">
        <v>3145</v>
      </c>
      <c r="D696" s="155">
        <f t="shared" ref="D696:G696" si="94">D694*D691</f>
        <v>1177.1591368471991</v>
      </c>
      <c r="E696" s="155">
        <f t="shared" si="94"/>
        <v>1283.7050816423405</v>
      </c>
      <c r="F696" s="155">
        <f t="shared" si="94"/>
        <v>1608.8830770492357</v>
      </c>
      <c r="G696" s="155">
        <f t="shared" si="94"/>
        <v>1937.1186983826542</v>
      </c>
      <c r="H696" s="155">
        <f>H694*H691</f>
        <v>1405.0033523112702</v>
      </c>
      <c r="I696" s="155">
        <f t="shared" ref="I696:W696" si="95">I694*I691</f>
        <v>1466.1648193128833</v>
      </c>
      <c r="J696" s="155">
        <f t="shared" si="95"/>
        <v>1172.6162012425996</v>
      </c>
      <c r="K696" s="155">
        <f t="shared" si="95"/>
        <v>1530.1652439423301</v>
      </c>
      <c r="L696" s="155">
        <f t="shared" si="95"/>
        <v>30.898260817452158</v>
      </c>
      <c r="M696" s="155">
        <f t="shared" si="95"/>
        <v>808.86431464790689</v>
      </c>
      <c r="N696" s="155">
        <f t="shared" si="95"/>
        <v>1695.9192178491799</v>
      </c>
      <c r="O696" s="155">
        <f t="shared" si="95"/>
        <v>2026.2715858870167</v>
      </c>
      <c r="P696" s="155">
        <f t="shared" si="95"/>
        <v>911.15553783424969</v>
      </c>
      <c r="Q696" s="155">
        <f t="shared" si="95"/>
        <v>1505.5280658986501</v>
      </c>
      <c r="R696" s="155">
        <f t="shared" si="95"/>
        <v>1784.9090759898027</v>
      </c>
      <c r="S696" s="155">
        <f t="shared" si="95"/>
        <v>1640.772330431297</v>
      </c>
      <c r="T696" s="155">
        <f t="shared" si="95"/>
        <v>749.47760264089982</v>
      </c>
      <c r="U696" s="155">
        <f t="shared" si="95"/>
        <v>1533.3345456409002</v>
      </c>
      <c r="V696" s="155">
        <f t="shared" si="95"/>
        <v>1775.1601018909003</v>
      </c>
      <c r="W696" s="155">
        <f t="shared" si="95"/>
        <v>1542.1610274286118</v>
      </c>
    </row>
    <row r="697" spans="3:23">
      <c r="C697" t="s">
        <v>1719</v>
      </c>
      <c r="D697" s="155">
        <f>Quarts!BC57</f>
        <v>5951.9790000000003</v>
      </c>
      <c r="E697" s="155">
        <f>Quarts!BD57</f>
        <v>6063.8</v>
      </c>
      <c r="F697" s="155">
        <f>Quarts!BE57</f>
        <v>6144.9260000000004</v>
      </c>
      <c r="G697" s="155">
        <f>Quarts!BF57</f>
        <v>6473.45</v>
      </c>
      <c r="H697" s="155">
        <f>Quarts!BG57</f>
        <v>6562.4260000000004</v>
      </c>
      <c r="I697" s="155">
        <f>Quarts!BH57</f>
        <v>6681.1859999999997</v>
      </c>
      <c r="J697" s="155">
        <f>Quarts!BI57</f>
        <v>6736.8850000000002</v>
      </c>
      <c r="K697" s="155">
        <f>Quarts!BJ57</f>
        <v>7175.058</v>
      </c>
      <c r="L697" s="155">
        <f>Quarts!BK57</f>
        <v>7152.1880000000001</v>
      </c>
      <c r="M697" s="155">
        <f>Quarts!BL57</f>
        <v>7373.6940000000004</v>
      </c>
      <c r="N697" s="155">
        <f>Quarts!BM57</f>
        <v>7490.7309999999998</v>
      </c>
      <c r="O697" s="155">
        <f>Quarts!BN57</f>
        <v>7853.9269999999997</v>
      </c>
      <c r="P697" s="155">
        <f>Quarts!BO57</f>
        <v>7984.6030000000001</v>
      </c>
      <c r="Q697" s="155">
        <f>Quarts!BP57</f>
        <v>8175</v>
      </c>
      <c r="R697" s="155">
        <f>Quarts!BQ57</f>
        <v>8350</v>
      </c>
      <c r="S697" s="155">
        <f>Quarts!BR57</f>
        <v>8576.1405653905986</v>
      </c>
      <c r="T697" s="155">
        <f>Quarts!BS57</f>
        <v>7984.6030000000001</v>
      </c>
      <c r="U697" s="155">
        <f>Quarts!BT57</f>
        <v>8175</v>
      </c>
      <c r="V697" s="155">
        <f>Quarts!BU57</f>
        <v>8350</v>
      </c>
      <c r="W697" s="155">
        <f>Quarts!BV57</f>
        <v>11517.102486593609</v>
      </c>
    </row>
    <row r="698" spans="3:23">
      <c r="C698" t="s">
        <v>23</v>
      </c>
      <c r="D698" s="293">
        <f t="shared" ref="D698:G698" si="96">D696/D697</f>
        <v>0.19777609041416291</v>
      </c>
      <c r="E698" s="293">
        <f t="shared" si="96"/>
        <v>0.21169977269077814</v>
      </c>
      <c r="F698" s="293">
        <f t="shared" si="96"/>
        <v>0.26182301903216337</v>
      </c>
      <c r="G698" s="293">
        <f t="shared" si="96"/>
        <v>0.29924054381862131</v>
      </c>
      <c r="H698" s="293">
        <f>H696/H697</f>
        <v>0.21409816313529023</v>
      </c>
      <c r="I698" s="293">
        <f t="shared" ref="I698:W698" si="97">I696/I697</f>
        <v>0.21944678973357176</v>
      </c>
      <c r="J698" s="293">
        <f t="shared" si="97"/>
        <v>0.17405910910496461</v>
      </c>
      <c r="K698" s="293">
        <f t="shared" si="97"/>
        <v>0.21326172470554663</v>
      </c>
      <c r="L698" s="293">
        <f t="shared" si="97"/>
        <v>4.320113064345087E-3</v>
      </c>
      <c r="M698" s="293">
        <f t="shared" si="97"/>
        <v>0.10969594271852166</v>
      </c>
      <c r="N698" s="293">
        <f t="shared" si="97"/>
        <v>0.22640236551668722</v>
      </c>
      <c r="O698" s="293">
        <f t="shared" si="97"/>
        <v>0.25799470581876005</v>
      </c>
      <c r="P698" s="293">
        <f>P696/P697</f>
        <v>0.1141140690193676</v>
      </c>
      <c r="Q698" s="293">
        <f t="shared" si="97"/>
        <v>0.18416245454417737</v>
      </c>
      <c r="R698" s="293">
        <f t="shared" si="97"/>
        <v>0.21376156598680271</v>
      </c>
      <c r="S698" s="293">
        <f t="shared" si="97"/>
        <v>0.1913182646577305</v>
      </c>
      <c r="T698" s="293">
        <f t="shared" si="97"/>
        <v>9.3865355940790013E-2</v>
      </c>
      <c r="U698" s="293">
        <f t="shared" si="97"/>
        <v>0.1875638587939939</v>
      </c>
      <c r="V698" s="293">
        <f t="shared" si="97"/>
        <v>0.21259402417855092</v>
      </c>
      <c r="W698" s="293">
        <f t="shared" si="97"/>
        <v>0.13390182376372459</v>
      </c>
    </row>
    <row r="699" spans="3:23">
      <c r="C699" t="s">
        <v>3150</v>
      </c>
      <c r="D699" s="293"/>
      <c r="E699" s="293"/>
      <c r="F699" s="293"/>
      <c r="G699" s="293"/>
      <c r="H699" s="293">
        <f t="shared" ref="H699:U699" si="98">SUM(E690:H690)/SUM(E697:H697)</f>
        <v>0.39338580184389521</v>
      </c>
      <c r="I699" s="293">
        <f t="shared" si="98"/>
        <v>0.41349752385624805</v>
      </c>
      <c r="J699" s="293">
        <f t="shared" si="98"/>
        <v>0.41751036244232281</v>
      </c>
      <c r="K699" s="293">
        <f t="shared" si="98"/>
        <v>0.4358436791293715</v>
      </c>
      <c r="L699" s="293">
        <f t="shared" si="98"/>
        <v>0.42279484498230818</v>
      </c>
      <c r="M699" s="293">
        <f t="shared" si="98"/>
        <v>0.41721112637833591</v>
      </c>
      <c r="N699" s="293">
        <f t="shared" si="98"/>
        <v>0.44238646016529853</v>
      </c>
      <c r="O699" s="293">
        <f t="shared" si="98"/>
        <v>0.43350404780094365</v>
      </c>
      <c r="P699" s="293">
        <f t="shared" si="98"/>
        <v>0.42562678413201599</v>
      </c>
      <c r="Q699" s="293">
        <f t="shared" si="98"/>
        <v>0.41067460684127777</v>
      </c>
      <c r="R699" s="293">
        <f t="shared" si="98"/>
        <v>0.37523718827952329</v>
      </c>
      <c r="S699" s="293">
        <f t="shared" si="98"/>
        <v>0.33</v>
      </c>
      <c r="T699" s="293">
        <f t="shared" si="98"/>
        <v>0.31930052760336625</v>
      </c>
      <c r="U699" s="293">
        <f t="shared" si="98"/>
        <v>0.31930052760336625</v>
      </c>
      <c r="V699" s="293">
        <f>SUM(S690:V690)/SUM(S697:V697)</f>
        <v>0.31325562794425116</v>
      </c>
      <c r="W699" s="293">
        <f>SUM(T690:W690)/SUM(T697:W697)</f>
        <v>0.28000000000000003</v>
      </c>
    </row>
    <row r="700" spans="3:23">
      <c r="F700" s="116"/>
      <c r="G700" s="116"/>
      <c r="H700" s="116"/>
      <c r="I700" s="116"/>
    </row>
    <row r="701" spans="3:23">
      <c r="C701" t="s">
        <v>230</v>
      </c>
      <c r="D701" s="118">
        <f>Quarts!BC43</f>
        <v>0</v>
      </c>
      <c r="E701" s="118">
        <f>Quarts!BD43</f>
        <v>0</v>
      </c>
      <c r="F701" s="118">
        <f>Quarts!BE43</f>
        <v>0</v>
      </c>
      <c r="G701" s="118">
        <f>Quarts!BF43</f>
        <v>0</v>
      </c>
      <c r="H701" s="118">
        <f>Quarts!BG43</f>
        <v>421.58844477233521</v>
      </c>
      <c r="I701" s="118">
        <f>Quarts!BH43</f>
        <v>426.53259218544633</v>
      </c>
      <c r="J701" s="118">
        <f>Quarts!BI43</f>
        <v>414.59510496219292</v>
      </c>
      <c r="K701" s="118">
        <f>Quarts!BJ43</f>
        <v>418.05123181588925</v>
      </c>
      <c r="L701" s="118">
        <f>Quarts!BK43</f>
        <v>419.27671334306126</v>
      </c>
      <c r="M701" s="118">
        <f>Quarts!BL43</f>
        <v>419.93030131669445</v>
      </c>
      <c r="N701" s="118">
        <f>Quarts!BM43</f>
        <v>418.04254578103314</v>
      </c>
      <c r="O701" s="118">
        <f>Quarts!BN43</f>
        <v>426.13060254689788</v>
      </c>
      <c r="P701" s="118">
        <f>Quarts!BO43</f>
        <v>422.1350337415455</v>
      </c>
      <c r="Q701" s="118">
        <f>Quarts!BP43</f>
        <v>422.70794855760602</v>
      </c>
      <c r="R701" s="118">
        <f>Quarts!BQ43</f>
        <v>418.85344380986567</v>
      </c>
      <c r="S701" s="118">
        <f>Quarts!BR43</f>
        <v>417.8697218853336</v>
      </c>
    </row>
    <row r="702" spans="3:23">
      <c r="C702" t="s">
        <v>3148</v>
      </c>
      <c r="D702" s="117">
        <v>-3.5</v>
      </c>
      <c r="E702" s="117">
        <v>-2.5</v>
      </c>
      <c r="F702" s="117">
        <v>-1.5</v>
      </c>
      <c r="G702" s="117">
        <v>-0.5</v>
      </c>
      <c r="H702" s="117">
        <v>0.5</v>
      </c>
      <c r="I702" s="117">
        <v>0.5</v>
      </c>
      <c r="J702" s="117">
        <v>0.3</v>
      </c>
      <c r="K702" s="117">
        <v>0.3</v>
      </c>
      <c r="L702" s="117">
        <v>0.15</v>
      </c>
      <c r="M702" s="117">
        <v>0.15</v>
      </c>
      <c r="N702" s="117">
        <v>0.12</v>
      </c>
      <c r="O702" s="117">
        <v>0.1</v>
      </c>
      <c r="P702" s="117">
        <f>O702-0.5%</f>
        <v>9.5000000000000001E-2</v>
      </c>
      <c r="Q702" s="117">
        <f t="shared" ref="Q702:S702" si="99">P702-0.5%</f>
        <v>0.09</v>
      </c>
      <c r="R702" s="117">
        <f t="shared" si="99"/>
        <v>8.4999999999999992E-2</v>
      </c>
      <c r="S702" s="117">
        <f t="shared" si="99"/>
        <v>7.9999999999999988E-2</v>
      </c>
    </row>
    <row r="703" spans="3:23">
      <c r="C703" t="s">
        <v>3149</v>
      </c>
      <c r="D703" s="118">
        <f t="shared" ref="D703:G703" si="100">D701*(1-D702)</f>
        <v>0</v>
      </c>
      <c r="E703" s="118">
        <f t="shared" si="100"/>
        <v>0</v>
      </c>
      <c r="F703" s="118">
        <f t="shared" si="100"/>
        <v>0</v>
      </c>
      <c r="G703" s="118">
        <f t="shared" si="100"/>
        <v>0</v>
      </c>
      <c r="H703" s="118">
        <f>H701*(1-H702)</f>
        <v>210.7942223861676</v>
      </c>
      <c r="I703" s="118">
        <f t="shared" ref="I703:S703" si="101">I701*(1-I702)</f>
        <v>213.26629609272317</v>
      </c>
      <c r="J703" s="118">
        <f t="shared" si="101"/>
        <v>290.21657347353505</v>
      </c>
      <c r="K703" s="118">
        <f t="shared" si="101"/>
        <v>292.63586227112245</v>
      </c>
      <c r="L703" s="118">
        <f t="shared" si="101"/>
        <v>356.38520634160204</v>
      </c>
      <c r="M703" s="118">
        <f t="shared" si="101"/>
        <v>356.94075611919027</v>
      </c>
      <c r="N703" s="118">
        <f t="shared" si="101"/>
        <v>367.87744028730918</v>
      </c>
      <c r="O703" s="118">
        <f t="shared" si="101"/>
        <v>383.51754229220808</v>
      </c>
      <c r="P703" s="118">
        <f t="shared" si="101"/>
        <v>382.03220553609867</v>
      </c>
      <c r="Q703" s="118">
        <f t="shared" si="101"/>
        <v>384.66423318742147</v>
      </c>
      <c r="R703" s="118">
        <f t="shared" si="101"/>
        <v>383.25090108602711</v>
      </c>
      <c r="S703" s="118">
        <f t="shared" si="101"/>
        <v>384.44014413450691</v>
      </c>
    </row>
    <row r="734" spans="3:11" ht="15.75">
      <c r="C734" s="15" t="s">
        <v>2591</v>
      </c>
    </row>
    <row r="735" spans="3:11" ht="15.75">
      <c r="C735" s="114" t="s">
        <v>195</v>
      </c>
      <c r="D735" s="146" t="s">
        <v>2590</v>
      </c>
      <c r="E735" s="146" t="s">
        <v>620</v>
      </c>
      <c r="F735" s="1"/>
      <c r="G735" s="1"/>
      <c r="H735" s="1"/>
      <c r="I735" s="1"/>
      <c r="J735" s="1"/>
      <c r="K735" s="1"/>
    </row>
    <row r="736" spans="3:11" ht="15.75">
      <c r="C736" s="113" t="s">
        <v>2545</v>
      </c>
      <c r="D736" s="143">
        <f>Master!V8</f>
        <v>0.10236076154907847</v>
      </c>
      <c r="E736" s="143" t="s">
        <v>2589</v>
      </c>
    </row>
    <row r="737" spans="3:11" ht="15.75">
      <c r="C737" s="1" t="s">
        <v>16</v>
      </c>
      <c r="D737" s="144">
        <f>Master!V12</f>
        <v>12769.018</v>
      </c>
      <c r="E737" s="144" t="s">
        <v>2589</v>
      </c>
    </row>
    <row r="738" spans="3:11" ht="15.75">
      <c r="C738" s="113" t="s">
        <v>2546</v>
      </c>
      <c r="D738" s="145">
        <v>8292</v>
      </c>
      <c r="E738" s="145"/>
    </row>
    <row r="739" spans="3:11" ht="15.75">
      <c r="C739" s="1" t="s">
        <v>23</v>
      </c>
      <c r="D739" s="148">
        <v>0.34</v>
      </c>
      <c r="E739" s="148">
        <v>0.4</v>
      </c>
    </row>
    <row r="740" spans="3:11" ht="15.75">
      <c r="C740" s="51" t="s">
        <v>239</v>
      </c>
      <c r="D740" s="147" t="e">
        <f>SUM(Quarts!#REF!)</f>
        <v>#REF!</v>
      </c>
      <c r="E740" s="147"/>
    </row>
    <row r="744" spans="3:11" ht="15.75">
      <c r="C744" s="16" t="s">
        <v>2601</v>
      </c>
      <c r="D744" s="82">
        <v>2022</v>
      </c>
      <c r="E744" s="82">
        <f t="shared" ref="E744" si="102">D744+1</f>
        <v>2023</v>
      </c>
      <c r="F744" s="82">
        <f t="shared" ref="F744" si="103">E744+1</f>
        <v>2024</v>
      </c>
      <c r="G744" s="82">
        <f t="shared" ref="G744" si="104">F744+1</f>
        <v>2025</v>
      </c>
      <c r="H744" s="82">
        <f t="shared" ref="H744" si="105">G744+1</f>
        <v>2026</v>
      </c>
      <c r="I744" s="82">
        <f t="shared" ref="I744" si="106">H744+1</f>
        <v>2027</v>
      </c>
      <c r="J744" s="82">
        <f t="shared" ref="J744" si="107">I744+1</f>
        <v>2028</v>
      </c>
      <c r="K744" s="82">
        <f t="shared" ref="K744" si="108">J744+1</f>
        <v>2029</v>
      </c>
    </row>
    <row r="745" spans="3:11" ht="15.75">
      <c r="C745" s="90" t="s">
        <v>169</v>
      </c>
      <c r="D745" s="145">
        <f>Fixed!Q5</f>
        <v>1991.6180000000004</v>
      </c>
      <c r="E745" s="145">
        <f>Fixed!R5</f>
        <v>3877.6889999999985</v>
      </c>
      <c r="F745" s="145">
        <f>Fixed!S5</f>
        <v>1500</v>
      </c>
      <c r="G745" s="145">
        <f>Fixed!T5</f>
        <v>1000</v>
      </c>
      <c r="H745" s="145">
        <f>Fixed!U5</f>
        <v>250</v>
      </c>
      <c r="I745" s="145">
        <f>Fixed!V5</f>
        <v>250</v>
      </c>
      <c r="J745" s="145">
        <f>Fixed!W5</f>
        <v>250</v>
      </c>
      <c r="K745" s="145">
        <f>Fixed!X5</f>
        <v>250</v>
      </c>
    </row>
    <row r="746" spans="3:11" ht="15.75">
      <c r="C746" s="8"/>
      <c r="D746" s="144"/>
      <c r="E746" s="144"/>
      <c r="F746" s="144"/>
      <c r="G746" s="144"/>
      <c r="H746" s="144"/>
      <c r="I746" s="144"/>
      <c r="J746" s="144"/>
      <c r="K746" s="144"/>
    </row>
    <row r="747" spans="3:11" ht="16.5" thickBot="1">
      <c r="C747" s="168" t="s">
        <v>271</v>
      </c>
      <c r="D747" s="145"/>
      <c r="E747" s="145"/>
      <c r="F747" s="145"/>
      <c r="G747" s="145"/>
      <c r="H747" s="145"/>
      <c r="I747" s="145"/>
      <c r="J747" s="145"/>
      <c r="K747" s="145"/>
    </row>
    <row r="748" spans="3:11" ht="15.75">
      <c r="C748" s="8" t="s">
        <v>2596</v>
      </c>
      <c r="D748" s="166">
        <v>0.1</v>
      </c>
      <c r="E748" s="148">
        <f>D748</f>
        <v>0.1</v>
      </c>
      <c r="F748" s="148">
        <f t="shared" ref="F748:K750" si="109">E748</f>
        <v>0.1</v>
      </c>
      <c r="G748" s="148">
        <f t="shared" si="109"/>
        <v>0.1</v>
      </c>
      <c r="H748" s="148">
        <f t="shared" si="109"/>
        <v>0.1</v>
      </c>
      <c r="I748" s="148">
        <f t="shared" si="109"/>
        <v>0.1</v>
      </c>
      <c r="J748" s="148">
        <f t="shared" si="109"/>
        <v>0.1</v>
      </c>
      <c r="K748" s="148">
        <f t="shared" si="109"/>
        <v>0.1</v>
      </c>
    </row>
    <row r="749" spans="3:11" ht="15.75">
      <c r="C749" s="90" t="s">
        <v>2597</v>
      </c>
      <c r="D749" s="169">
        <v>0.1</v>
      </c>
      <c r="E749" s="170">
        <f t="shared" ref="E749" si="110">D749</f>
        <v>0.1</v>
      </c>
      <c r="F749" s="170">
        <f t="shared" si="109"/>
        <v>0.1</v>
      </c>
      <c r="G749" s="170">
        <f t="shared" si="109"/>
        <v>0.1</v>
      </c>
      <c r="H749" s="170">
        <f t="shared" si="109"/>
        <v>0.1</v>
      </c>
      <c r="I749" s="170">
        <f t="shared" si="109"/>
        <v>0.1</v>
      </c>
      <c r="J749" s="170">
        <f t="shared" si="109"/>
        <v>0.1</v>
      </c>
      <c r="K749" s="170">
        <f t="shared" si="109"/>
        <v>0.1</v>
      </c>
    </row>
    <row r="750" spans="3:11" ht="16.5" thickBot="1">
      <c r="C750" s="7" t="s">
        <v>2598</v>
      </c>
      <c r="D750" s="167">
        <v>0.05</v>
      </c>
      <c r="E750" s="161">
        <f t="shared" ref="E750" si="111">D750</f>
        <v>0.05</v>
      </c>
      <c r="F750" s="161">
        <f t="shared" si="109"/>
        <v>0.05</v>
      </c>
      <c r="G750" s="161">
        <f t="shared" si="109"/>
        <v>0.05</v>
      </c>
      <c r="H750" s="161">
        <f t="shared" si="109"/>
        <v>0.05</v>
      </c>
      <c r="I750" s="161">
        <f t="shared" si="109"/>
        <v>0.05</v>
      </c>
      <c r="J750" s="161">
        <f t="shared" si="109"/>
        <v>0.05</v>
      </c>
      <c r="K750" s="161">
        <f t="shared" si="109"/>
        <v>0.05</v>
      </c>
    </row>
    <row r="751" spans="3:11" ht="15.75">
      <c r="C751" s="90" t="s">
        <v>2608</v>
      </c>
      <c r="D751" s="171">
        <f>SUM(D748:D750)</f>
        <v>0.25</v>
      </c>
      <c r="E751" s="171">
        <f t="shared" ref="E751" si="112">SUM(E748:E750)</f>
        <v>0.25</v>
      </c>
      <c r="F751" s="171">
        <f t="shared" ref="F751:K751" si="113">SUM(F748:F750)</f>
        <v>0.25</v>
      </c>
      <c r="G751" s="171">
        <f t="shared" si="113"/>
        <v>0.25</v>
      </c>
      <c r="H751" s="171">
        <f t="shared" si="113"/>
        <v>0.25</v>
      </c>
      <c r="I751" s="171">
        <f t="shared" si="113"/>
        <v>0.25</v>
      </c>
      <c r="J751" s="171">
        <f t="shared" si="113"/>
        <v>0.25</v>
      </c>
      <c r="K751" s="171">
        <f t="shared" si="113"/>
        <v>0.25</v>
      </c>
    </row>
    <row r="752" spans="3:11" ht="15.75">
      <c r="C752" s="8"/>
      <c r="D752" s="162"/>
      <c r="E752" s="162"/>
      <c r="F752" s="162"/>
      <c r="G752" s="162"/>
      <c r="H752" s="162"/>
      <c r="I752" s="162"/>
      <c r="J752" s="162"/>
      <c r="K752" s="162"/>
    </row>
    <row r="753" spans="3:11" ht="15.75">
      <c r="C753" s="168" t="s">
        <v>1827</v>
      </c>
      <c r="D753" s="140"/>
      <c r="E753" s="140"/>
      <c r="F753" s="90"/>
      <c r="G753" s="90"/>
      <c r="H753" s="90"/>
      <c r="I753" s="90"/>
      <c r="J753" s="90"/>
      <c r="K753" s="90"/>
    </row>
    <row r="754" spans="3:11" ht="15.75">
      <c r="C754" s="8" t="s">
        <v>2605</v>
      </c>
      <c r="D754" s="14">
        <f>D745*D748</f>
        <v>199.16180000000006</v>
      </c>
      <c r="E754" s="14">
        <f>E745*E748</f>
        <v>387.76889999999986</v>
      </c>
      <c r="F754" s="14">
        <f t="shared" ref="F754:K754" si="114">F745*F748</f>
        <v>150</v>
      </c>
      <c r="G754" s="14">
        <f t="shared" si="114"/>
        <v>100</v>
      </c>
      <c r="H754" s="14">
        <f t="shared" si="114"/>
        <v>25</v>
      </c>
      <c r="I754" s="14">
        <f t="shared" si="114"/>
        <v>25</v>
      </c>
      <c r="J754" s="14">
        <f t="shared" si="114"/>
        <v>25</v>
      </c>
      <c r="K754" s="14">
        <f t="shared" si="114"/>
        <v>25</v>
      </c>
    </row>
    <row r="755" spans="3:11" ht="15.75">
      <c r="C755" s="90" t="s">
        <v>2607</v>
      </c>
      <c r="D755" s="140"/>
      <c r="E755" s="172">
        <f>D745*D749</f>
        <v>199.16180000000006</v>
      </c>
      <c r="F755" s="172">
        <f>E745*E749</f>
        <v>387.76889999999986</v>
      </c>
      <c r="G755" s="172">
        <f t="shared" ref="G755:K755" si="115">F745*F749</f>
        <v>150</v>
      </c>
      <c r="H755" s="172">
        <f t="shared" si="115"/>
        <v>100</v>
      </c>
      <c r="I755" s="172">
        <f t="shared" si="115"/>
        <v>25</v>
      </c>
      <c r="J755" s="172">
        <f t="shared" si="115"/>
        <v>25</v>
      </c>
      <c r="K755" s="172">
        <f t="shared" si="115"/>
        <v>25</v>
      </c>
    </row>
    <row r="756" spans="3:11" ht="15.75">
      <c r="C756" s="7" t="s">
        <v>2606</v>
      </c>
      <c r="D756" s="124"/>
      <c r="E756" s="124"/>
      <c r="F756" s="49">
        <f>E745*E750</f>
        <v>193.88444999999993</v>
      </c>
      <c r="G756" s="49">
        <f>F745*F750</f>
        <v>75</v>
      </c>
      <c r="H756" s="49">
        <f t="shared" ref="H756:K756" si="116">F745*F750</f>
        <v>75</v>
      </c>
      <c r="I756" s="49">
        <f t="shared" si="116"/>
        <v>50</v>
      </c>
      <c r="J756" s="53">
        <f t="shared" si="116"/>
        <v>12.5</v>
      </c>
      <c r="K756" s="53">
        <f t="shared" si="116"/>
        <v>12.5</v>
      </c>
    </row>
    <row r="757" spans="3:11" ht="15.75">
      <c r="C757" s="90" t="s">
        <v>239</v>
      </c>
      <c r="D757" s="172">
        <f>SUM(D754:D756)</f>
        <v>199.16180000000006</v>
      </c>
      <c r="E757" s="172">
        <f t="shared" ref="E757:K757" si="117">SUM(E754:E756)</f>
        <v>586.93069999999989</v>
      </c>
      <c r="F757" s="172">
        <f t="shared" si="117"/>
        <v>731.6533499999997</v>
      </c>
      <c r="G757" s="172">
        <f t="shared" si="117"/>
        <v>325</v>
      </c>
      <c r="H757" s="172">
        <f t="shared" si="117"/>
        <v>200</v>
      </c>
      <c r="I757" s="172">
        <f t="shared" si="117"/>
        <v>100</v>
      </c>
      <c r="J757" s="173">
        <f t="shared" si="117"/>
        <v>62.5</v>
      </c>
      <c r="K757" s="173">
        <f t="shared" si="117"/>
        <v>62.5</v>
      </c>
    </row>
    <row r="758" spans="3:11" ht="16.5" thickBot="1">
      <c r="C758" s="8"/>
      <c r="D758" s="123"/>
      <c r="E758" s="123"/>
      <c r="F758" s="123"/>
      <c r="G758" s="14"/>
      <c r="H758" s="8"/>
      <c r="I758" s="8"/>
      <c r="J758" s="8"/>
      <c r="K758" s="8"/>
    </row>
    <row r="759" spans="3:11" ht="15.75">
      <c r="C759" s="90" t="s">
        <v>2599</v>
      </c>
      <c r="D759" s="176">
        <v>50</v>
      </c>
      <c r="E759" s="172">
        <f>D759</f>
        <v>50</v>
      </c>
      <c r="F759" s="172">
        <f t="shared" ref="F759:K759" si="118">E759</f>
        <v>50</v>
      </c>
      <c r="G759" s="172">
        <f t="shared" si="118"/>
        <v>50</v>
      </c>
      <c r="H759" s="172">
        <f t="shared" si="118"/>
        <v>50</v>
      </c>
      <c r="I759" s="172">
        <f t="shared" si="118"/>
        <v>50</v>
      </c>
      <c r="J759" s="172">
        <f t="shared" si="118"/>
        <v>50</v>
      </c>
      <c r="K759" s="172">
        <f t="shared" si="118"/>
        <v>50</v>
      </c>
    </row>
    <row r="760" spans="3:11" ht="16.5" thickBot="1">
      <c r="C760" s="8" t="s">
        <v>2600</v>
      </c>
      <c r="D760" s="177">
        <v>150</v>
      </c>
      <c r="E760" s="14">
        <f>D760</f>
        <v>150</v>
      </c>
      <c r="F760" s="14">
        <f t="shared" ref="F760:K760" si="119">E760</f>
        <v>150</v>
      </c>
      <c r="G760" s="14">
        <f t="shared" si="119"/>
        <v>150</v>
      </c>
      <c r="H760" s="14">
        <f t="shared" si="119"/>
        <v>150</v>
      </c>
      <c r="I760" s="14">
        <f t="shared" si="119"/>
        <v>150</v>
      </c>
      <c r="J760" s="14">
        <f t="shared" si="119"/>
        <v>150</v>
      </c>
      <c r="K760" s="14">
        <f t="shared" si="119"/>
        <v>150</v>
      </c>
    </row>
    <row r="761" spans="3:11" ht="16.5" thickBot="1">
      <c r="C761" s="90"/>
      <c r="D761" s="140"/>
      <c r="E761" s="140"/>
      <c r="F761" s="172"/>
      <c r="G761" s="172"/>
      <c r="H761" s="90"/>
      <c r="I761" s="90"/>
      <c r="J761" s="90"/>
      <c r="K761" s="90"/>
    </row>
    <row r="762" spans="3:11" ht="15.75">
      <c r="C762" s="179" t="s">
        <v>2603</v>
      </c>
      <c r="D762" s="180">
        <f>D759*D745/1000</f>
        <v>99.580900000000028</v>
      </c>
      <c r="E762" s="180">
        <f t="shared" ref="E762:K762" si="120">E759*E745/1000</f>
        <v>193.88444999999993</v>
      </c>
      <c r="F762" s="180">
        <f t="shared" si="120"/>
        <v>75</v>
      </c>
      <c r="G762" s="180">
        <f t="shared" si="120"/>
        <v>50</v>
      </c>
      <c r="H762" s="180">
        <f t="shared" si="120"/>
        <v>12.5</v>
      </c>
      <c r="I762" s="180">
        <f t="shared" si="120"/>
        <v>12.5</v>
      </c>
      <c r="J762" s="180">
        <f t="shared" si="120"/>
        <v>12.5</v>
      </c>
      <c r="K762" s="181">
        <f t="shared" si="120"/>
        <v>12.5</v>
      </c>
    </row>
    <row r="763" spans="3:11" ht="15.75">
      <c r="C763" s="182" t="s">
        <v>2602</v>
      </c>
      <c r="D763" s="178">
        <f>D760*D757/1000</f>
        <v>29.874270000000006</v>
      </c>
      <c r="E763" s="178">
        <f t="shared" ref="E763:K763" si="121">E760*E757/1000</f>
        <v>88.03960499999998</v>
      </c>
      <c r="F763" s="178">
        <f t="shared" si="121"/>
        <v>109.74800249999996</v>
      </c>
      <c r="G763" s="178">
        <f t="shared" si="121"/>
        <v>48.75</v>
      </c>
      <c r="H763" s="178">
        <f t="shared" si="121"/>
        <v>30</v>
      </c>
      <c r="I763" s="178">
        <f t="shared" si="121"/>
        <v>15</v>
      </c>
      <c r="J763" s="178">
        <f t="shared" si="121"/>
        <v>9.375</v>
      </c>
      <c r="K763" s="183">
        <f t="shared" si="121"/>
        <v>9.375</v>
      </c>
    </row>
    <row r="764" spans="3:11" ht="16.5" thickBot="1">
      <c r="C764" s="184" t="s">
        <v>2604</v>
      </c>
      <c r="D764" s="185">
        <f>D762+D763</f>
        <v>129.45517000000004</v>
      </c>
      <c r="E764" s="185">
        <f t="shared" ref="E764:K764" si="122">E762+E763</f>
        <v>281.9240549999999</v>
      </c>
      <c r="F764" s="185">
        <f t="shared" si="122"/>
        <v>184.74800249999996</v>
      </c>
      <c r="G764" s="185">
        <f t="shared" si="122"/>
        <v>98.75</v>
      </c>
      <c r="H764" s="185">
        <f t="shared" si="122"/>
        <v>42.5</v>
      </c>
      <c r="I764" s="185">
        <f t="shared" si="122"/>
        <v>27.5</v>
      </c>
      <c r="J764" s="185">
        <f t="shared" si="122"/>
        <v>21.875</v>
      </c>
      <c r="K764" s="186">
        <f t="shared" si="122"/>
        <v>21.875</v>
      </c>
    </row>
    <row r="765" spans="3:11" ht="15.75">
      <c r="C765" s="163"/>
      <c r="D765" s="52"/>
      <c r="E765" s="52"/>
      <c r="F765" s="52"/>
      <c r="G765" s="52"/>
      <c r="H765" s="52"/>
      <c r="I765" s="52"/>
      <c r="J765" s="52"/>
      <c r="K765" s="52"/>
    </row>
    <row r="766" spans="3:11" ht="15.75">
      <c r="C766" s="163"/>
      <c r="D766" s="14"/>
      <c r="E766" s="14"/>
      <c r="F766" s="14"/>
      <c r="G766" s="14"/>
      <c r="H766" s="14"/>
      <c r="I766" s="14"/>
      <c r="J766" s="14"/>
      <c r="K766" s="14"/>
    </row>
    <row r="767" spans="3:11" ht="15.75">
      <c r="C767" s="174" t="s">
        <v>2670</v>
      </c>
      <c r="D767" s="173">
        <f>Quarts!BF39</f>
        <v>422.6</v>
      </c>
      <c r="E767" s="172"/>
      <c r="F767" s="172"/>
      <c r="G767" s="172"/>
      <c r="H767" s="172"/>
      <c r="I767" s="14"/>
      <c r="J767" s="14"/>
      <c r="K767" s="14"/>
    </row>
    <row r="768" spans="3:11" ht="15.75">
      <c r="C768" s="163" t="s">
        <v>2671</v>
      </c>
      <c r="D768" s="164">
        <f>D767/Fixed!Q86</f>
        <v>21.024875621890548</v>
      </c>
      <c r="E768" s="164"/>
      <c r="F768" s="164"/>
      <c r="G768" s="164"/>
      <c r="H768" s="164"/>
      <c r="I768" s="14"/>
      <c r="J768" s="14"/>
      <c r="K768" s="14"/>
    </row>
    <row r="769" spans="3:17" ht="15.75">
      <c r="C769" s="174" t="s">
        <v>2673</v>
      </c>
      <c r="D769" s="188">
        <v>0.25</v>
      </c>
      <c r="E769" s="172"/>
      <c r="F769" s="172"/>
      <c r="G769" s="172"/>
      <c r="H769" s="172"/>
      <c r="I769" s="14"/>
      <c r="J769" s="14"/>
      <c r="K769" s="14"/>
    </row>
    <row r="770" spans="3:17" ht="15.75">
      <c r="C770" s="163" t="s">
        <v>2610</v>
      </c>
      <c r="D770" s="165">
        <v>2.1999999999999999E-2</v>
      </c>
      <c r="E770" s="14"/>
      <c r="F770" s="14"/>
      <c r="G770" s="14"/>
      <c r="H770" s="14"/>
      <c r="I770" s="14"/>
      <c r="J770" s="14"/>
      <c r="K770" s="14"/>
    </row>
    <row r="771" spans="3:17" ht="15.75">
      <c r="C771" s="174" t="s">
        <v>2611</v>
      </c>
      <c r="D771" s="143">
        <f>D770*12</f>
        <v>0.26400000000000001</v>
      </c>
      <c r="E771" s="172"/>
      <c r="F771" s="172"/>
      <c r="G771" s="172"/>
      <c r="H771" s="172"/>
      <c r="I771" s="14"/>
      <c r="J771" s="14"/>
      <c r="K771" s="14"/>
      <c r="L771" s="8"/>
      <c r="M771" s="764" t="s">
        <v>271</v>
      </c>
      <c r="N771" s="764"/>
      <c r="O771" s="764"/>
      <c r="P771" s="764"/>
      <c r="Q771" s="764"/>
    </row>
    <row r="772" spans="3:17" ht="15.75">
      <c r="C772" s="163" t="s">
        <v>2672</v>
      </c>
      <c r="D772" s="164">
        <f>1/D771</f>
        <v>3.7878787878787876</v>
      </c>
      <c r="E772" s="14"/>
      <c r="F772" s="14"/>
      <c r="G772" s="14"/>
      <c r="H772" s="14"/>
      <c r="I772" s="14"/>
      <c r="J772" s="14"/>
      <c r="K772" s="14"/>
      <c r="L772" s="189">
        <f>D786</f>
        <v>0.19948698195852368</v>
      </c>
      <c r="M772" s="190">
        <f>15%</f>
        <v>0.15</v>
      </c>
      <c r="N772" s="190">
        <f>M772+5%</f>
        <v>0.2</v>
      </c>
      <c r="O772" s="190">
        <f>N772+5%</f>
        <v>0.25</v>
      </c>
      <c r="P772" s="190">
        <f>O772+5%</f>
        <v>0.3</v>
      </c>
      <c r="Q772" s="190">
        <f>P772+5%</f>
        <v>0.35</v>
      </c>
    </row>
    <row r="773" spans="3:17" ht="14.65" customHeight="1">
      <c r="C773" s="174" t="s">
        <v>2612</v>
      </c>
      <c r="D773" s="175">
        <v>1</v>
      </c>
      <c r="E773" s="175">
        <v>1</v>
      </c>
      <c r="F773" s="175">
        <v>1</v>
      </c>
      <c r="G773" s="175">
        <f>D772-D773-E773-F773</f>
        <v>0.78787878787878762</v>
      </c>
      <c r="H773" s="172">
        <v>0</v>
      </c>
      <c r="I773" s="14"/>
      <c r="J773" s="14"/>
      <c r="K773" s="765" t="s">
        <v>2620</v>
      </c>
      <c r="L773" s="191">
        <v>0.3</v>
      </c>
      <c r="M773" s="5">
        <f t="dataTable" ref="M773:Q777" dt2D="1" dtr="1" r1="D769" r2="D777"/>
        <v>-0.19966081992033907</v>
      </c>
      <c r="N773" s="5">
        <v>-0.13968077304592147</v>
      </c>
      <c r="O773" s="5">
        <v>-8.9921863044968173E-2</v>
      </c>
      <c r="P773" s="5">
        <v>-4.7497343471417361E-2</v>
      </c>
      <c r="Q773" s="5">
        <v>-1.0652626769078397E-2</v>
      </c>
    </row>
    <row r="774" spans="3:17" ht="15.75">
      <c r="C774" s="163"/>
      <c r="D774" s="14"/>
      <c r="E774" s="14"/>
      <c r="F774" s="14"/>
      <c r="G774" s="14"/>
      <c r="H774" s="14"/>
      <c r="I774" s="20"/>
      <c r="J774" s="20"/>
      <c r="K774" s="765"/>
      <c r="L774" s="191">
        <v>0.4</v>
      </c>
      <c r="M774" s="5">
        <v>-0.10369510176058198</v>
      </c>
      <c r="N774" s="5">
        <v>-2.2395046262831675E-2</v>
      </c>
      <c r="O774" s="5">
        <v>4.7584231512586679E-2</v>
      </c>
      <c r="P774" s="5">
        <v>0.10925141639509366</v>
      </c>
      <c r="Q774" s="5">
        <v>0.16443010262502736</v>
      </c>
    </row>
    <row r="775" spans="3:17" ht="15.75">
      <c r="C775" s="187" t="s">
        <v>2619</v>
      </c>
      <c r="D775" s="82" t="s">
        <v>2613</v>
      </c>
      <c r="E775" s="82" t="s">
        <v>2614</v>
      </c>
      <c r="F775" s="82" t="s">
        <v>2615</v>
      </c>
      <c r="G775" s="82" t="s">
        <v>2616</v>
      </c>
      <c r="H775" s="82" t="s">
        <v>2617</v>
      </c>
      <c r="I775" s="20"/>
      <c r="J775" s="20"/>
      <c r="K775" s="765"/>
      <c r="L775" s="191">
        <f>L774+10%</f>
        <v>0.5</v>
      </c>
      <c r="M775" s="5">
        <v>-5.7714027678075026E-3</v>
      </c>
      <c r="N775" s="5">
        <v>0.10236161770555087</v>
      </c>
      <c r="O775" s="5">
        <v>0.19948698195852368</v>
      </c>
      <c r="P775" s="5">
        <v>0.28852990116360611</v>
      </c>
      <c r="Q775" s="5">
        <v>0.37120475316430995</v>
      </c>
    </row>
    <row r="776" spans="3:17" ht="15.75">
      <c r="C776" s="174" t="s">
        <v>411</v>
      </c>
      <c r="D776" s="173">
        <f>$D$768*12*D773</f>
        <v>252.29850746268659</v>
      </c>
      <c r="E776" s="173">
        <f t="shared" ref="E776:H776" si="123">$D$768*12*E773</f>
        <v>252.29850746268659</v>
      </c>
      <c r="F776" s="173">
        <f t="shared" si="123"/>
        <v>252.29850746268659</v>
      </c>
      <c r="G776" s="173">
        <f t="shared" si="123"/>
        <v>198.78064224332877</v>
      </c>
      <c r="H776" s="173">
        <f t="shared" si="123"/>
        <v>0</v>
      </c>
      <c r="I776" s="20"/>
      <c r="J776" s="20"/>
      <c r="K776" s="765"/>
      <c r="L776" s="191">
        <f>L775+10%</f>
        <v>0.6</v>
      </c>
      <c r="M776" s="5">
        <v>9.7868154369136581E-2</v>
      </c>
      <c r="N776" s="5">
        <v>0.24084134036574048</v>
      </c>
      <c r="O776" s="5">
        <v>0.37589550446486614</v>
      </c>
      <c r="P776" s="5">
        <v>0.50591111870813332</v>
      </c>
      <c r="Q776" s="5">
        <v>0.63250900677745237</v>
      </c>
    </row>
    <row r="777" spans="3:17" ht="15.75">
      <c r="C777" s="163" t="s">
        <v>2620</v>
      </c>
      <c r="D777" s="160">
        <v>0.5</v>
      </c>
      <c r="E777" s="148">
        <f>D777</f>
        <v>0.5</v>
      </c>
      <c r="F777" s="148">
        <f>E777</f>
        <v>0.5</v>
      </c>
      <c r="G777" s="148">
        <f>F777</f>
        <v>0.5</v>
      </c>
      <c r="H777" s="148">
        <f>G777</f>
        <v>0.5</v>
      </c>
      <c r="I777" s="20"/>
      <c r="J777" s="20"/>
      <c r="K777" s="765"/>
      <c r="L777" s="191">
        <f>L776+10%</f>
        <v>0.7</v>
      </c>
      <c r="M777" s="5">
        <v>0.2107363924951921</v>
      </c>
      <c r="N777" s="5">
        <v>0.40029266200654384</v>
      </c>
      <c r="O777" s="5">
        <v>0.59061871685478551</v>
      </c>
      <c r="P777" s="5">
        <v>0.78563759279846102</v>
      </c>
      <c r="Q777" s="5">
        <v>0.98807517096235742</v>
      </c>
    </row>
    <row r="778" spans="3:17" ht="15.75">
      <c r="C778" s="174" t="s">
        <v>16</v>
      </c>
      <c r="D778" s="173">
        <f>D776*D777</f>
        <v>126.14925373134329</v>
      </c>
      <c r="E778" s="173">
        <f t="shared" ref="E778" si="124">E776*E777</f>
        <v>126.14925373134329</v>
      </c>
      <c r="F778" s="173">
        <f t="shared" ref="F778:H778" si="125">F776*F777</f>
        <v>126.14925373134329</v>
      </c>
      <c r="G778" s="173">
        <f t="shared" si="125"/>
        <v>99.390321121664385</v>
      </c>
      <c r="H778" s="173">
        <f t="shared" si="125"/>
        <v>0</v>
      </c>
      <c r="I778" s="20"/>
      <c r="J778" s="20"/>
      <c r="K778" s="20"/>
    </row>
    <row r="779" spans="3:17" ht="15.75">
      <c r="C779" s="163"/>
      <c r="D779" s="14"/>
      <c r="E779" s="14"/>
      <c r="F779" s="14"/>
      <c r="G779" s="14"/>
      <c r="H779" s="14"/>
      <c r="I779" s="20"/>
      <c r="J779" s="20"/>
      <c r="K779" s="20"/>
    </row>
    <row r="780" spans="3:17" ht="15.75">
      <c r="C780" s="174" t="s">
        <v>2621</v>
      </c>
      <c r="D780" s="173">
        <f>D759*(1/D769)</f>
        <v>200</v>
      </c>
      <c r="E780" s="172"/>
      <c r="F780" s="172"/>
      <c r="G780" s="172"/>
      <c r="H780" s="172"/>
      <c r="I780" s="20"/>
      <c r="J780" s="20"/>
      <c r="K780" s="20"/>
    </row>
    <row r="781" spans="3:17" ht="15.75">
      <c r="C781" s="163" t="s">
        <v>2622</v>
      </c>
      <c r="D781" s="52">
        <f>D760</f>
        <v>150</v>
      </c>
      <c r="E781" s="14"/>
      <c r="F781" s="14"/>
      <c r="G781" s="14"/>
      <c r="H781" s="14"/>
      <c r="I781" s="20"/>
      <c r="J781" s="20"/>
      <c r="K781" s="20"/>
    </row>
    <row r="782" spans="3:17" ht="15.75">
      <c r="C782" s="174" t="s">
        <v>2609</v>
      </c>
      <c r="D782" s="173">
        <f>D780+D781</f>
        <v>350</v>
      </c>
      <c r="E782" s="172"/>
      <c r="F782" s="172"/>
      <c r="G782" s="172"/>
      <c r="H782" s="172"/>
      <c r="I782" s="20"/>
      <c r="J782" s="20"/>
      <c r="K782" s="20"/>
    </row>
    <row r="783" spans="3:17" ht="15.75">
      <c r="C783" s="163"/>
      <c r="D783" s="14"/>
      <c r="E783" s="14"/>
      <c r="F783" s="14"/>
      <c r="G783" s="14"/>
      <c r="H783" s="14"/>
      <c r="I783" s="20"/>
      <c r="J783" s="20"/>
      <c r="K783" s="20"/>
    </row>
    <row r="784" spans="3:17" ht="15.75">
      <c r="C784" s="174" t="s">
        <v>24</v>
      </c>
      <c r="D784" s="173">
        <f>D778-D782</f>
        <v>-223.85074626865671</v>
      </c>
      <c r="E784" s="173">
        <f t="shared" ref="E784:H784" si="126">E778-E782</f>
        <v>126.14925373134329</v>
      </c>
      <c r="F784" s="173">
        <f t="shared" si="126"/>
        <v>126.14925373134329</v>
      </c>
      <c r="G784" s="173">
        <f t="shared" si="126"/>
        <v>99.390321121664385</v>
      </c>
      <c r="H784" s="173">
        <f t="shared" si="126"/>
        <v>0</v>
      </c>
      <c r="I784" s="20"/>
      <c r="J784" s="20"/>
      <c r="K784" s="20"/>
    </row>
    <row r="785" spans="3:13" ht="15.75">
      <c r="C785" s="163" t="s">
        <v>2618</v>
      </c>
      <c r="D785" s="148">
        <f>IRR(D784:G784)</f>
        <v>0.2770652527201718</v>
      </c>
      <c r="E785" s="14"/>
      <c r="F785" s="14"/>
      <c r="G785" s="14"/>
      <c r="H785" s="14"/>
      <c r="I785" s="20"/>
      <c r="J785" s="20"/>
      <c r="K785" s="20"/>
    </row>
    <row r="786" spans="3:13" ht="15.75">
      <c r="C786" s="174" t="s">
        <v>2623</v>
      </c>
      <c r="D786" s="170">
        <f>D785*0.72</f>
        <v>0.19948698195852368</v>
      </c>
      <c r="E786" s="172"/>
      <c r="F786" s="172"/>
      <c r="G786" s="172"/>
      <c r="H786" s="172"/>
      <c r="I786" s="20"/>
      <c r="J786" s="20"/>
      <c r="K786" s="20"/>
    </row>
    <row r="787" spans="3:13">
      <c r="C787" s="20"/>
      <c r="D787" s="20"/>
      <c r="E787" s="20"/>
      <c r="F787" s="20"/>
      <c r="G787" s="20"/>
      <c r="H787" s="20"/>
      <c r="I787" s="20"/>
      <c r="J787" s="20"/>
      <c r="K787" s="20"/>
    </row>
    <row r="788" spans="3:13">
      <c r="C788" s="153" t="s">
        <v>2888</v>
      </c>
      <c r="D788" s="20"/>
      <c r="E788" s="20"/>
      <c r="F788" s="20"/>
      <c r="G788" s="20"/>
      <c r="H788" s="20"/>
      <c r="I788" s="20"/>
      <c r="J788" s="20"/>
      <c r="K788" s="20"/>
    </row>
    <row r="789" spans="3:13">
      <c r="C789" s="20"/>
      <c r="D789" s="20"/>
      <c r="E789" s="20"/>
      <c r="F789" s="20"/>
      <c r="G789" s="20"/>
      <c r="H789" s="20"/>
      <c r="I789" s="20"/>
      <c r="J789" s="20"/>
      <c r="K789" s="20"/>
    </row>
    <row r="790" spans="3:13">
      <c r="C790" s="154" t="s">
        <v>2627</v>
      </c>
      <c r="D790" s="20"/>
      <c r="E790" s="20"/>
      <c r="F790" s="20"/>
      <c r="G790" s="20"/>
      <c r="H790" s="20"/>
      <c r="I790" s="20"/>
      <c r="J790" s="20"/>
      <c r="K790" s="20"/>
    </row>
    <row r="791" spans="3:13" ht="15.75">
      <c r="C791" s="187" t="s">
        <v>2626</v>
      </c>
      <c r="D791" s="82">
        <v>2022</v>
      </c>
      <c r="E791" s="82">
        <f>D791+1</f>
        <v>2023</v>
      </c>
      <c r="F791" s="82">
        <f t="shared" ref="F791:K791" si="127">E791+1</f>
        <v>2024</v>
      </c>
      <c r="G791" s="82">
        <f t="shared" si="127"/>
        <v>2025</v>
      </c>
      <c r="H791" s="82">
        <f t="shared" si="127"/>
        <v>2026</v>
      </c>
      <c r="I791" s="82">
        <f t="shared" si="127"/>
        <v>2027</v>
      </c>
      <c r="J791" s="82">
        <f t="shared" si="127"/>
        <v>2028</v>
      </c>
      <c r="K791" s="82">
        <f t="shared" si="127"/>
        <v>2029</v>
      </c>
      <c r="L791" s="82">
        <f t="shared" ref="L791" si="128">K791+1</f>
        <v>2030</v>
      </c>
      <c r="M791" s="82" t="s">
        <v>2633</v>
      </c>
    </row>
    <row r="792" spans="3:13" ht="15.75">
      <c r="C792" s="245" t="s">
        <v>411</v>
      </c>
      <c r="D792" s="261">
        <f>Master!V7</f>
        <v>27155.555</v>
      </c>
      <c r="E792" s="261">
        <f>Master!W7</f>
        <v>29870.54</v>
      </c>
      <c r="F792" s="261">
        <f>Master!X7</f>
        <v>33085.7435653906</v>
      </c>
      <c r="G792" s="261">
        <f>Master!Y7</f>
        <v>36026.705486593608</v>
      </c>
      <c r="H792" s="261">
        <f>Master!Z7</f>
        <v>38748.862943517532</v>
      </c>
      <c r="I792" s="261">
        <f>Master!AA7</f>
        <v>40988.179882362921</v>
      </c>
      <c r="J792" s="261">
        <f>Master!AB7</f>
        <v>43060.801348991758</v>
      </c>
      <c r="K792" s="261">
        <f>Master!AC7</f>
        <v>45094.405156194065</v>
      </c>
      <c r="L792" s="261">
        <f>Master!AD7</f>
        <v>47173.29426766243</v>
      </c>
      <c r="M792" s="261">
        <f>SUM(D792:H792)</f>
        <v>164887.40699550175</v>
      </c>
    </row>
    <row r="793" spans="3:13" ht="15.75">
      <c r="C793" s="192"/>
      <c r="D793" s="14"/>
      <c r="E793" s="14"/>
      <c r="F793" s="14"/>
      <c r="G793" s="14"/>
      <c r="H793" s="14"/>
      <c r="I793" s="14"/>
      <c r="J793" s="14"/>
      <c r="K793" s="14"/>
      <c r="L793" s="14"/>
      <c r="M793" s="14"/>
    </row>
    <row r="794" spans="3:13" ht="15.75">
      <c r="C794" s="321" t="s">
        <v>2629</v>
      </c>
      <c r="D794" s="261">
        <f>Fixed!Q39</f>
        <v>11217.599999999999</v>
      </c>
      <c r="E794" s="261">
        <f>Fixed!R39</f>
        <v>12717.697</v>
      </c>
      <c r="F794" s="261">
        <f>Fixed!S39</f>
        <v>14027.697</v>
      </c>
      <c r="G794" s="261">
        <f>Fixed!T39</f>
        <v>15027.697</v>
      </c>
      <c r="H794" s="261">
        <f>Fixed!U39</f>
        <v>15567.697</v>
      </c>
      <c r="I794" s="261">
        <f>Fixed!V39</f>
        <v>15997.697</v>
      </c>
      <c r="J794" s="261">
        <f>Fixed!W39</f>
        <v>16317.697</v>
      </c>
      <c r="K794" s="261">
        <f>Fixed!X39</f>
        <v>16627.697</v>
      </c>
      <c r="L794" s="261">
        <f>Fixed!Y39</f>
        <v>16927.697</v>
      </c>
      <c r="M794" s="261">
        <f>L794</f>
        <v>16927.697</v>
      </c>
    </row>
    <row r="795" spans="3:13" ht="15.75">
      <c r="C795" s="192" t="s">
        <v>2630</v>
      </c>
      <c r="D795" s="144">
        <f>Fixed!Q21</f>
        <v>4137.8599999999997</v>
      </c>
      <c r="E795" s="144">
        <f>Fixed!R21</f>
        <v>4721.5519999999997</v>
      </c>
      <c r="F795" s="144">
        <f>Fixed!S21</f>
        <v>5281.5519999999997</v>
      </c>
      <c r="G795" s="144">
        <f>Fixed!T21</f>
        <v>5731.5519999999997</v>
      </c>
      <c r="H795" s="144">
        <f>Fixed!U21</f>
        <v>6031.5519999999997</v>
      </c>
      <c r="I795" s="144">
        <f>Fixed!V21</f>
        <v>6231.5519999999997</v>
      </c>
      <c r="J795" s="144">
        <f>Fixed!W21</f>
        <v>6381.5519999999997</v>
      </c>
      <c r="K795" s="144">
        <f>Fixed!X21</f>
        <v>6531.5519999999997</v>
      </c>
      <c r="L795" s="144">
        <f>Fixed!Y21</f>
        <v>6681.5519999999997</v>
      </c>
      <c r="M795" s="144">
        <f>L795</f>
        <v>6681.5519999999997</v>
      </c>
    </row>
    <row r="796" spans="3:13" ht="15.75">
      <c r="C796" s="321" t="s">
        <v>1696</v>
      </c>
      <c r="D796" s="261">
        <f>Fixed!Q42</f>
        <v>4397.9939999999997</v>
      </c>
      <c r="E796" s="261">
        <f>Fixed!R42</f>
        <v>4945.826</v>
      </c>
      <c r="F796" s="261">
        <f>Fixed!S42</f>
        <v>5566.5464285714288</v>
      </c>
      <c r="G796" s="261">
        <f>Fixed!T42</f>
        <v>5963.3718253968254</v>
      </c>
      <c r="H796" s="261">
        <f>Fixed!U42</f>
        <v>6177.6575396825401</v>
      </c>
      <c r="I796" s="261">
        <f>Fixed!V42</f>
        <v>6348.2924603174606</v>
      </c>
      <c r="J796" s="261">
        <f>Fixed!W42</f>
        <v>6475.2765873015869</v>
      </c>
      <c r="K796" s="261">
        <f>Fixed!X42</f>
        <v>6598.2924603174606</v>
      </c>
      <c r="L796" s="261">
        <f>Fixed!Y42</f>
        <v>6717.340079365079</v>
      </c>
      <c r="M796" s="261">
        <f>L796</f>
        <v>6717.340079365079</v>
      </c>
    </row>
    <row r="797" spans="3:13" ht="15.75">
      <c r="C797" s="192"/>
      <c r="D797" s="14"/>
      <c r="E797" s="14"/>
      <c r="F797" s="14"/>
      <c r="G797" s="14"/>
      <c r="H797" s="14"/>
      <c r="I797" s="14"/>
      <c r="J797" s="14"/>
      <c r="K797" s="14"/>
      <c r="L797" s="14"/>
      <c r="M797" s="14"/>
    </row>
    <row r="798" spans="3:13" ht="15.75">
      <c r="C798" s="245" t="s">
        <v>16</v>
      </c>
      <c r="D798" s="261">
        <f>Master!V12</f>
        <v>12769.018</v>
      </c>
      <c r="E798" s="261">
        <f>Master!W12</f>
        <v>13319.993</v>
      </c>
      <c r="F798" s="261">
        <f>Master!X12</f>
        <v>15052.832575733581</v>
      </c>
      <c r="G798" s="261">
        <f>Master!Y12</f>
        <v>16703.957652064935</v>
      </c>
      <c r="H798" s="261">
        <f>Master!Z12</f>
        <v>18327.740334193342</v>
      </c>
      <c r="I798" s="261">
        <f>Master!AA12</f>
        <v>19380.874705245034</v>
      </c>
      <c r="J798" s="261">
        <f>Master!AB12</f>
        <v>20348.811684158078</v>
      </c>
      <c r="K798" s="261">
        <f>Master!AC12</f>
        <v>21293.802702552686</v>
      </c>
      <c r="L798" s="261">
        <f>Master!AD12</f>
        <v>22256.816417354494</v>
      </c>
      <c r="M798" s="261">
        <f>SUM(D798:H798)</f>
        <v>76173.541561991864</v>
      </c>
    </row>
    <row r="799" spans="3:13" ht="15.75">
      <c r="C799" s="163" t="s">
        <v>200</v>
      </c>
      <c r="D799" s="165">
        <f>D798/D792</f>
        <v>0.47021753007810002</v>
      </c>
      <c r="E799" s="165">
        <f>E798/E792</f>
        <v>0.44592407770331571</v>
      </c>
      <c r="F799" s="165">
        <f t="shared" ref="F799:L799" si="129">F798/F792</f>
        <v>0.45496431252884467</v>
      </c>
      <c r="G799" s="165">
        <f t="shared" si="129"/>
        <v>0.46365487563887503</v>
      </c>
      <c r="H799" s="165">
        <f t="shared" si="129"/>
        <v>0.47298782317584032</v>
      </c>
      <c r="I799" s="165">
        <f t="shared" si="129"/>
        <v>0.47284057893930931</v>
      </c>
      <c r="J799" s="165">
        <f t="shared" si="129"/>
        <v>0.4725599860355254</v>
      </c>
      <c r="K799" s="165">
        <f t="shared" si="129"/>
        <v>0.47220498039162667</v>
      </c>
      <c r="L799" s="165">
        <f t="shared" si="129"/>
        <v>0.47180967034162957</v>
      </c>
      <c r="M799" s="14"/>
    </row>
    <row r="800" spans="3:13" ht="15.75">
      <c r="C800" s="245"/>
      <c r="D800" s="322"/>
      <c r="E800" s="322"/>
      <c r="F800" s="322"/>
      <c r="G800" s="322"/>
      <c r="H800" s="322"/>
      <c r="I800" s="322"/>
      <c r="J800" s="322"/>
      <c r="K800" s="322"/>
      <c r="L800" s="322"/>
      <c r="M800" s="322"/>
    </row>
    <row r="801" spans="3:13" ht="15.75">
      <c r="C801" s="163" t="s">
        <v>22</v>
      </c>
      <c r="D801" s="144">
        <f>Master!V44</f>
        <v>11836</v>
      </c>
      <c r="E801" s="144">
        <f>Master!W44</f>
        <v>12949</v>
      </c>
      <c r="F801" s="144">
        <f>Master!X44</f>
        <v>10918.295376578899</v>
      </c>
      <c r="G801" s="144">
        <f>Master!Y44</f>
        <v>10087.477536246211</v>
      </c>
      <c r="H801" s="144">
        <f>Master!Z44</f>
        <v>9687.2157358793829</v>
      </c>
      <c r="I801" s="144">
        <f>Master!AA44</f>
        <v>9427.2813729434729</v>
      </c>
      <c r="J801" s="144">
        <f>Master!AB44</f>
        <v>9903.9843102681043</v>
      </c>
      <c r="K801" s="144">
        <f>Master!AC44</f>
        <v>10371.713185924635</v>
      </c>
      <c r="L801" s="144">
        <f>Master!AD44</f>
        <v>10849.85768156236</v>
      </c>
      <c r="M801" s="144">
        <f>SUM(D801:H801)</f>
        <v>55477.988648704493</v>
      </c>
    </row>
    <row r="802" spans="3:13" ht="15.75">
      <c r="C802" s="323" t="s">
        <v>2634</v>
      </c>
      <c r="D802" s="324">
        <f>Master!V47</f>
        <v>588.85572139303474</v>
      </c>
      <c r="E802" s="324">
        <f>Master!W47</f>
        <v>730.34404963338977</v>
      </c>
      <c r="F802" s="324">
        <f>Master!X47</f>
        <v>642.25266921052344</v>
      </c>
      <c r="G802" s="324">
        <f>Master!Y47</f>
        <v>593.38103154389478</v>
      </c>
      <c r="H802" s="324">
        <f>Master!Z47</f>
        <v>569.83621975761071</v>
      </c>
      <c r="I802" s="324">
        <f>Master!AA47</f>
        <v>554.54596311432192</v>
      </c>
      <c r="J802" s="324">
        <f>Master!AB47</f>
        <v>582.58731236871199</v>
      </c>
      <c r="K802" s="324">
        <f>Master!AC47</f>
        <v>610.10077564262554</v>
      </c>
      <c r="L802" s="324">
        <f>Master!AD47</f>
        <v>638.22692244484472</v>
      </c>
      <c r="M802" s="324">
        <f>SUM(D802:H802)</f>
        <v>3124.6696915384537</v>
      </c>
    </row>
    <row r="803" spans="3:13" ht="15.75">
      <c r="C803" s="163" t="s">
        <v>23</v>
      </c>
      <c r="D803" s="148">
        <f>D801/D792</f>
        <v>0.4358592560527671</v>
      </c>
      <c r="E803" s="148">
        <f>E801/E792</f>
        <v>0.43350404780094365</v>
      </c>
      <c r="F803" s="148">
        <f t="shared" ref="F803:K803" si="130">F801/F792</f>
        <v>0.33</v>
      </c>
      <c r="G803" s="148">
        <f t="shared" si="130"/>
        <v>0.28000000000000003</v>
      </c>
      <c r="H803" s="148">
        <f t="shared" si="130"/>
        <v>0.25</v>
      </c>
      <c r="I803" s="148">
        <f t="shared" si="130"/>
        <v>0.23</v>
      </c>
      <c r="J803" s="148">
        <f t="shared" si="130"/>
        <v>0.23</v>
      </c>
      <c r="K803" s="148">
        <f t="shared" si="130"/>
        <v>0.22999999999999998</v>
      </c>
      <c r="L803" s="148">
        <f t="shared" ref="L803" si="131">L801/L792</f>
        <v>0.23000000000000004</v>
      </c>
      <c r="M803" s="8"/>
    </row>
    <row r="804" spans="3:13" ht="15.75">
      <c r="C804" s="245" t="s">
        <v>24</v>
      </c>
      <c r="D804" s="261">
        <f>D798-D801</f>
        <v>933.01800000000003</v>
      </c>
      <c r="E804" s="261">
        <f t="shared" ref="E804" si="132">E798-E801</f>
        <v>370.99300000000039</v>
      </c>
      <c r="F804" s="261">
        <f t="shared" ref="F804:K804" si="133">F798-F801</f>
        <v>4134.5371991546817</v>
      </c>
      <c r="G804" s="261">
        <f t="shared" si="133"/>
        <v>6616.4801158187238</v>
      </c>
      <c r="H804" s="261">
        <f t="shared" si="133"/>
        <v>8640.5245983139594</v>
      </c>
      <c r="I804" s="261">
        <f t="shared" si="133"/>
        <v>9953.5933323015615</v>
      </c>
      <c r="J804" s="261">
        <f t="shared" si="133"/>
        <v>10444.827373889973</v>
      </c>
      <c r="K804" s="261">
        <f t="shared" si="133"/>
        <v>10922.089516628052</v>
      </c>
      <c r="L804" s="261">
        <f t="shared" ref="L804" si="134">L798-L801</f>
        <v>11406.958735792134</v>
      </c>
      <c r="M804" s="243"/>
    </row>
    <row r="805" spans="3:13" ht="15.75">
      <c r="C805" s="163" t="s">
        <v>200</v>
      </c>
      <c r="D805" s="148">
        <f>D804/D792</f>
        <v>3.4358274025332938E-2</v>
      </c>
      <c r="E805" s="148">
        <f>E804/E792</f>
        <v>1.2420029902372049E-2</v>
      </c>
      <c r="F805" s="148">
        <f t="shared" ref="F805:L805" si="135">F804/F792</f>
        <v>0.12496431252884464</v>
      </c>
      <c r="G805" s="148">
        <f t="shared" si="135"/>
        <v>0.18365487563887498</v>
      </c>
      <c r="H805" s="148">
        <f t="shared" si="135"/>
        <v>0.22298782317584034</v>
      </c>
      <c r="I805" s="148">
        <f t="shared" si="135"/>
        <v>0.24284057893930927</v>
      </c>
      <c r="J805" s="148">
        <f t="shared" si="135"/>
        <v>0.24255998603552539</v>
      </c>
      <c r="K805" s="148">
        <f t="shared" si="135"/>
        <v>0.24220498039162666</v>
      </c>
      <c r="L805" s="148">
        <f t="shared" si="135"/>
        <v>0.24180967034162951</v>
      </c>
      <c r="M805" s="8"/>
    </row>
    <row r="806" spans="3:13" ht="15.75">
      <c r="C806" s="245"/>
      <c r="D806" s="322"/>
      <c r="E806" s="322"/>
      <c r="F806" s="322"/>
      <c r="G806" s="322"/>
      <c r="H806" s="322"/>
      <c r="I806" s="322"/>
      <c r="J806" s="322"/>
      <c r="K806" s="322"/>
      <c r="L806" s="243"/>
      <c r="M806" s="243"/>
    </row>
    <row r="807" spans="3:13" ht="15.75" outlineLevel="1">
      <c r="C807" s="194" t="s">
        <v>2628</v>
      </c>
      <c r="D807" s="14"/>
      <c r="E807" s="14"/>
      <c r="F807" s="14"/>
      <c r="G807" s="14"/>
      <c r="H807" s="14"/>
      <c r="I807" s="14"/>
      <c r="J807" s="14"/>
      <c r="K807" s="14"/>
      <c r="L807" s="8"/>
      <c r="M807" s="8"/>
    </row>
    <row r="808" spans="3:13" ht="15.75" outlineLevel="1">
      <c r="C808" s="187" t="s">
        <v>2626</v>
      </c>
      <c r="D808" s="82">
        <v>2022</v>
      </c>
      <c r="E808" s="82">
        <f>D808+1</f>
        <v>2023</v>
      </c>
      <c r="F808" s="82">
        <f t="shared" ref="F808:L808" si="136">E808+1</f>
        <v>2024</v>
      </c>
      <c r="G808" s="82">
        <f t="shared" si="136"/>
        <v>2025</v>
      </c>
      <c r="H808" s="82">
        <f t="shared" si="136"/>
        <v>2026</v>
      </c>
      <c r="I808" s="82">
        <f t="shared" si="136"/>
        <v>2027</v>
      </c>
      <c r="J808" s="82">
        <f t="shared" si="136"/>
        <v>2028</v>
      </c>
      <c r="K808" s="82">
        <f t="shared" si="136"/>
        <v>2029</v>
      </c>
      <c r="L808" s="82">
        <f t="shared" si="136"/>
        <v>2030</v>
      </c>
      <c r="M808" s="8"/>
    </row>
    <row r="809" spans="3:13" ht="15.75" outlineLevel="1">
      <c r="C809" s="245" t="s">
        <v>411</v>
      </c>
      <c r="D809" s="261">
        <v>27155.555</v>
      </c>
      <c r="E809" s="261">
        <v>29655.320710804073</v>
      </c>
      <c r="F809" s="261">
        <v>32677.826293296472</v>
      </c>
      <c r="G809" s="261">
        <v>35778.094703507391</v>
      </c>
      <c r="H809" s="261">
        <v>38486.917499743155</v>
      </c>
      <c r="I809" s="261">
        <v>40684.583452397972</v>
      </c>
      <c r="J809" s="261">
        <v>42721.934927825758</v>
      </c>
      <c r="K809" s="261">
        <v>44721.678454322282</v>
      </c>
      <c r="L809" s="261">
        <v>46765.759890292567</v>
      </c>
      <c r="M809" s="261">
        <v>163753.71420735109</v>
      </c>
    </row>
    <row r="810" spans="3:13" ht="15.75" outlineLevel="1">
      <c r="C810" s="192"/>
      <c r="D810" s="14"/>
      <c r="E810" s="14"/>
      <c r="F810" s="14"/>
      <c r="G810" s="14"/>
      <c r="H810" s="14"/>
      <c r="I810" s="14"/>
      <c r="J810" s="14"/>
      <c r="K810" s="14"/>
      <c r="L810" s="14"/>
      <c r="M810" s="14"/>
    </row>
    <row r="811" spans="3:13" ht="15.75" outlineLevel="1">
      <c r="C811" s="321" t="s">
        <v>2624</v>
      </c>
      <c r="D811" s="261">
        <v>11217.599999999999</v>
      </c>
      <c r="E811" s="261">
        <v>12682.599999999999</v>
      </c>
      <c r="F811" s="261">
        <v>14032.599999999999</v>
      </c>
      <c r="G811" s="261">
        <v>15017.599999999999</v>
      </c>
      <c r="H811" s="261">
        <v>15557.599999999999</v>
      </c>
      <c r="I811" s="261">
        <v>15987.599999999999</v>
      </c>
      <c r="J811" s="261">
        <v>16307.599999999999</v>
      </c>
      <c r="K811" s="261">
        <v>16617.599999999999</v>
      </c>
      <c r="L811" s="261">
        <v>16917.599999999999</v>
      </c>
      <c r="M811" s="261">
        <v>16917.599999999999</v>
      </c>
    </row>
    <row r="812" spans="3:13" ht="15.75" outlineLevel="1">
      <c r="C812" s="192" t="s">
        <v>2625</v>
      </c>
      <c r="D812" s="144">
        <v>4137.8599999999997</v>
      </c>
      <c r="E812" s="144">
        <v>4697.8599999999997</v>
      </c>
      <c r="F812" s="144">
        <v>5297.86</v>
      </c>
      <c r="G812" s="144">
        <v>5797.86</v>
      </c>
      <c r="H812" s="144">
        <v>6097.86</v>
      </c>
      <c r="I812" s="144">
        <v>6297.86</v>
      </c>
      <c r="J812" s="144">
        <v>6447.86</v>
      </c>
      <c r="K812" s="144">
        <v>6597.86</v>
      </c>
      <c r="L812" s="144">
        <v>6747.86</v>
      </c>
      <c r="M812" s="144">
        <v>6747.86</v>
      </c>
    </row>
    <row r="813" spans="3:13" ht="15.75" outlineLevel="1">
      <c r="C813" s="321" t="s">
        <v>175</v>
      </c>
      <c r="D813" s="261">
        <v>4397.9939999999997</v>
      </c>
      <c r="E813" s="261">
        <v>4915.7364341085267</v>
      </c>
      <c r="F813" s="261">
        <v>5438.9922480620153</v>
      </c>
      <c r="G813" s="261">
        <v>5820.7751937984494</v>
      </c>
      <c r="H813" s="261">
        <v>6030.0775193798445</v>
      </c>
      <c r="I813" s="261">
        <v>6196.7441860465115</v>
      </c>
      <c r="J813" s="261">
        <v>6320.7751937984494</v>
      </c>
      <c r="K813" s="261">
        <v>6440.9302325581384</v>
      </c>
      <c r="L813" s="261">
        <v>6557.2093023255802</v>
      </c>
      <c r="M813" s="261">
        <v>6557.2093023255802</v>
      </c>
    </row>
    <row r="814" spans="3:13" ht="15.75" outlineLevel="1">
      <c r="C814" s="192"/>
      <c r="D814" s="14"/>
      <c r="E814" s="14"/>
      <c r="F814" s="14"/>
      <c r="G814" s="14"/>
      <c r="H814" s="14"/>
      <c r="I814" s="14"/>
      <c r="J814" s="14"/>
      <c r="K814" s="14"/>
      <c r="L814" s="14"/>
      <c r="M814" s="14"/>
    </row>
    <row r="815" spans="3:13" ht="15.75" outlineLevel="1">
      <c r="C815" s="245" t="s">
        <v>16</v>
      </c>
      <c r="D815" s="261">
        <v>12769.018</v>
      </c>
      <c r="E815" s="261">
        <v>13127.996725192865</v>
      </c>
      <c r="F815" s="261">
        <v>14289.695963449894</v>
      </c>
      <c r="G815" s="261">
        <v>15887.583463613404</v>
      </c>
      <c r="H815" s="261">
        <v>17097.070312881853</v>
      </c>
      <c r="I815" s="261">
        <v>18068.599339613065</v>
      </c>
      <c r="J815" s="261">
        <v>18963.313206752551</v>
      </c>
      <c r="K815" s="261">
        <v>19837.389419623127</v>
      </c>
      <c r="L815" s="261">
        <v>20728.230725059442</v>
      </c>
      <c r="M815" s="261">
        <v>73171.364465138016</v>
      </c>
    </row>
    <row r="816" spans="3:13" ht="15.75" outlineLevel="1">
      <c r="C816" s="163" t="s">
        <v>200</v>
      </c>
      <c r="D816" s="165">
        <v>0.47021753007810002</v>
      </c>
      <c r="E816" s="165">
        <v>0.44268604791753446</v>
      </c>
      <c r="F816" s="165">
        <v>0.4372902847084808</v>
      </c>
      <c r="G816" s="165">
        <v>0.4440589582892438</v>
      </c>
      <c r="H816" s="165">
        <v>0.44423070028915546</v>
      </c>
      <c r="I816" s="165">
        <v>0.44411415347913785</v>
      </c>
      <c r="J816" s="165">
        <v>0.44387767639244541</v>
      </c>
      <c r="K816" s="165">
        <v>0.44357434929202377</v>
      </c>
      <c r="L816" s="165">
        <v>0.44323519544396667</v>
      </c>
      <c r="M816" s="14"/>
    </row>
    <row r="817" spans="3:13" ht="15.75" outlineLevel="1">
      <c r="C817" s="245"/>
      <c r="D817" s="322"/>
      <c r="E817" s="322"/>
      <c r="F817" s="322"/>
      <c r="G817" s="322"/>
      <c r="H817" s="322"/>
      <c r="I817" s="322"/>
      <c r="J817" s="322"/>
      <c r="K817" s="322"/>
      <c r="L817" s="322"/>
      <c r="M817" s="322"/>
    </row>
    <row r="818" spans="3:13" ht="15.75" outlineLevel="1">
      <c r="C818" s="163" t="s">
        <v>22</v>
      </c>
      <c r="D818" s="144">
        <v>11836</v>
      </c>
      <c r="E818" s="144">
        <v>12677.649603868742</v>
      </c>
      <c r="F818" s="144">
        <v>11110.460939720801</v>
      </c>
      <c r="G818" s="144">
        <v>9302.3046229119227</v>
      </c>
      <c r="H818" s="144">
        <v>9236.8601999383573</v>
      </c>
      <c r="I818" s="144">
        <v>9357.4541940515337</v>
      </c>
      <c r="J818" s="144">
        <v>9398.8256841216662</v>
      </c>
      <c r="K818" s="144">
        <v>9838.7692599509028</v>
      </c>
      <c r="L818" s="144">
        <v>10288.467175864365</v>
      </c>
      <c r="M818" s="144">
        <v>54163.275366439819</v>
      </c>
    </row>
    <row r="819" spans="3:13" ht="15.75" outlineLevel="1">
      <c r="C819" s="323" t="s">
        <v>2634</v>
      </c>
      <c r="D819" s="324">
        <v>588.85572139303474</v>
      </c>
      <c r="E819" s="324">
        <v>745.74409434522011</v>
      </c>
      <c r="F819" s="324">
        <v>653.55652586592942</v>
      </c>
      <c r="G819" s="324">
        <v>547.19438958305432</v>
      </c>
      <c r="H819" s="324">
        <v>543.34471764343277</v>
      </c>
      <c r="I819" s="324">
        <v>550.43848200303137</v>
      </c>
      <c r="J819" s="324">
        <v>552.87209906598036</v>
      </c>
      <c r="K819" s="324">
        <v>578.75113293828838</v>
      </c>
      <c r="L819" s="324">
        <v>605.20395152143328</v>
      </c>
      <c r="M819" s="324">
        <v>3078.6954488306715</v>
      </c>
    </row>
    <row r="820" spans="3:13" ht="15.75" outlineLevel="1">
      <c r="C820" s="163" t="s">
        <v>23</v>
      </c>
      <c r="D820" s="148">
        <v>0.4358592560527671</v>
      </c>
      <c r="E820" s="148">
        <v>0.42750000000000005</v>
      </c>
      <c r="F820" s="148">
        <v>0.34</v>
      </c>
      <c r="G820" s="148">
        <v>0.26</v>
      </c>
      <c r="H820" s="148">
        <v>0.24</v>
      </c>
      <c r="I820" s="148">
        <v>0.23</v>
      </c>
      <c r="J820" s="148">
        <v>0.22</v>
      </c>
      <c r="K820" s="148">
        <v>0.22000000000000003</v>
      </c>
      <c r="L820" s="148">
        <v>0.22</v>
      </c>
      <c r="M820" s="8"/>
    </row>
    <row r="821" spans="3:13" ht="15.75" outlineLevel="1">
      <c r="C821" s="245" t="s">
        <v>24</v>
      </c>
      <c r="D821" s="261">
        <v>933.01800000000003</v>
      </c>
      <c r="E821" s="261">
        <v>450.34712132412278</v>
      </c>
      <c r="F821" s="261">
        <v>3179.2350237290939</v>
      </c>
      <c r="G821" s="261">
        <v>6585.2788407014814</v>
      </c>
      <c r="H821" s="261">
        <v>7860.2101129434959</v>
      </c>
      <c r="I821" s="261">
        <v>8711.1451455615315</v>
      </c>
      <c r="J821" s="261">
        <v>9564.487522630885</v>
      </c>
      <c r="K821" s="261">
        <v>9998.620159672224</v>
      </c>
      <c r="L821" s="261">
        <v>10439.763549195077</v>
      </c>
      <c r="M821" s="243"/>
    </row>
    <row r="822" spans="3:13" ht="15.75" outlineLevel="1">
      <c r="C822" s="163" t="s">
        <v>200</v>
      </c>
      <c r="D822" s="148">
        <v>3.4358274025332938E-2</v>
      </c>
      <c r="E822" s="148">
        <v>1.5186047917534461E-2</v>
      </c>
      <c r="F822" s="148">
        <v>9.7290284708480806E-2</v>
      </c>
      <c r="G822" s="148">
        <v>0.18405895828924379</v>
      </c>
      <c r="H822" s="148">
        <v>0.20423070028915544</v>
      </c>
      <c r="I822" s="148">
        <v>0.21411415347913784</v>
      </c>
      <c r="J822" s="148">
        <v>0.22387767639244541</v>
      </c>
      <c r="K822" s="148">
        <v>0.22357434929202377</v>
      </c>
      <c r="L822" s="148">
        <v>0.22323519544396664</v>
      </c>
      <c r="M822" s="8"/>
    </row>
    <row r="823" spans="3:13" ht="15.75" outlineLevel="1">
      <c r="C823" s="245"/>
      <c r="D823" s="322"/>
      <c r="E823" s="322"/>
      <c r="F823" s="322"/>
      <c r="G823" s="322"/>
      <c r="H823" s="322"/>
      <c r="I823" s="322"/>
      <c r="J823" s="322"/>
      <c r="K823" s="322"/>
      <c r="L823" s="243"/>
      <c r="M823" s="243"/>
    </row>
    <row r="824" spans="3:13" outlineLevel="1">
      <c r="D824"/>
      <c r="E824"/>
    </row>
    <row r="825" spans="3:13" ht="15.75">
      <c r="C825" s="187" t="s">
        <v>2</v>
      </c>
      <c r="D825" s="82">
        <v>2022</v>
      </c>
      <c r="E825" s="82">
        <f>D825+1</f>
        <v>2023</v>
      </c>
      <c r="F825" s="82">
        <f t="shared" ref="F825:L825" si="137">E825+1</f>
        <v>2024</v>
      </c>
      <c r="G825" s="82">
        <f t="shared" si="137"/>
        <v>2025</v>
      </c>
      <c r="H825" s="82">
        <f t="shared" si="137"/>
        <v>2026</v>
      </c>
      <c r="I825" s="82">
        <f t="shared" si="137"/>
        <v>2027</v>
      </c>
      <c r="J825" s="82">
        <f t="shared" si="137"/>
        <v>2028</v>
      </c>
      <c r="K825" s="82">
        <f t="shared" si="137"/>
        <v>2029</v>
      </c>
      <c r="L825" s="82">
        <f t="shared" si="137"/>
        <v>2030</v>
      </c>
      <c r="M825" s="14"/>
    </row>
    <row r="826" spans="3:13" ht="15.75">
      <c r="C826" s="245" t="s">
        <v>411</v>
      </c>
      <c r="D826" s="325">
        <f>D792/D809-1</f>
        <v>0</v>
      </c>
      <c r="E826" s="325">
        <f>E792/E809-1</f>
        <v>7.2573583437092193E-3</v>
      </c>
      <c r="F826" s="325">
        <f>F792/F809-1</f>
        <v>1.2482998974072235E-2</v>
      </c>
      <c r="G826" s="325">
        <f t="shared" ref="G826:L826" si="138">G792/G809-1</f>
        <v>6.948687042908519E-3</v>
      </c>
      <c r="H826" s="325">
        <f t="shared" si="138"/>
        <v>6.8060905053288767E-3</v>
      </c>
      <c r="I826" s="325">
        <f t="shared" si="138"/>
        <v>7.4621983120501945E-3</v>
      </c>
      <c r="J826" s="325">
        <f t="shared" si="138"/>
        <v>7.931907151173645E-3</v>
      </c>
      <c r="K826" s="325">
        <f t="shared" si="138"/>
        <v>8.3343629924910179E-3</v>
      </c>
      <c r="L826" s="325">
        <f t="shared" si="138"/>
        <v>8.714375182310663E-3</v>
      </c>
      <c r="M826" s="261">
        <f>M792-M809</f>
        <v>1133.6927881506563</v>
      </c>
    </row>
    <row r="827" spans="3:13" ht="15.75">
      <c r="C827" s="192"/>
      <c r="D827" s="14"/>
      <c r="E827" s="14"/>
      <c r="F827" s="14"/>
      <c r="G827" s="14"/>
      <c r="H827" s="14"/>
      <c r="I827" s="14"/>
      <c r="J827" s="14"/>
      <c r="K827" s="14"/>
      <c r="L827" s="14"/>
      <c r="M827" s="14"/>
    </row>
    <row r="828" spans="3:13" ht="15.75">
      <c r="C828" s="321" t="s">
        <v>2629</v>
      </c>
      <c r="D828" s="261">
        <f>D794-D811</f>
        <v>0</v>
      </c>
      <c r="E828" s="261">
        <f t="shared" ref="E828:F828" si="139">E794-E811</f>
        <v>35.097000000001572</v>
      </c>
      <c r="F828" s="261">
        <f t="shared" si="139"/>
        <v>-4.9029999999984284</v>
      </c>
      <c r="G828" s="261">
        <f t="shared" ref="G828:L828" si="140">G794-G811</f>
        <v>10.097000000001572</v>
      </c>
      <c r="H828" s="261">
        <f t="shared" si="140"/>
        <v>10.097000000001572</v>
      </c>
      <c r="I828" s="261">
        <f t="shared" si="140"/>
        <v>10.097000000001572</v>
      </c>
      <c r="J828" s="261">
        <f t="shared" si="140"/>
        <v>10.097000000001572</v>
      </c>
      <c r="K828" s="261">
        <f t="shared" si="140"/>
        <v>10.097000000001572</v>
      </c>
      <c r="L828" s="261">
        <f t="shared" si="140"/>
        <v>10.097000000001572</v>
      </c>
      <c r="M828" s="261">
        <f>M794-M811</f>
        <v>10.097000000001572</v>
      </c>
    </row>
    <row r="829" spans="3:13" ht="15.75">
      <c r="C829" s="192" t="s">
        <v>2630</v>
      </c>
      <c r="D829" s="144">
        <f t="shared" ref="D829:F829" si="141">D795-D812</f>
        <v>0</v>
      </c>
      <c r="E829" s="144">
        <f t="shared" si="141"/>
        <v>23.692000000000007</v>
      </c>
      <c r="F829" s="144">
        <f t="shared" si="141"/>
        <v>-16.307999999999993</v>
      </c>
      <c r="G829" s="144">
        <f t="shared" ref="G829:L829" si="142">G795-G812</f>
        <v>-66.307999999999993</v>
      </c>
      <c r="H829" s="144">
        <f t="shared" si="142"/>
        <v>-66.307999999999993</v>
      </c>
      <c r="I829" s="144">
        <f t="shared" si="142"/>
        <v>-66.307999999999993</v>
      </c>
      <c r="J829" s="144">
        <f t="shared" si="142"/>
        <v>-66.307999999999993</v>
      </c>
      <c r="K829" s="144">
        <f t="shared" si="142"/>
        <v>-66.307999999999993</v>
      </c>
      <c r="L829" s="144">
        <f t="shared" si="142"/>
        <v>-66.307999999999993</v>
      </c>
      <c r="M829" s="144">
        <f>M795-M812</f>
        <v>-66.307999999999993</v>
      </c>
    </row>
    <row r="830" spans="3:13" ht="15.75">
      <c r="C830" s="321" t="s">
        <v>1696</v>
      </c>
      <c r="D830" s="261">
        <f t="shared" ref="D830:F830" si="143">D796-D813</f>
        <v>0</v>
      </c>
      <c r="E830" s="261">
        <f t="shared" si="143"/>
        <v>30.089565891473285</v>
      </c>
      <c r="F830" s="261">
        <f t="shared" si="143"/>
        <v>127.55418050941353</v>
      </c>
      <c r="G830" s="261">
        <f t="shared" ref="G830:L830" si="144">G796-G813</f>
        <v>142.59663159837601</v>
      </c>
      <c r="H830" s="261">
        <f t="shared" si="144"/>
        <v>147.58002030269563</v>
      </c>
      <c r="I830" s="261">
        <f t="shared" si="144"/>
        <v>151.54827427094915</v>
      </c>
      <c r="J830" s="261">
        <f t="shared" si="144"/>
        <v>154.50139350313748</v>
      </c>
      <c r="K830" s="261">
        <f t="shared" si="144"/>
        <v>157.3622277593222</v>
      </c>
      <c r="L830" s="261">
        <f t="shared" si="144"/>
        <v>160.13077703949875</v>
      </c>
      <c r="M830" s="261">
        <f>M796-M813</f>
        <v>160.13077703949875</v>
      </c>
    </row>
    <row r="831" spans="3:13" ht="15.75">
      <c r="C831" s="192"/>
      <c r="D831" s="14"/>
      <c r="E831" s="14"/>
      <c r="F831" s="14"/>
      <c r="G831" s="14"/>
      <c r="H831" s="14"/>
      <c r="I831" s="14"/>
      <c r="J831" s="14"/>
      <c r="K831" s="14"/>
      <c r="L831" s="14"/>
      <c r="M831" s="8"/>
    </row>
    <row r="832" spans="3:13" ht="15.75">
      <c r="C832" s="245" t="s">
        <v>16</v>
      </c>
      <c r="D832" s="325">
        <f>D798/D815-1</f>
        <v>0</v>
      </c>
      <c r="E832" s="325">
        <f>E798/E815-1</f>
        <v>1.4624948408060723E-2</v>
      </c>
      <c r="F832" s="325">
        <f>F798/F815-1</f>
        <v>5.3404678044629783E-2</v>
      </c>
      <c r="G832" s="325">
        <f t="shared" ref="G832:L832" si="145">G798/G815-1</f>
        <v>5.1384415403464834E-2</v>
      </c>
      <c r="H832" s="325">
        <f t="shared" si="145"/>
        <v>7.1981339421891333E-2</v>
      </c>
      <c r="I832" s="325">
        <f t="shared" si="145"/>
        <v>7.2627398558502199E-2</v>
      </c>
      <c r="J832" s="325">
        <f t="shared" si="145"/>
        <v>7.3062046821658289E-2</v>
      </c>
      <c r="K832" s="325">
        <f t="shared" si="145"/>
        <v>7.341758797601039E-2</v>
      </c>
      <c r="L832" s="325">
        <f t="shared" si="145"/>
        <v>7.3744146935177834E-2</v>
      </c>
      <c r="M832" s="261">
        <f>M798-M815</f>
        <v>3002.1770968538476</v>
      </c>
    </row>
    <row r="833" spans="1:13" ht="15.75">
      <c r="C833" s="163" t="s">
        <v>2632</v>
      </c>
      <c r="D833" s="164">
        <f>(D799-D816)*100</f>
        <v>0</v>
      </c>
      <c r="E833" s="164">
        <f t="shared" ref="E833:F833" si="146">(E799-E816)*100</f>
        <v>0.3238029785781249</v>
      </c>
      <c r="F833" s="164">
        <f t="shared" si="146"/>
        <v>1.7674027820363869</v>
      </c>
      <c r="G833" s="164">
        <f t="shared" ref="G833:L833" si="147">(G799-G816)*100</f>
        <v>1.9595917349631231</v>
      </c>
      <c r="H833" s="164">
        <f t="shared" si="147"/>
        <v>2.875712288668486</v>
      </c>
      <c r="I833" s="164">
        <f t="shared" si="147"/>
        <v>2.8726425460171456</v>
      </c>
      <c r="J833" s="164">
        <f t="shared" si="147"/>
        <v>2.8682309643079993</v>
      </c>
      <c r="K833" s="164">
        <f t="shared" si="147"/>
        <v>2.8630631099602901</v>
      </c>
      <c r="L833" s="164">
        <f t="shared" si="147"/>
        <v>2.8574474897662903</v>
      </c>
      <c r="M833" s="148"/>
    </row>
    <row r="834" spans="1:13" ht="15.75">
      <c r="C834" s="245"/>
      <c r="D834" s="322"/>
      <c r="E834" s="322"/>
      <c r="F834" s="322"/>
      <c r="G834" s="322"/>
      <c r="H834" s="322"/>
      <c r="I834" s="322"/>
      <c r="J834" s="322"/>
      <c r="K834" s="322"/>
      <c r="L834" s="322"/>
      <c r="M834" s="243"/>
    </row>
    <row r="835" spans="1:13" ht="15.75">
      <c r="C835" s="163" t="s">
        <v>22</v>
      </c>
      <c r="D835" s="165">
        <f>D801/D818-1</f>
        <v>0</v>
      </c>
      <c r="E835" s="165">
        <f t="shared" ref="E835:F835" si="148">E801/E818-1</f>
        <v>2.1403840980780187E-2</v>
      </c>
      <c r="F835" s="165">
        <f t="shared" si="148"/>
        <v>-1.7295912760459276E-2</v>
      </c>
      <c r="G835" s="165">
        <f t="shared" ref="G835:L835" si="149">G801/G818-1</f>
        <v>8.4406278353901465E-2</v>
      </c>
      <c r="H835" s="165">
        <f t="shared" si="149"/>
        <v>4.8756344276384311E-2</v>
      </c>
      <c r="I835" s="165">
        <f t="shared" si="149"/>
        <v>7.4621983120501945E-3</v>
      </c>
      <c r="J835" s="165">
        <f t="shared" si="149"/>
        <v>5.3746993839863588E-2</v>
      </c>
      <c r="K835" s="165">
        <f t="shared" si="149"/>
        <v>5.4167743128513246E-2</v>
      </c>
      <c r="L835" s="165">
        <f t="shared" si="149"/>
        <v>5.456502859968837E-2</v>
      </c>
      <c r="M835" s="144">
        <f>M801-M818</f>
        <v>1314.7132822646745</v>
      </c>
    </row>
    <row r="836" spans="1:13" ht="15.75">
      <c r="C836" s="245" t="s">
        <v>2631</v>
      </c>
      <c r="D836" s="326">
        <f>(D803-D820)*100</f>
        <v>0</v>
      </c>
      <c r="E836" s="326">
        <f>(E803-E820)*100</f>
        <v>0.60040478009436016</v>
      </c>
      <c r="F836" s="326">
        <f>(F803-F820)*100</f>
        <v>-1.0000000000000009</v>
      </c>
      <c r="G836" s="326">
        <f t="shared" ref="G836:L836" si="150">(G803-G820)*100</f>
        <v>2.0000000000000018</v>
      </c>
      <c r="H836" s="326">
        <f t="shared" si="150"/>
        <v>1.0000000000000009</v>
      </c>
      <c r="I836" s="326">
        <f t="shared" si="150"/>
        <v>0</v>
      </c>
      <c r="J836" s="326">
        <f t="shared" si="150"/>
        <v>1.0000000000000009</v>
      </c>
      <c r="K836" s="326">
        <f t="shared" si="150"/>
        <v>0.99999999999999534</v>
      </c>
      <c r="L836" s="326">
        <f t="shared" si="150"/>
        <v>1.0000000000000036</v>
      </c>
      <c r="M836" s="324">
        <f>M802-M819</f>
        <v>45.974242707782196</v>
      </c>
    </row>
    <row r="837" spans="1:13" ht="15.75">
      <c r="C837" s="163" t="s">
        <v>24</v>
      </c>
      <c r="D837" s="165">
        <f>D804/D821-1</f>
        <v>0</v>
      </c>
      <c r="E837" s="165">
        <f t="shared" ref="E837:F837" si="151">E804/E821-1</f>
        <v>-0.17620656948090008</v>
      </c>
      <c r="F837" s="165">
        <f t="shared" si="151"/>
        <v>0.30048177259479969</v>
      </c>
      <c r="G837" s="165">
        <f t="shared" ref="G837:L837" si="152">G804/G821-1</f>
        <v>4.7380340107083807E-3</v>
      </c>
      <c r="H837" s="165">
        <f t="shared" si="152"/>
        <v>9.9273998297515043E-2</v>
      </c>
      <c r="I837" s="165">
        <f t="shared" si="152"/>
        <v>0.14262742337304268</v>
      </c>
      <c r="J837" s="165">
        <f t="shared" si="152"/>
        <v>9.2042553160959661E-2</v>
      </c>
      <c r="K837" s="165">
        <f t="shared" si="152"/>
        <v>9.2359679856675481E-2</v>
      </c>
      <c r="L837" s="165">
        <f t="shared" si="152"/>
        <v>9.2645315388549143E-2</v>
      </c>
      <c r="M837" s="8"/>
    </row>
    <row r="838" spans="1:13" ht="15.75">
      <c r="C838" s="245" t="s">
        <v>2632</v>
      </c>
      <c r="D838" s="326">
        <f>(D805-D822)*100</f>
        <v>0</v>
      </c>
      <c r="E838" s="326">
        <f>(E805-E822)*100</f>
        <v>-0.27660180151624114</v>
      </c>
      <c r="F838" s="326">
        <f>(F805-F822)*100</f>
        <v>2.7674027820363838</v>
      </c>
      <c r="G838" s="326">
        <f t="shared" ref="G838:L838" si="153">(G805-G822)*100</f>
        <v>-4.0408265036881441E-2</v>
      </c>
      <c r="H838" s="326">
        <f t="shared" si="153"/>
        <v>1.8757122886684907</v>
      </c>
      <c r="I838" s="326">
        <f t="shared" si="153"/>
        <v>2.872642546017143</v>
      </c>
      <c r="J838" s="326">
        <f t="shared" si="153"/>
        <v>1.8682309643079986</v>
      </c>
      <c r="K838" s="326">
        <f t="shared" si="153"/>
        <v>1.863063109960289</v>
      </c>
      <c r="L838" s="326">
        <f t="shared" si="153"/>
        <v>1.8574474897662867</v>
      </c>
      <c r="M838" s="243"/>
    </row>
    <row r="839" spans="1:13">
      <c r="C839" s="59"/>
    </row>
    <row r="840" spans="1:13">
      <c r="C840" s="59" t="s">
        <v>2635</v>
      </c>
    </row>
    <row r="841" spans="1:13">
      <c r="C841" s="59"/>
    </row>
    <row r="842" spans="1:13">
      <c r="C842" s="69" t="s">
        <v>2638</v>
      </c>
      <c r="D842" s="21" t="s">
        <v>2636</v>
      </c>
      <c r="E842" s="21" t="s">
        <v>2637</v>
      </c>
    </row>
    <row r="843" spans="1:13">
      <c r="C843" s="59" t="s">
        <v>2686</v>
      </c>
      <c r="D843" s="155">
        <f>160/A844</f>
        <v>29.09090909090909</v>
      </c>
      <c r="E843" s="155">
        <f>800/A844</f>
        <v>145.45454545454547</v>
      </c>
    </row>
    <row r="844" spans="1:13">
      <c r="A844">
        <v>5.5</v>
      </c>
      <c r="C844" s="59" t="s">
        <v>2642</v>
      </c>
      <c r="D844" s="155">
        <f>300*0.75/A844</f>
        <v>40.909090909090907</v>
      </c>
      <c r="E844" s="155">
        <f>600*0.9/A844</f>
        <v>98.181818181818187</v>
      </c>
    </row>
    <row r="845" spans="1:13">
      <c r="C845" s="59" t="s">
        <v>2639</v>
      </c>
      <c r="D845" s="155">
        <v>50</v>
      </c>
      <c r="E845" s="155">
        <v>150</v>
      </c>
    </row>
    <row r="846" spans="1:13">
      <c r="C846" s="59" t="s">
        <v>2640</v>
      </c>
      <c r="D846" s="155">
        <v>75</v>
      </c>
      <c r="E846" s="155">
        <v>150</v>
      </c>
    </row>
    <row r="847" spans="1:13">
      <c r="C847" s="59" t="s">
        <v>2641</v>
      </c>
      <c r="D847" s="155">
        <v>100</v>
      </c>
      <c r="E847" s="155">
        <v>150</v>
      </c>
    </row>
    <row r="848" spans="1:13">
      <c r="C848" s="59" t="s">
        <v>2685</v>
      </c>
      <c r="D848" s="155">
        <f>100/(820/1000)</f>
        <v>121.95121951219512</v>
      </c>
      <c r="E848" s="155">
        <f>200/(820/1000)</f>
        <v>243.90243902439025</v>
      </c>
    </row>
    <row r="849" spans="3:6">
      <c r="C849" s="59" t="s">
        <v>2586</v>
      </c>
    </row>
    <row r="850" spans="3:6">
      <c r="C850" s="59"/>
    </row>
    <row r="851" spans="3:6">
      <c r="C851" s="59"/>
    </row>
    <row r="852" spans="3:6">
      <c r="C852" s="59"/>
    </row>
    <row r="853" spans="3:6">
      <c r="C853" s="59"/>
    </row>
    <row r="854" spans="3:6">
      <c r="C854" s="59"/>
    </row>
    <row r="855" spans="3:6">
      <c r="C855" s="59"/>
    </row>
    <row r="856" spans="3:6">
      <c r="C856" s="59"/>
    </row>
    <row r="857" spans="3:6">
      <c r="C857" s="59"/>
    </row>
    <row r="858" spans="3:6">
      <c r="C858" s="59"/>
    </row>
    <row r="859" spans="3:6">
      <c r="C859" s="59"/>
    </row>
    <row r="860" spans="3:6">
      <c r="C860" s="3"/>
      <c r="D860" s="21">
        <v>2017</v>
      </c>
      <c r="E860" s="21">
        <f>D860+1</f>
        <v>2018</v>
      </c>
      <c r="F860" s="21" t="e">
        <f>#REF!+1</f>
        <v>#REF!</v>
      </c>
    </row>
    <row r="861" spans="3:6">
      <c r="C861" t="s">
        <v>367</v>
      </c>
      <c r="D861" s="20"/>
      <c r="E861" s="20"/>
    </row>
    <row r="862" spans="3:6">
      <c r="C862" s="59" t="s">
        <v>2645</v>
      </c>
      <c r="F862">
        <v>3193</v>
      </c>
    </row>
    <row r="863" spans="3:6">
      <c r="C863" s="59" t="s">
        <v>2646</v>
      </c>
      <c r="F863">
        <v>317</v>
      </c>
    </row>
    <row r="865" spans="3:6">
      <c r="C865" t="s">
        <v>1998</v>
      </c>
    </row>
    <row r="866" spans="3:6">
      <c r="C866" s="59" t="s">
        <v>2645</v>
      </c>
      <c r="F866">
        <v>0</v>
      </c>
    </row>
    <row r="867" spans="3:6">
      <c r="C867" s="59" t="s">
        <v>2646</v>
      </c>
      <c r="F867">
        <v>14</v>
      </c>
    </row>
    <row r="869" spans="3:6">
      <c r="C869" t="s">
        <v>2029</v>
      </c>
    </row>
    <row r="870" spans="3:6">
      <c r="C870" s="59" t="s">
        <v>2645</v>
      </c>
      <c r="F870" s="20">
        <v>2358</v>
      </c>
    </row>
    <row r="871" spans="3:6">
      <c r="C871" s="59" t="s">
        <v>2646</v>
      </c>
      <c r="F871">
        <v>193</v>
      </c>
    </row>
    <row r="873" spans="3:6">
      <c r="C873" t="s">
        <v>436</v>
      </c>
    </row>
    <row r="874" spans="3:6">
      <c r="C874" s="59" t="s">
        <v>2645</v>
      </c>
      <c r="F874">
        <f>8154+366</f>
        <v>8520</v>
      </c>
    </row>
    <row r="875" spans="3:6">
      <c r="C875" s="59" t="s">
        <v>2646</v>
      </c>
      <c r="F875">
        <f>1412+78</f>
        <v>1490</v>
      </c>
    </row>
    <row r="877" spans="3:6">
      <c r="C877" t="s">
        <v>2293</v>
      </c>
    </row>
    <row r="878" spans="3:6">
      <c r="C878" s="59" t="s">
        <v>2645</v>
      </c>
      <c r="F878">
        <f>1928+464+603+835+1354+10</f>
        <v>5194</v>
      </c>
    </row>
    <row r="879" spans="3:6">
      <c r="C879" s="59" t="s">
        <v>2646</v>
      </c>
      <c r="F879">
        <f>77+16+10+35+68+16</f>
        <v>222</v>
      </c>
    </row>
    <row r="881" spans="3:13">
      <c r="C881" t="s">
        <v>21</v>
      </c>
    </row>
    <row r="882" spans="3:13">
      <c r="C882" s="59" t="s">
        <v>2645</v>
      </c>
      <c r="E882" s="116">
        <v>16116</v>
      </c>
      <c r="F882">
        <v>19270</v>
      </c>
    </row>
    <row r="883" spans="3:13">
      <c r="C883" s="59" t="s">
        <v>2646</v>
      </c>
      <c r="E883" s="116">
        <v>2221</v>
      </c>
      <c r="F883">
        <v>2238</v>
      </c>
    </row>
    <row r="886" spans="3:13" ht="15.75">
      <c r="C886" s="158" t="s">
        <v>2648</v>
      </c>
      <c r="D886" s="146" t="s">
        <v>1421</v>
      </c>
      <c r="E886" s="146" t="s">
        <v>1422</v>
      </c>
      <c r="F886" s="146" t="s">
        <v>1424</v>
      </c>
      <c r="G886" s="146" t="s">
        <v>1729</v>
      </c>
      <c r="H886" s="146" t="s">
        <v>1871</v>
      </c>
      <c r="I886" s="146" t="s">
        <v>2066</v>
      </c>
      <c r="J886" s="146" t="s">
        <v>2157</v>
      </c>
      <c r="K886" s="146" t="s">
        <v>2190</v>
      </c>
      <c r="L886" s="146" t="s">
        <v>2298</v>
      </c>
      <c r="M886" s="146" t="s">
        <v>2307</v>
      </c>
    </row>
    <row r="887" spans="3:13">
      <c r="C887" t="s">
        <v>605</v>
      </c>
      <c r="D887" s="22">
        <v>9684</v>
      </c>
      <c r="E887" s="22">
        <v>9722</v>
      </c>
      <c r="F887" s="22">
        <v>9693</v>
      </c>
      <c r="G887" s="22">
        <v>9798</v>
      </c>
      <c r="H887" s="22">
        <v>9861</v>
      </c>
      <c r="I887" s="22">
        <v>9978</v>
      </c>
      <c r="J887" s="22">
        <v>10011</v>
      </c>
      <c r="K887" s="22">
        <v>9992</v>
      </c>
      <c r="L887" s="22">
        <v>9954</v>
      </c>
      <c r="M887" s="22">
        <v>10048</v>
      </c>
    </row>
    <row r="888" spans="3:13">
      <c r="C888" t="s">
        <v>1998</v>
      </c>
      <c r="D888" s="22">
        <v>0</v>
      </c>
      <c r="E888" s="22">
        <v>0</v>
      </c>
      <c r="F888" s="22">
        <v>0</v>
      </c>
      <c r="G888" s="22">
        <v>0</v>
      </c>
      <c r="H888" s="22">
        <v>0</v>
      </c>
      <c r="I888" s="22">
        <v>0</v>
      </c>
      <c r="J888" s="22">
        <v>0</v>
      </c>
      <c r="K888" s="22">
        <v>0</v>
      </c>
      <c r="L888" s="22">
        <v>0</v>
      </c>
      <c r="M888" s="22">
        <v>0</v>
      </c>
    </row>
    <row r="889" spans="3:13">
      <c r="C889" t="s">
        <v>956</v>
      </c>
      <c r="D889" s="22">
        <v>54.638700680272109</v>
      </c>
      <c r="E889" s="22">
        <v>49.374149659863953</v>
      </c>
      <c r="F889" s="22">
        <v>0</v>
      </c>
      <c r="G889" s="22">
        <v>0</v>
      </c>
      <c r="H889" s="22">
        <v>0</v>
      </c>
      <c r="I889" s="22">
        <v>0</v>
      </c>
      <c r="J889" s="22">
        <v>0</v>
      </c>
      <c r="K889" s="22">
        <v>0</v>
      </c>
      <c r="L889" s="22">
        <v>0</v>
      </c>
      <c r="M889" s="22">
        <v>0</v>
      </c>
    </row>
    <row r="890" spans="3:13">
      <c r="C890" t="s">
        <v>729</v>
      </c>
      <c r="D890" s="22">
        <v>2954</v>
      </c>
      <c r="E890" s="22">
        <v>3023</v>
      </c>
      <c r="F890" s="22">
        <v>3097.6280000000002</v>
      </c>
      <c r="G890" s="22">
        <v>3146.3809999999999</v>
      </c>
      <c r="H890" s="22">
        <v>3229.4</v>
      </c>
      <c r="I890" s="22">
        <v>3413.9949999999999</v>
      </c>
      <c r="J890" s="22">
        <v>3510.3240000000001</v>
      </c>
      <c r="K890" s="22">
        <v>3589.74</v>
      </c>
      <c r="L890" s="22">
        <v>3647.9</v>
      </c>
      <c r="M890" s="22">
        <v>3752.9119999999998</v>
      </c>
    </row>
    <row r="891" spans="3:13">
      <c r="D891" s="22"/>
      <c r="E891" s="22"/>
      <c r="F891" s="22"/>
      <c r="G891" s="22"/>
      <c r="H891" s="22"/>
      <c r="I891" s="22"/>
      <c r="J891" s="22"/>
      <c r="K891" s="22"/>
      <c r="L891" s="22"/>
      <c r="M891" s="22"/>
    </row>
    <row r="892" spans="3:13">
      <c r="C892" t="s">
        <v>2649</v>
      </c>
      <c r="D892" s="22"/>
      <c r="E892" s="22"/>
      <c r="F892" s="22"/>
      <c r="G892" s="22"/>
      <c r="H892" s="22"/>
      <c r="I892" s="22"/>
      <c r="J892" s="22"/>
      <c r="K892" s="22"/>
      <c r="L892" s="22"/>
      <c r="M892" s="22"/>
    </row>
    <row r="893" spans="3:13">
      <c r="C893" t="s">
        <v>2650</v>
      </c>
      <c r="D893" s="22"/>
      <c r="E893" s="22"/>
      <c r="F893" s="22"/>
      <c r="G893" s="22"/>
      <c r="H893" s="22"/>
      <c r="I893" s="22"/>
      <c r="J893" s="22"/>
      <c r="K893" s="22"/>
      <c r="L893" s="22"/>
      <c r="M893" s="22"/>
    </row>
    <row r="894" spans="3:13">
      <c r="C894" t="s">
        <v>2651</v>
      </c>
      <c r="D894" s="22"/>
      <c r="E894" s="22"/>
      <c r="F894" s="22"/>
      <c r="G894" s="22"/>
      <c r="H894" s="22"/>
      <c r="I894" s="22"/>
      <c r="J894" s="22"/>
      <c r="K894" s="22"/>
      <c r="L894" s="22"/>
      <c r="M894" s="22"/>
    </row>
    <row r="895" spans="3:13">
      <c r="C895" t="s">
        <v>2652</v>
      </c>
      <c r="D895" s="22"/>
      <c r="E895" s="22"/>
      <c r="F895" s="22"/>
      <c r="G895" s="22"/>
      <c r="H895" s="22"/>
      <c r="I895" s="22"/>
      <c r="J895" s="22"/>
      <c r="K895" s="22"/>
      <c r="L895" s="22"/>
      <c r="M895" s="22"/>
    </row>
    <row r="896" spans="3:13">
      <c r="C896" s="3" t="s">
        <v>2653</v>
      </c>
      <c r="D896" s="111"/>
      <c r="E896" s="111"/>
      <c r="F896" s="111"/>
      <c r="G896" s="111"/>
      <c r="H896" s="111"/>
      <c r="I896" s="111"/>
      <c r="J896" s="111"/>
      <c r="K896" s="111"/>
      <c r="L896" s="111"/>
      <c r="M896" s="111"/>
    </row>
    <row r="897" spans="1:27" ht="15.75">
      <c r="C897" t="s">
        <v>2654</v>
      </c>
      <c r="D897" s="22">
        <v>4567.5</v>
      </c>
      <c r="E897" s="22">
        <v>4640.2749999999996</v>
      </c>
      <c r="F897" s="22">
        <v>4696.0540000000001</v>
      </c>
      <c r="G897" s="156">
        <v>4817.1030000000001</v>
      </c>
      <c r="H897" s="22">
        <v>5069.277</v>
      </c>
      <c r="I897" s="22">
        <v>5303.2449999999999</v>
      </c>
      <c r="J897" s="22">
        <v>5432</v>
      </c>
      <c r="K897" s="22">
        <v>5534.8190000000004</v>
      </c>
      <c r="L897" s="22">
        <v>5566.1880000000001</v>
      </c>
      <c r="M897" s="22">
        <v>5590.7830000000004</v>
      </c>
    </row>
    <row r="898" spans="1:27">
      <c r="D898" s="22"/>
      <c r="E898" s="22"/>
      <c r="F898" s="22"/>
      <c r="G898" s="22"/>
      <c r="H898" s="22"/>
      <c r="I898" s="22"/>
      <c r="J898" s="22"/>
      <c r="K898" s="22"/>
      <c r="L898" s="22"/>
      <c r="M898" s="22"/>
    </row>
    <row r="899" spans="1:27" ht="15.75">
      <c r="C899" s="1" t="s">
        <v>2655</v>
      </c>
      <c r="D899" s="156">
        <v>0</v>
      </c>
      <c r="E899" s="156">
        <v>0</v>
      </c>
      <c r="F899" s="156">
        <v>0</v>
      </c>
      <c r="G899" s="156">
        <v>0</v>
      </c>
      <c r="H899" s="156">
        <v>0</v>
      </c>
      <c r="I899" s="156">
        <v>0</v>
      </c>
      <c r="J899" s="156">
        <v>0</v>
      </c>
      <c r="K899" s="156">
        <v>0</v>
      </c>
      <c r="L899" s="156">
        <v>0</v>
      </c>
      <c r="M899" s="156">
        <v>0</v>
      </c>
    </row>
    <row r="900" spans="1:27" ht="15.75">
      <c r="C900" s="1" t="s">
        <v>2029</v>
      </c>
      <c r="D900" s="156">
        <v>1291.7965000000002</v>
      </c>
      <c r="E900" s="156">
        <v>1389.22875</v>
      </c>
      <c r="F900" s="156">
        <v>1560.0095699999999</v>
      </c>
      <c r="G900" s="156">
        <v>1623.4939759036145</v>
      </c>
      <c r="H900" s="156">
        <v>1877.5641025641025</v>
      </c>
      <c r="I900" s="156">
        <v>2155</v>
      </c>
      <c r="J900" s="156">
        <v>2444</v>
      </c>
      <c r="K900" s="156">
        <v>2695</v>
      </c>
      <c r="L900" s="156">
        <v>2929</v>
      </c>
      <c r="M900" s="156">
        <v>3179</v>
      </c>
    </row>
    <row r="901" spans="1:27" ht="15.75">
      <c r="C901" s="51" t="s">
        <v>2031</v>
      </c>
      <c r="D901" s="111">
        <v>35.064799319727399</v>
      </c>
      <c r="E901" s="111">
        <v>13.122100340137195</v>
      </c>
      <c r="F901" s="111">
        <v>210.30842999999936</v>
      </c>
      <c r="G901" s="111">
        <v>472.02202409638608</v>
      </c>
      <c r="H901" s="111">
        <v>419.75889743589778</v>
      </c>
      <c r="I901" s="111">
        <v>206.76000000000113</v>
      </c>
      <c r="J901" s="111">
        <v>110.67599999999948</v>
      </c>
      <c r="K901" s="111">
        <v>96.440999999999804</v>
      </c>
      <c r="L901" s="111">
        <v>110.91200000000026</v>
      </c>
      <c r="M901" s="111">
        <v>137.30499999999938</v>
      </c>
    </row>
    <row r="902" spans="1:27" ht="15.75">
      <c r="C902" s="1" t="s">
        <v>2656</v>
      </c>
      <c r="D902" s="22">
        <v>18587</v>
      </c>
      <c r="E902" s="22">
        <v>18837</v>
      </c>
      <c r="F902" s="22">
        <v>19257</v>
      </c>
      <c r="G902" s="22">
        <v>19857</v>
      </c>
      <c r="H902" s="22">
        <v>20457</v>
      </c>
      <c r="I902" s="22">
        <v>21057</v>
      </c>
      <c r="J902" s="22">
        <v>21508</v>
      </c>
      <c r="K902" s="22">
        <v>21908</v>
      </c>
      <c r="L902" s="22">
        <v>22208</v>
      </c>
      <c r="M902" s="22">
        <v>22708</v>
      </c>
    </row>
    <row r="903" spans="1:27" ht="15.75">
      <c r="C903" s="1"/>
      <c r="D903"/>
      <c r="E903"/>
    </row>
    <row r="904" spans="1:27" ht="15.75">
      <c r="C904" s="1" t="s">
        <v>2657</v>
      </c>
      <c r="D904" s="157">
        <v>2221</v>
      </c>
      <c r="E904" s="157">
        <v>2221</v>
      </c>
      <c r="F904" s="22">
        <v>2322</v>
      </c>
      <c r="G904" s="157">
        <v>2322</v>
      </c>
      <c r="H904" s="157">
        <v>2322</v>
      </c>
      <c r="I904" s="157">
        <v>2322</v>
      </c>
      <c r="J904" s="22">
        <v>2238</v>
      </c>
      <c r="K904" s="157">
        <v>2238</v>
      </c>
      <c r="L904" s="157">
        <v>2238</v>
      </c>
      <c r="M904" s="157">
        <v>2238</v>
      </c>
    </row>
    <row r="905" spans="1:27" ht="15.75">
      <c r="C905" s="1" t="s">
        <v>2658</v>
      </c>
      <c r="D905" s="157">
        <v>16366</v>
      </c>
      <c r="E905" s="157">
        <v>16616</v>
      </c>
      <c r="F905" s="22">
        <v>16935</v>
      </c>
      <c r="G905" s="157">
        <v>17535</v>
      </c>
      <c r="H905" s="157">
        <v>18135</v>
      </c>
      <c r="I905" s="157">
        <v>18735</v>
      </c>
      <c r="J905" s="22">
        <v>19270</v>
      </c>
      <c r="K905" s="157">
        <v>19670</v>
      </c>
      <c r="L905" s="157">
        <v>19970</v>
      </c>
      <c r="M905" s="157">
        <v>20470</v>
      </c>
    </row>
    <row r="906" spans="1:27" ht="15.75">
      <c r="C906" s="1" t="s">
        <v>2659</v>
      </c>
      <c r="D906" s="2">
        <v>0.58450000000000002</v>
      </c>
      <c r="E906" s="2">
        <v>0.59342857142857142</v>
      </c>
      <c r="F906" s="2">
        <v>0.60482142857142862</v>
      </c>
      <c r="G906" s="2">
        <v>0.62624999999999997</v>
      </c>
      <c r="H906" s="2">
        <v>0.64767857142857144</v>
      </c>
      <c r="I906" s="2">
        <v>0.6691071428571429</v>
      </c>
      <c r="J906" s="2">
        <v>0.68821428571428567</v>
      </c>
      <c r="K906" s="2">
        <v>0.70250000000000001</v>
      </c>
      <c r="L906" s="2">
        <v>0.71321428571428569</v>
      </c>
      <c r="M906" s="2">
        <v>0.73107142857142859</v>
      </c>
    </row>
    <row r="908" spans="1:27" ht="15.75">
      <c r="C908" s="1" t="s">
        <v>2643</v>
      </c>
    </row>
    <row r="909" spans="1:27">
      <c r="F909" t="s">
        <v>2647</v>
      </c>
      <c r="H909" t="s">
        <v>605</v>
      </c>
      <c r="J909" t="s">
        <v>2064</v>
      </c>
      <c r="O909" t="s">
        <v>2669</v>
      </c>
      <c r="W909" t="s">
        <v>272</v>
      </c>
    </row>
    <row r="910" spans="1:27">
      <c r="D910" s="116" t="s">
        <v>367</v>
      </c>
      <c r="E910" s="116" t="s">
        <v>2029</v>
      </c>
      <c r="F910" s="116" t="s">
        <v>2664</v>
      </c>
      <c r="G910" s="116" t="s">
        <v>2665</v>
      </c>
      <c r="H910" s="116" t="s">
        <v>2664</v>
      </c>
      <c r="I910" s="116" t="s">
        <v>2665</v>
      </c>
      <c r="J910" s="116" t="s">
        <v>2650</v>
      </c>
      <c r="K910" s="116" t="s">
        <v>2649</v>
      </c>
      <c r="L910" s="116" t="s">
        <v>2666</v>
      </c>
      <c r="M910" s="116" t="s">
        <v>2649</v>
      </c>
      <c r="N910" s="116" t="s">
        <v>2667</v>
      </c>
      <c r="Q910" s="115" t="s">
        <v>367</v>
      </c>
      <c r="R910" s="115" t="s">
        <v>21</v>
      </c>
      <c r="S910" s="115" t="s">
        <v>2668</v>
      </c>
      <c r="T910" s="115" t="s">
        <v>2643</v>
      </c>
      <c r="U910" s="115" t="s">
        <v>2064</v>
      </c>
      <c r="W910" s="115" t="s">
        <v>367</v>
      </c>
      <c r="X910" s="115" t="s">
        <v>2029</v>
      </c>
      <c r="Y910" s="115" t="s">
        <v>2668</v>
      </c>
      <c r="Z910" s="115" t="s">
        <v>2643</v>
      </c>
      <c r="AA910" s="115" t="s">
        <v>2064</v>
      </c>
    </row>
    <row r="911" spans="1:27">
      <c r="A911" s="74">
        <f>E911/E$943</f>
        <v>1.6843867227553155E-2</v>
      </c>
      <c r="B911" s="59">
        <v>1</v>
      </c>
      <c r="C911" t="s">
        <v>2663</v>
      </c>
      <c r="D911" s="20"/>
      <c r="E911" s="20">
        <v>42908</v>
      </c>
      <c r="H911" s="22">
        <v>73182</v>
      </c>
      <c r="I911" s="22">
        <v>50623</v>
      </c>
      <c r="J911">
        <v>1</v>
      </c>
      <c r="K911">
        <v>79571</v>
      </c>
      <c r="N911">
        <v>531</v>
      </c>
      <c r="O911">
        <f>SUM(D911:N911)</f>
        <v>246816</v>
      </c>
      <c r="Q911" s="22">
        <f t="shared" ref="Q911:Q942" si="154">D911</f>
        <v>0</v>
      </c>
      <c r="R911" s="22">
        <f t="shared" ref="R911:R942" si="155">E911</f>
        <v>42908</v>
      </c>
      <c r="S911" s="22">
        <f t="shared" ref="S911:S942" si="156">F911+H911</f>
        <v>73182</v>
      </c>
      <c r="T911" s="22">
        <f t="shared" ref="T911:T942" si="157">G911+I911</f>
        <v>50623</v>
      </c>
      <c r="U911" s="22">
        <f t="shared" ref="U911:U942" si="158">J911+K911+L911+M911+N911</f>
        <v>80103</v>
      </c>
      <c r="W911" s="23">
        <f>Q911/$O911</f>
        <v>0</v>
      </c>
      <c r="X911" s="23">
        <f t="shared" ref="X911:X943" si="159">R911/$O911</f>
        <v>0.17384610398029302</v>
      </c>
      <c r="Y911" s="23">
        <f t="shared" ref="Y911:Y943" si="160">S911/$O911</f>
        <v>0.29650427849085959</v>
      </c>
      <c r="Z911" s="23">
        <f t="shared" ref="Z911:Z943" si="161">T911/$O911</f>
        <v>0.20510420718267861</v>
      </c>
      <c r="AA911" s="23">
        <f t="shared" ref="AA911:AA943" si="162">U911/$O911</f>
        <v>0.32454541034616879</v>
      </c>
    </row>
    <row r="912" spans="1:27">
      <c r="A912" s="74">
        <f t="shared" ref="A912:A942" si="163">E912/E$943</f>
        <v>5.4427344629574673E-2</v>
      </c>
      <c r="B912" s="59">
        <f>B911+1</f>
        <v>2</v>
      </c>
      <c r="C912" t="s">
        <v>2032</v>
      </c>
      <c r="D912" s="152">
        <v>4099</v>
      </c>
      <c r="E912" s="20">
        <v>138648</v>
      </c>
      <c r="F912">
        <v>237706</v>
      </c>
      <c r="G912">
        <v>185898</v>
      </c>
      <c r="J912">
        <v>419118</v>
      </c>
      <c r="O912">
        <f t="shared" ref="O912:O942" si="164">SUM(D912:N912)</f>
        <v>985469</v>
      </c>
      <c r="Q912" s="22">
        <f t="shared" si="154"/>
        <v>4099</v>
      </c>
      <c r="R912" s="22">
        <f t="shared" si="155"/>
        <v>138648</v>
      </c>
      <c r="S912" s="22">
        <f t="shared" si="156"/>
        <v>237706</v>
      </c>
      <c r="T912" s="22">
        <f t="shared" si="157"/>
        <v>185898</v>
      </c>
      <c r="U912" s="22">
        <f t="shared" si="158"/>
        <v>419118</v>
      </c>
      <c r="W912" s="23">
        <f t="shared" ref="W912:W943" si="165">Q912/$O912</f>
        <v>4.1594408347700434E-3</v>
      </c>
      <c r="X912" s="23">
        <f t="shared" si="159"/>
        <v>0.14069240128304392</v>
      </c>
      <c r="Y912" s="23">
        <f t="shared" si="160"/>
        <v>0.24121103758717929</v>
      </c>
      <c r="Z912" s="23">
        <f t="shared" si="161"/>
        <v>0.18863911497977107</v>
      </c>
      <c r="AA912" s="23">
        <f t="shared" si="162"/>
        <v>0.42529800531523571</v>
      </c>
    </row>
    <row r="913" spans="1:27">
      <c r="A913" s="74">
        <f t="shared" si="163"/>
        <v>2.4731137208349233E-5</v>
      </c>
      <c r="B913" s="59">
        <f t="shared" ref="B913:B942" si="166">B912+1</f>
        <v>3</v>
      </c>
      <c r="C913" t="s">
        <v>2033</v>
      </c>
      <c r="D913" s="152">
        <v>52728</v>
      </c>
      <c r="E913" s="20">
        <v>63</v>
      </c>
      <c r="H913" s="22">
        <v>44579</v>
      </c>
      <c r="I913" s="22">
        <v>88876</v>
      </c>
      <c r="O913">
        <f t="shared" si="164"/>
        <v>186246</v>
      </c>
      <c r="Q913" s="22">
        <f t="shared" si="154"/>
        <v>52728</v>
      </c>
      <c r="R913" s="22">
        <f t="shared" si="155"/>
        <v>63</v>
      </c>
      <c r="S913" s="22">
        <f t="shared" si="156"/>
        <v>44579</v>
      </c>
      <c r="T913" s="22">
        <f t="shared" si="157"/>
        <v>88876</v>
      </c>
      <c r="U913" s="22">
        <f t="shared" si="158"/>
        <v>0</v>
      </c>
      <c r="W913" s="23">
        <f t="shared" si="165"/>
        <v>0.28310943590734833</v>
      </c>
      <c r="X913" s="23">
        <f t="shared" si="159"/>
        <v>3.382622982507007E-4</v>
      </c>
      <c r="Y913" s="23">
        <f t="shared" si="160"/>
        <v>0.23935547609076169</v>
      </c>
      <c r="Z913" s="23">
        <f t="shared" si="161"/>
        <v>0.47719682570363925</v>
      </c>
      <c r="AA913" s="23">
        <f t="shared" si="162"/>
        <v>0</v>
      </c>
    </row>
    <row r="914" spans="1:27">
      <c r="A914" s="74">
        <f t="shared" si="163"/>
        <v>6.5557141488798755E-5</v>
      </c>
      <c r="B914" s="59">
        <f t="shared" si="166"/>
        <v>4</v>
      </c>
      <c r="C914" t="s">
        <v>2034</v>
      </c>
      <c r="D914" s="152">
        <v>2406</v>
      </c>
      <c r="E914" s="20">
        <v>167</v>
      </c>
      <c r="H914" s="22">
        <v>38964</v>
      </c>
      <c r="I914" s="22">
        <v>16370</v>
      </c>
      <c r="J914">
        <v>33088</v>
      </c>
      <c r="L914">
        <v>23153</v>
      </c>
      <c r="O914">
        <f t="shared" si="164"/>
        <v>114148</v>
      </c>
      <c r="Q914" s="22">
        <f t="shared" si="154"/>
        <v>2406</v>
      </c>
      <c r="R914" s="22">
        <f t="shared" si="155"/>
        <v>167</v>
      </c>
      <c r="S914" s="22">
        <f t="shared" si="156"/>
        <v>38964</v>
      </c>
      <c r="T914" s="22">
        <f t="shared" si="157"/>
        <v>16370</v>
      </c>
      <c r="U914" s="22">
        <f t="shared" si="158"/>
        <v>56241</v>
      </c>
      <c r="W914" s="23">
        <f t="shared" si="165"/>
        <v>2.1077898868136102E-2</v>
      </c>
      <c r="X914" s="23">
        <f t="shared" si="159"/>
        <v>1.4630129305813506E-3</v>
      </c>
      <c r="Y914" s="23">
        <f t="shared" si="160"/>
        <v>0.34134632231839368</v>
      </c>
      <c r="Z914" s="23">
        <f t="shared" si="161"/>
        <v>0.14341030942285454</v>
      </c>
      <c r="AA914" s="23">
        <f t="shared" si="162"/>
        <v>0.49270245646003435</v>
      </c>
    </row>
    <row r="915" spans="1:27">
      <c r="A915" s="74">
        <f t="shared" si="163"/>
        <v>2.4215316346575092E-2</v>
      </c>
      <c r="B915" s="59">
        <f t="shared" si="166"/>
        <v>5</v>
      </c>
      <c r="C915" t="s">
        <v>2038</v>
      </c>
      <c r="D915" s="152">
        <v>109158</v>
      </c>
      <c r="E915" s="20">
        <v>61686</v>
      </c>
      <c r="H915" s="22">
        <v>208620</v>
      </c>
      <c r="I915" s="22">
        <v>99557</v>
      </c>
      <c r="L915">
        <v>115915</v>
      </c>
      <c r="O915">
        <f t="shared" si="164"/>
        <v>594936</v>
      </c>
      <c r="Q915" s="22">
        <f t="shared" si="154"/>
        <v>109158</v>
      </c>
      <c r="R915" s="22">
        <f t="shared" si="155"/>
        <v>61686</v>
      </c>
      <c r="S915" s="22">
        <f t="shared" si="156"/>
        <v>208620</v>
      </c>
      <c r="T915" s="22">
        <f t="shared" si="157"/>
        <v>99557</v>
      </c>
      <c r="U915" s="22">
        <f t="shared" si="158"/>
        <v>115915</v>
      </c>
      <c r="W915" s="23">
        <f t="shared" si="165"/>
        <v>0.18347855903828311</v>
      </c>
      <c r="X915" s="23">
        <f t="shared" si="159"/>
        <v>0.10368510226310057</v>
      </c>
      <c r="Y915" s="23">
        <f t="shared" si="160"/>
        <v>0.35065956674331356</v>
      </c>
      <c r="Z915" s="23">
        <f t="shared" si="161"/>
        <v>0.16734068874635255</v>
      </c>
      <c r="AA915" s="23">
        <f t="shared" si="162"/>
        <v>0.19483608320895021</v>
      </c>
    </row>
    <row r="916" spans="1:27">
      <c r="A916" s="74">
        <f t="shared" si="163"/>
        <v>5.9668775486810847E-5</v>
      </c>
      <c r="B916" s="59">
        <f t="shared" si="166"/>
        <v>6</v>
      </c>
      <c r="C916" t="s">
        <v>2039</v>
      </c>
      <c r="D916" s="152">
        <v>58251</v>
      </c>
      <c r="E916" s="20">
        <v>152</v>
      </c>
      <c r="H916" s="22">
        <v>64102</v>
      </c>
      <c r="I916" s="22">
        <v>17568</v>
      </c>
      <c r="K916">
        <v>16913</v>
      </c>
      <c r="O916">
        <f t="shared" si="164"/>
        <v>156986</v>
      </c>
      <c r="Q916" s="22">
        <f t="shared" si="154"/>
        <v>58251</v>
      </c>
      <c r="R916" s="22">
        <f t="shared" si="155"/>
        <v>152</v>
      </c>
      <c r="S916" s="22">
        <f t="shared" si="156"/>
        <v>64102</v>
      </c>
      <c r="T916" s="22">
        <f t="shared" si="157"/>
        <v>17568</v>
      </c>
      <c r="U916" s="22">
        <f t="shared" si="158"/>
        <v>16913</v>
      </c>
      <c r="W916" s="23">
        <f t="shared" si="165"/>
        <v>0.3710585657319761</v>
      </c>
      <c r="X916" s="23">
        <f t="shared" si="159"/>
        <v>9.6823920604385101E-4</v>
      </c>
      <c r="Y916" s="23">
        <f t="shared" si="160"/>
        <v>0.40832940516988775</v>
      </c>
      <c r="Z916" s="23">
        <f t="shared" si="161"/>
        <v>0.11190806823538405</v>
      </c>
      <c r="AA916" s="23">
        <f t="shared" si="162"/>
        <v>0.10773572165670824</v>
      </c>
    </row>
    <row r="917" spans="1:27">
      <c r="A917" s="74">
        <f t="shared" si="163"/>
        <v>6.6228415213025376E-3</v>
      </c>
      <c r="B917" s="59">
        <f t="shared" si="166"/>
        <v>7</v>
      </c>
      <c r="C917" t="s">
        <v>2035</v>
      </c>
      <c r="D917" s="152">
        <v>109758</v>
      </c>
      <c r="E917" s="20">
        <v>16871</v>
      </c>
      <c r="H917" s="22">
        <v>124507</v>
      </c>
      <c r="I917" s="22">
        <v>38065</v>
      </c>
      <c r="K917">
        <v>16194</v>
      </c>
      <c r="O917">
        <f t="shared" si="164"/>
        <v>305395</v>
      </c>
      <c r="Q917" s="22">
        <f t="shared" si="154"/>
        <v>109758</v>
      </c>
      <c r="R917" s="22">
        <f t="shared" si="155"/>
        <v>16871</v>
      </c>
      <c r="S917" s="22">
        <f t="shared" si="156"/>
        <v>124507</v>
      </c>
      <c r="T917" s="22">
        <f t="shared" si="157"/>
        <v>38065</v>
      </c>
      <c r="U917" s="22">
        <f t="shared" si="158"/>
        <v>16194</v>
      </c>
      <c r="W917" s="23">
        <f t="shared" si="165"/>
        <v>0.35939684670672406</v>
      </c>
      <c r="X917" s="23">
        <f t="shared" si="159"/>
        <v>5.5243209613778876E-2</v>
      </c>
      <c r="Y917" s="23">
        <f t="shared" si="160"/>
        <v>0.40769167799079881</v>
      </c>
      <c r="Z917" s="23">
        <f t="shared" si="161"/>
        <v>0.12464185726681838</v>
      </c>
      <c r="AA917" s="23">
        <f t="shared" si="162"/>
        <v>5.3026408421879861E-2</v>
      </c>
    </row>
    <row r="918" spans="1:27">
      <c r="A918" s="74">
        <f t="shared" si="163"/>
        <v>5.4595359339498058E-2</v>
      </c>
      <c r="B918" s="59">
        <f t="shared" si="166"/>
        <v>8</v>
      </c>
      <c r="C918" t="s">
        <v>2036</v>
      </c>
      <c r="D918" s="152">
        <v>10167</v>
      </c>
      <c r="E918" s="20">
        <v>139076</v>
      </c>
      <c r="H918" s="22">
        <v>179821</v>
      </c>
      <c r="I918" s="22">
        <v>141697</v>
      </c>
      <c r="J918">
        <v>274309</v>
      </c>
      <c r="N918">
        <v>384</v>
      </c>
      <c r="O918">
        <f t="shared" si="164"/>
        <v>745454</v>
      </c>
      <c r="Q918" s="22">
        <f t="shared" si="154"/>
        <v>10167</v>
      </c>
      <c r="R918" s="22">
        <f t="shared" si="155"/>
        <v>139076</v>
      </c>
      <c r="S918" s="22">
        <f t="shared" si="156"/>
        <v>179821</v>
      </c>
      <c r="T918" s="22">
        <f t="shared" si="157"/>
        <v>141697</v>
      </c>
      <c r="U918" s="22">
        <f t="shared" si="158"/>
        <v>274693</v>
      </c>
      <c r="W918" s="23">
        <f t="shared" si="165"/>
        <v>1.3638668516098915E-2</v>
      </c>
      <c r="X918" s="23">
        <f t="shared" si="159"/>
        <v>0.18656550236500172</v>
      </c>
      <c r="Y918" s="23">
        <f t="shared" si="160"/>
        <v>0.24122346918790427</v>
      </c>
      <c r="Z918" s="23">
        <f t="shared" si="161"/>
        <v>0.1900814805474248</v>
      </c>
      <c r="AA918" s="23">
        <f t="shared" si="162"/>
        <v>0.36849087938357028</v>
      </c>
    </row>
    <row r="919" spans="1:27">
      <c r="A919" s="74">
        <f t="shared" si="163"/>
        <v>0.18483384601373323</v>
      </c>
      <c r="B919" s="59">
        <f t="shared" si="166"/>
        <v>9</v>
      </c>
      <c r="C919" t="s">
        <v>2037</v>
      </c>
      <c r="D919" s="20"/>
      <c r="E919" s="20">
        <v>470845</v>
      </c>
      <c r="H919" s="22">
        <v>449718</v>
      </c>
      <c r="I919" s="22">
        <v>819505</v>
      </c>
      <c r="M919" s="22">
        <v>1082764</v>
      </c>
      <c r="N919" s="22">
        <v>10497</v>
      </c>
      <c r="O919">
        <f t="shared" si="164"/>
        <v>2833329</v>
      </c>
      <c r="Q919" s="22">
        <f t="shared" si="154"/>
        <v>0</v>
      </c>
      <c r="R919" s="22">
        <f t="shared" si="155"/>
        <v>470845</v>
      </c>
      <c r="S919" s="22">
        <f t="shared" si="156"/>
        <v>449718</v>
      </c>
      <c r="T919" s="22">
        <f t="shared" si="157"/>
        <v>819505</v>
      </c>
      <c r="U919" s="22">
        <f t="shared" si="158"/>
        <v>1093261</v>
      </c>
      <c r="W919" s="23">
        <f t="shared" si="165"/>
        <v>0</v>
      </c>
      <c r="X919" s="23">
        <f t="shared" si="159"/>
        <v>0.16618084239422953</v>
      </c>
      <c r="Y919" s="23">
        <f t="shared" si="160"/>
        <v>0.15872424275472422</v>
      </c>
      <c r="Z919" s="23">
        <f t="shared" si="161"/>
        <v>0.2892375011867665</v>
      </c>
      <c r="AA919" s="23">
        <f t="shared" si="162"/>
        <v>0.38585741366427972</v>
      </c>
    </row>
    <row r="920" spans="1:27">
      <c r="A920" s="74">
        <f t="shared" si="163"/>
        <v>8.832549002981869E-5</v>
      </c>
      <c r="B920" s="59">
        <f t="shared" si="166"/>
        <v>10</v>
      </c>
      <c r="C920" t="s">
        <v>2040</v>
      </c>
      <c r="D920" s="152">
        <v>118073</v>
      </c>
      <c r="E920" s="20">
        <v>225</v>
      </c>
      <c r="H920" s="22">
        <v>86545</v>
      </c>
      <c r="I920" s="22">
        <v>23275</v>
      </c>
      <c r="O920">
        <f t="shared" si="164"/>
        <v>228118</v>
      </c>
      <c r="Q920" s="22">
        <f t="shared" si="154"/>
        <v>118073</v>
      </c>
      <c r="R920" s="22">
        <f t="shared" si="155"/>
        <v>225</v>
      </c>
      <c r="S920" s="22">
        <f t="shared" si="156"/>
        <v>86545</v>
      </c>
      <c r="T920" s="22">
        <f t="shared" si="157"/>
        <v>23275</v>
      </c>
      <c r="U920" s="22">
        <f t="shared" si="158"/>
        <v>0</v>
      </c>
      <c r="W920" s="23">
        <f t="shared" si="165"/>
        <v>0.51759615637520928</v>
      </c>
      <c r="X920" s="23">
        <f t="shared" si="159"/>
        <v>9.8633163538168847E-4</v>
      </c>
      <c r="Y920" s="23">
        <f t="shared" si="160"/>
        <v>0.37938698392936987</v>
      </c>
      <c r="Z920" s="23">
        <f t="shared" si="161"/>
        <v>0.10203052806003911</v>
      </c>
      <c r="AA920" s="23">
        <f t="shared" si="162"/>
        <v>0</v>
      </c>
    </row>
    <row r="921" spans="1:27">
      <c r="A921" s="74">
        <f t="shared" si="163"/>
        <v>4.0307042956807655E-2</v>
      </c>
      <c r="B921" s="59">
        <f t="shared" si="166"/>
        <v>11</v>
      </c>
      <c r="C921" t="s">
        <v>2041</v>
      </c>
      <c r="D921" s="152">
        <v>321623</v>
      </c>
      <c r="E921" s="20">
        <v>102678</v>
      </c>
      <c r="H921" s="22">
        <v>277865</v>
      </c>
      <c r="I921" s="22">
        <v>131350</v>
      </c>
      <c r="J921">
        <v>161</v>
      </c>
      <c r="K921">
        <v>42403</v>
      </c>
      <c r="L921">
        <v>23589</v>
      </c>
      <c r="O921">
        <f t="shared" si="164"/>
        <v>899669</v>
      </c>
      <c r="Q921" s="22">
        <f t="shared" si="154"/>
        <v>321623</v>
      </c>
      <c r="R921" s="22">
        <f t="shared" si="155"/>
        <v>102678</v>
      </c>
      <c r="S921" s="22">
        <f t="shared" si="156"/>
        <v>277865</v>
      </c>
      <c r="T921" s="22">
        <f t="shared" si="157"/>
        <v>131350</v>
      </c>
      <c r="U921" s="22">
        <f t="shared" si="158"/>
        <v>66153</v>
      </c>
      <c r="W921" s="23">
        <f t="shared" si="165"/>
        <v>0.35749036590123701</v>
      </c>
      <c r="X921" s="23">
        <f t="shared" si="159"/>
        <v>0.1141286406445037</v>
      </c>
      <c r="Y921" s="23">
        <f t="shared" si="160"/>
        <v>0.30885247796689669</v>
      </c>
      <c r="Z921" s="23">
        <f t="shared" si="161"/>
        <v>0.14599813931568165</v>
      </c>
      <c r="AA921" s="23">
        <f t="shared" si="162"/>
        <v>7.3530376171680914E-2</v>
      </c>
    </row>
    <row r="922" spans="1:27">
      <c r="A922" s="74">
        <f t="shared" si="163"/>
        <v>1.2514740542891643E-3</v>
      </c>
      <c r="B922" s="59">
        <f t="shared" si="166"/>
        <v>12</v>
      </c>
      <c r="C922" t="s">
        <v>2660</v>
      </c>
      <c r="D922" s="152">
        <v>19749</v>
      </c>
      <c r="E922" s="20">
        <v>3188</v>
      </c>
      <c r="H922" s="22">
        <v>183966</v>
      </c>
      <c r="I922" s="22">
        <v>49690</v>
      </c>
      <c r="J922">
        <v>105787</v>
      </c>
      <c r="O922">
        <f t="shared" si="164"/>
        <v>362380</v>
      </c>
      <c r="Q922" s="22">
        <f t="shared" si="154"/>
        <v>19749</v>
      </c>
      <c r="R922" s="22">
        <f t="shared" si="155"/>
        <v>3188</v>
      </c>
      <c r="S922" s="22">
        <f t="shared" si="156"/>
        <v>183966</v>
      </c>
      <c r="T922" s="22">
        <f t="shared" si="157"/>
        <v>49690</v>
      </c>
      <c r="U922" s="22">
        <f t="shared" si="158"/>
        <v>105787</v>
      </c>
      <c r="W922" s="23">
        <f t="shared" si="165"/>
        <v>5.4498040730724652E-2</v>
      </c>
      <c r="X922" s="23">
        <f t="shared" si="159"/>
        <v>8.7973949997240466E-3</v>
      </c>
      <c r="Y922" s="23">
        <f t="shared" si="160"/>
        <v>0.507660466913185</v>
      </c>
      <c r="Z922" s="23">
        <f t="shared" si="161"/>
        <v>0.13712125393233623</v>
      </c>
      <c r="AA922" s="23">
        <f t="shared" si="162"/>
        <v>0.29192284342403002</v>
      </c>
    </row>
    <row r="923" spans="1:27">
      <c r="A923" s="74">
        <f t="shared" si="163"/>
        <v>1.6761037545791859E-2</v>
      </c>
      <c r="B923" s="59">
        <f t="shared" si="166"/>
        <v>13</v>
      </c>
      <c r="C923" t="s">
        <v>2043</v>
      </c>
      <c r="D923" s="152">
        <v>10283</v>
      </c>
      <c r="E923" s="20">
        <v>42697</v>
      </c>
      <c r="H923" s="22">
        <v>136266</v>
      </c>
      <c r="I923" s="22">
        <v>35258</v>
      </c>
      <c r="J923">
        <v>24190</v>
      </c>
      <c r="L923">
        <v>62331</v>
      </c>
      <c r="O923">
        <f t="shared" si="164"/>
        <v>311025</v>
      </c>
      <c r="Q923" s="22">
        <f t="shared" si="154"/>
        <v>10283</v>
      </c>
      <c r="R923" s="22">
        <f t="shared" si="155"/>
        <v>42697</v>
      </c>
      <c r="S923" s="22">
        <f t="shared" si="156"/>
        <v>136266</v>
      </c>
      <c r="T923" s="22">
        <f t="shared" si="157"/>
        <v>35258</v>
      </c>
      <c r="U923" s="22">
        <f t="shared" si="158"/>
        <v>86521</v>
      </c>
      <c r="W923" s="23">
        <f t="shared" si="165"/>
        <v>3.3061650992685473E-2</v>
      </c>
      <c r="X923" s="23">
        <f t="shared" si="159"/>
        <v>0.13727835383007797</v>
      </c>
      <c r="Y923" s="23">
        <f t="shared" si="160"/>
        <v>0.4381191222570533</v>
      </c>
      <c r="Z923" s="23">
        <f t="shared" si="161"/>
        <v>0.11336066232617957</v>
      </c>
      <c r="AA923" s="23">
        <f t="shared" si="162"/>
        <v>0.27818021059400372</v>
      </c>
    </row>
    <row r="924" spans="1:27">
      <c r="A924" s="74">
        <f t="shared" si="163"/>
        <v>0.11726720148732274</v>
      </c>
      <c r="B924" s="59">
        <f t="shared" si="166"/>
        <v>14</v>
      </c>
      <c r="C924" t="s">
        <v>2044</v>
      </c>
      <c r="D924" s="152">
        <v>403779</v>
      </c>
      <c r="E924" s="20">
        <v>298726</v>
      </c>
      <c r="H924" s="22">
        <v>516904</v>
      </c>
      <c r="I924" s="22">
        <v>267314</v>
      </c>
      <c r="J924">
        <v>24852</v>
      </c>
      <c r="K924">
        <v>178161</v>
      </c>
      <c r="L924">
        <v>3466</v>
      </c>
      <c r="N924" s="22">
        <v>1884</v>
      </c>
      <c r="O924">
        <f t="shared" si="164"/>
        <v>1695086</v>
      </c>
      <c r="Q924" s="22">
        <f t="shared" si="154"/>
        <v>403779</v>
      </c>
      <c r="R924" s="22">
        <f t="shared" si="155"/>
        <v>298726</v>
      </c>
      <c r="S924" s="22">
        <f t="shared" si="156"/>
        <v>516904</v>
      </c>
      <c r="T924" s="22">
        <f t="shared" si="157"/>
        <v>267314</v>
      </c>
      <c r="U924" s="22">
        <f t="shared" si="158"/>
        <v>208363</v>
      </c>
      <c r="W924" s="23">
        <f t="shared" si="165"/>
        <v>0.23820561316652961</v>
      </c>
      <c r="X924" s="23">
        <f t="shared" si="159"/>
        <v>0.17623058653071288</v>
      </c>
      <c r="Y924" s="23">
        <f t="shared" si="160"/>
        <v>0.30494264007843852</v>
      </c>
      <c r="Z924" s="23">
        <f t="shared" si="161"/>
        <v>0.15769937336512721</v>
      </c>
      <c r="AA924" s="23">
        <f t="shared" si="162"/>
        <v>0.12292178685919181</v>
      </c>
    </row>
    <row r="925" spans="1:27">
      <c r="A925" s="74">
        <f t="shared" si="163"/>
        <v>0.19997165733164377</v>
      </c>
      <c r="B925" s="59">
        <f t="shared" si="166"/>
        <v>15</v>
      </c>
      <c r="C925" t="s">
        <v>2661</v>
      </c>
      <c r="D925" s="152">
        <v>309524</v>
      </c>
      <c r="E925" s="20">
        <v>509407</v>
      </c>
      <c r="H925" s="22">
        <v>870150</v>
      </c>
      <c r="I925" s="22">
        <v>530046</v>
      </c>
      <c r="J925">
        <v>459599</v>
      </c>
      <c r="M925" s="22">
        <v>339904</v>
      </c>
      <c r="N925" s="22">
        <v>1440</v>
      </c>
      <c r="O925">
        <f t="shared" si="164"/>
        <v>3020070</v>
      </c>
      <c r="Q925" s="22">
        <f t="shared" si="154"/>
        <v>309524</v>
      </c>
      <c r="R925" s="22">
        <f t="shared" si="155"/>
        <v>509407</v>
      </c>
      <c r="S925" s="22">
        <f t="shared" si="156"/>
        <v>870150</v>
      </c>
      <c r="T925" s="22">
        <f t="shared" si="157"/>
        <v>530046</v>
      </c>
      <c r="U925" s="22">
        <f t="shared" si="158"/>
        <v>800943</v>
      </c>
      <c r="W925" s="23">
        <f t="shared" si="165"/>
        <v>0.10248901515527786</v>
      </c>
      <c r="X925" s="23">
        <f t="shared" si="159"/>
        <v>0.16867390490948886</v>
      </c>
      <c r="Y925" s="23">
        <f t="shared" si="160"/>
        <v>0.28812246073766501</v>
      </c>
      <c r="Z925" s="23">
        <f t="shared" si="161"/>
        <v>0.1755078524669958</v>
      </c>
      <c r="AA925" s="23">
        <f t="shared" si="162"/>
        <v>0.26520676673057247</v>
      </c>
    </row>
    <row r="926" spans="1:27">
      <c r="A926" s="74">
        <f t="shared" si="163"/>
        <v>8.1750147994265523E-3</v>
      </c>
      <c r="B926" s="59">
        <f t="shared" si="166"/>
        <v>16</v>
      </c>
      <c r="C926" t="s">
        <v>2045</v>
      </c>
      <c r="D926" s="152">
        <v>315345</v>
      </c>
      <c r="E926" s="20">
        <v>20825</v>
      </c>
      <c r="H926" s="22">
        <v>225601</v>
      </c>
      <c r="I926" s="22">
        <v>48633</v>
      </c>
      <c r="K926">
        <v>3997</v>
      </c>
      <c r="O926">
        <f t="shared" si="164"/>
        <v>614401</v>
      </c>
      <c r="Q926" s="22">
        <f t="shared" si="154"/>
        <v>315345</v>
      </c>
      <c r="R926" s="22">
        <f t="shared" si="155"/>
        <v>20825</v>
      </c>
      <c r="S926" s="22">
        <f t="shared" si="156"/>
        <v>225601</v>
      </c>
      <c r="T926" s="22">
        <f t="shared" si="157"/>
        <v>48633</v>
      </c>
      <c r="U926" s="22">
        <f t="shared" si="158"/>
        <v>3997</v>
      </c>
      <c r="W926" s="23">
        <f t="shared" si="165"/>
        <v>0.51325600055989495</v>
      </c>
      <c r="X926" s="23">
        <f t="shared" si="159"/>
        <v>3.3894801603513013E-2</v>
      </c>
      <c r="Y926" s="23">
        <f t="shared" si="160"/>
        <v>0.36718852996658535</v>
      </c>
      <c r="Z926" s="23">
        <f t="shared" si="161"/>
        <v>7.9155144604256836E-2</v>
      </c>
      <c r="AA926" s="23">
        <f t="shared" si="162"/>
        <v>6.5055232657498926E-3</v>
      </c>
    </row>
    <row r="927" spans="1:27">
      <c r="A927" s="74">
        <f t="shared" si="163"/>
        <v>1.6625212570012673E-2</v>
      </c>
      <c r="B927" s="59">
        <f t="shared" si="166"/>
        <v>17</v>
      </c>
      <c r="C927" t="s">
        <v>2662</v>
      </c>
      <c r="D927" s="152">
        <v>29898</v>
      </c>
      <c r="E927" s="20">
        <v>42351</v>
      </c>
      <c r="H927" s="22">
        <v>137043</v>
      </c>
      <c r="I927" s="22">
        <v>58512</v>
      </c>
      <c r="J927">
        <v>145492</v>
      </c>
      <c r="O927">
        <f t="shared" si="164"/>
        <v>413296</v>
      </c>
      <c r="Q927" s="22">
        <f t="shared" si="154"/>
        <v>29898</v>
      </c>
      <c r="R927" s="22">
        <f t="shared" si="155"/>
        <v>42351</v>
      </c>
      <c r="S927" s="22">
        <f t="shared" si="156"/>
        <v>137043</v>
      </c>
      <c r="T927" s="22">
        <f t="shared" si="157"/>
        <v>58512</v>
      </c>
      <c r="U927" s="22">
        <f t="shared" si="158"/>
        <v>145492</v>
      </c>
      <c r="W927" s="23">
        <f t="shared" si="165"/>
        <v>7.2340404939801012E-2</v>
      </c>
      <c r="X927" s="23">
        <f t="shared" si="159"/>
        <v>0.10247135225117107</v>
      </c>
      <c r="Y927" s="23">
        <f t="shared" si="160"/>
        <v>0.33158559482791994</v>
      </c>
      <c r="Z927" s="23">
        <f t="shared" si="161"/>
        <v>0.14157407765862723</v>
      </c>
      <c r="AA927" s="23">
        <f t="shared" si="162"/>
        <v>0.35202857032248075</v>
      </c>
    </row>
    <row r="928" spans="1:27">
      <c r="A928" s="74">
        <f t="shared" si="163"/>
        <v>2.3671231327991409E-4</v>
      </c>
      <c r="B928" s="59">
        <f t="shared" si="166"/>
        <v>18</v>
      </c>
      <c r="C928" t="s">
        <v>2047</v>
      </c>
      <c r="D928" s="152">
        <v>80867</v>
      </c>
      <c r="E928" s="20">
        <v>603</v>
      </c>
      <c r="H928" s="22">
        <v>92620</v>
      </c>
      <c r="I928" s="22">
        <v>19244</v>
      </c>
      <c r="K928">
        <v>9408</v>
      </c>
      <c r="O928">
        <f t="shared" si="164"/>
        <v>202742</v>
      </c>
      <c r="Q928" s="22">
        <f t="shared" si="154"/>
        <v>80867</v>
      </c>
      <c r="R928" s="22">
        <f t="shared" si="155"/>
        <v>603</v>
      </c>
      <c r="S928" s="22">
        <f t="shared" si="156"/>
        <v>92620</v>
      </c>
      <c r="T928" s="22">
        <f t="shared" si="157"/>
        <v>19244</v>
      </c>
      <c r="U928" s="22">
        <f t="shared" si="158"/>
        <v>9408</v>
      </c>
      <c r="W928" s="23">
        <f t="shared" si="165"/>
        <v>0.3988665397401624</v>
      </c>
      <c r="X928" s="23">
        <f t="shared" si="159"/>
        <v>2.9742233972240581E-3</v>
      </c>
      <c r="Y928" s="23">
        <f t="shared" si="160"/>
        <v>0.45683676791192745</v>
      </c>
      <c r="Z928" s="23">
        <f t="shared" si="161"/>
        <v>9.4918665101458993E-2</v>
      </c>
      <c r="AA928" s="23">
        <f t="shared" si="162"/>
        <v>4.6403803849227099E-2</v>
      </c>
    </row>
    <row r="929" spans="1:27">
      <c r="A929" s="74">
        <f t="shared" si="163"/>
        <v>6.4253849813692102E-2</v>
      </c>
      <c r="B929" s="59">
        <f t="shared" si="166"/>
        <v>19</v>
      </c>
      <c r="C929" t="s">
        <v>2048</v>
      </c>
      <c r="D929" s="20"/>
      <c r="E929" s="20">
        <v>163680</v>
      </c>
      <c r="H929" s="22">
        <v>223365</v>
      </c>
      <c r="I929" s="22">
        <v>278567</v>
      </c>
      <c r="N929" s="22">
        <v>10099</v>
      </c>
      <c r="O929">
        <f t="shared" si="164"/>
        <v>675711</v>
      </c>
      <c r="Q929" s="22">
        <f t="shared" si="154"/>
        <v>0</v>
      </c>
      <c r="R929" s="22">
        <f t="shared" si="155"/>
        <v>163680</v>
      </c>
      <c r="S929" s="22">
        <f t="shared" si="156"/>
        <v>223365</v>
      </c>
      <c r="T929" s="22">
        <f t="shared" si="157"/>
        <v>278567</v>
      </c>
      <c r="U929" s="22">
        <f t="shared" si="158"/>
        <v>10099</v>
      </c>
      <c r="W929" s="23">
        <f t="shared" si="165"/>
        <v>0</v>
      </c>
      <c r="X929" s="23">
        <f t="shared" si="159"/>
        <v>0.24223373602028087</v>
      </c>
      <c r="Y929" s="23">
        <f t="shared" si="160"/>
        <v>0.33056291817063804</v>
      </c>
      <c r="Z929" s="23">
        <f t="shared" si="161"/>
        <v>0.41225760717229704</v>
      </c>
      <c r="AA929" s="23">
        <f t="shared" si="162"/>
        <v>1.4945738636784068E-2</v>
      </c>
    </row>
    <row r="930" spans="1:27">
      <c r="A930" s="74">
        <f t="shared" si="163"/>
        <v>8.9110605496750401E-5</v>
      </c>
      <c r="B930" s="59">
        <f t="shared" si="166"/>
        <v>20</v>
      </c>
      <c r="C930" t="s">
        <v>2049</v>
      </c>
      <c r="D930" s="152">
        <v>51680</v>
      </c>
      <c r="E930" s="20">
        <v>227</v>
      </c>
      <c r="H930" s="22">
        <v>142939</v>
      </c>
      <c r="I930" s="22">
        <v>29200</v>
      </c>
      <c r="J930">
        <v>80048</v>
      </c>
      <c r="O930">
        <f t="shared" si="164"/>
        <v>304094</v>
      </c>
      <c r="Q930" s="22">
        <f t="shared" si="154"/>
        <v>51680</v>
      </c>
      <c r="R930" s="22">
        <f t="shared" si="155"/>
        <v>227</v>
      </c>
      <c r="S930" s="22">
        <f t="shared" si="156"/>
        <v>142939</v>
      </c>
      <c r="T930" s="22">
        <f t="shared" si="157"/>
        <v>29200</v>
      </c>
      <c r="U930" s="22">
        <f t="shared" si="158"/>
        <v>80048</v>
      </c>
      <c r="W930" s="23">
        <f t="shared" si="165"/>
        <v>0.16994745045939744</v>
      </c>
      <c r="X930" s="23">
        <f t="shared" si="159"/>
        <v>7.4647970693272479E-4</v>
      </c>
      <c r="Y930" s="23">
        <f t="shared" si="160"/>
        <v>0.47004873493064647</v>
      </c>
      <c r="Z930" s="23">
        <f t="shared" si="161"/>
        <v>9.6022940275046528E-2</v>
      </c>
      <c r="AA930" s="23">
        <f t="shared" si="162"/>
        <v>0.26323439462797688</v>
      </c>
    </row>
    <row r="931" spans="1:27">
      <c r="A931" s="74">
        <f t="shared" si="163"/>
        <v>4.3889524832417107E-2</v>
      </c>
      <c r="B931" s="59">
        <f t="shared" si="166"/>
        <v>21</v>
      </c>
      <c r="C931" t="s">
        <v>2050</v>
      </c>
      <c r="D931" s="152">
        <v>283196</v>
      </c>
      <c r="E931" s="20">
        <v>111804</v>
      </c>
      <c r="H931" s="22">
        <v>279136</v>
      </c>
      <c r="I931" s="22">
        <v>158368</v>
      </c>
      <c r="J931">
        <v>5972</v>
      </c>
      <c r="O931">
        <f t="shared" si="164"/>
        <v>838476</v>
      </c>
      <c r="Q931" s="22">
        <f t="shared" si="154"/>
        <v>283196</v>
      </c>
      <c r="R931" s="22">
        <f t="shared" si="155"/>
        <v>111804</v>
      </c>
      <c r="S931" s="22">
        <f t="shared" si="156"/>
        <v>279136</v>
      </c>
      <c r="T931" s="22">
        <f t="shared" si="157"/>
        <v>158368</v>
      </c>
      <c r="U931" s="22">
        <f t="shared" si="158"/>
        <v>5972</v>
      </c>
      <c r="W931" s="23">
        <f t="shared" si="165"/>
        <v>0.33775087181982549</v>
      </c>
      <c r="X931" s="23">
        <f t="shared" si="159"/>
        <v>0.13334192034119044</v>
      </c>
      <c r="Y931" s="23">
        <f t="shared" si="160"/>
        <v>0.33290875350039834</v>
      </c>
      <c r="Z931" s="23">
        <f t="shared" si="161"/>
        <v>0.18887600837710322</v>
      </c>
      <c r="AA931" s="23">
        <f t="shared" si="162"/>
        <v>7.1224459614824993E-3</v>
      </c>
    </row>
    <row r="932" spans="1:27">
      <c r="A932" s="74">
        <f t="shared" si="163"/>
        <v>1.0836556232325089E-2</v>
      </c>
      <c r="B932" s="59">
        <f t="shared" si="166"/>
        <v>22</v>
      </c>
      <c r="C932" t="s">
        <v>2051</v>
      </c>
      <c r="D932" s="152">
        <v>192346</v>
      </c>
      <c r="E932" s="20">
        <v>27605</v>
      </c>
      <c r="H932" s="22">
        <v>82593</v>
      </c>
      <c r="I932" s="22">
        <v>97130</v>
      </c>
      <c r="K932">
        <v>16453</v>
      </c>
      <c r="L932">
        <v>110282</v>
      </c>
      <c r="O932">
        <f t="shared" si="164"/>
        <v>526409</v>
      </c>
      <c r="Q932" s="22">
        <f t="shared" si="154"/>
        <v>192346</v>
      </c>
      <c r="R932" s="22">
        <f t="shared" si="155"/>
        <v>27605</v>
      </c>
      <c r="S932" s="22">
        <f t="shared" si="156"/>
        <v>82593</v>
      </c>
      <c r="T932" s="22">
        <f t="shared" si="157"/>
        <v>97130</v>
      </c>
      <c r="U932" s="22">
        <f t="shared" si="158"/>
        <v>126735</v>
      </c>
      <c r="W932" s="23">
        <f t="shared" si="165"/>
        <v>0.3653926889547861</v>
      </c>
      <c r="X932" s="23">
        <f t="shared" si="159"/>
        <v>5.2440212838306334E-2</v>
      </c>
      <c r="Y932" s="23">
        <f t="shared" si="160"/>
        <v>0.15689891320247185</v>
      </c>
      <c r="Z932" s="23">
        <f t="shared" si="161"/>
        <v>0.18451432251348288</v>
      </c>
      <c r="AA932" s="23">
        <f t="shared" si="162"/>
        <v>0.24075386249095285</v>
      </c>
    </row>
    <row r="933" spans="1:27">
      <c r="A933" s="74">
        <f t="shared" si="163"/>
        <v>1.3614687312062985E-2</v>
      </c>
      <c r="B933" s="59">
        <f t="shared" si="166"/>
        <v>23</v>
      </c>
      <c r="C933" t="s">
        <v>2052</v>
      </c>
      <c r="D933" s="20"/>
      <c r="E933" s="20">
        <v>34682</v>
      </c>
      <c r="H933" s="22">
        <v>79322</v>
      </c>
      <c r="I933" s="22">
        <v>71334</v>
      </c>
      <c r="J933">
        <v>143066</v>
      </c>
      <c r="O933">
        <f t="shared" si="164"/>
        <v>328404</v>
      </c>
      <c r="Q933" s="22">
        <f t="shared" si="154"/>
        <v>0</v>
      </c>
      <c r="R933" s="22">
        <f t="shared" si="155"/>
        <v>34682</v>
      </c>
      <c r="S933" s="22">
        <f t="shared" si="156"/>
        <v>79322</v>
      </c>
      <c r="T933" s="22">
        <f t="shared" si="157"/>
        <v>71334</v>
      </c>
      <c r="U933" s="22">
        <f t="shared" si="158"/>
        <v>143066</v>
      </c>
      <c r="W933" s="23">
        <f t="shared" si="165"/>
        <v>0</v>
      </c>
      <c r="X933" s="23">
        <f t="shared" si="159"/>
        <v>0.10560772706787981</v>
      </c>
      <c r="Y933" s="23">
        <f t="shared" si="160"/>
        <v>0.24153786190180387</v>
      </c>
      <c r="Z933" s="23">
        <f t="shared" si="161"/>
        <v>0.21721416304308108</v>
      </c>
      <c r="AA933" s="23">
        <f t="shared" si="162"/>
        <v>0.43564024798723522</v>
      </c>
    </row>
    <row r="934" spans="1:27">
      <c r="A934" s="74">
        <f t="shared" si="163"/>
        <v>3.6606793761158454E-2</v>
      </c>
      <c r="B934" s="59">
        <f t="shared" si="166"/>
        <v>24</v>
      </c>
      <c r="C934" t="s">
        <v>2053</v>
      </c>
      <c r="D934" s="20"/>
      <c r="E934" s="20">
        <v>93252</v>
      </c>
      <c r="H934" s="22">
        <v>125005</v>
      </c>
      <c r="I934" s="22">
        <v>60925</v>
      </c>
      <c r="J934">
        <v>17748</v>
      </c>
      <c r="L934">
        <v>71632</v>
      </c>
      <c r="N934">
        <v>782</v>
      </c>
      <c r="O934">
        <f t="shared" si="164"/>
        <v>369344</v>
      </c>
      <c r="Q934" s="22">
        <f t="shared" si="154"/>
        <v>0</v>
      </c>
      <c r="R934" s="22">
        <f t="shared" si="155"/>
        <v>93252</v>
      </c>
      <c r="S934" s="22">
        <f t="shared" si="156"/>
        <v>125005</v>
      </c>
      <c r="T934" s="22">
        <f t="shared" si="157"/>
        <v>60925</v>
      </c>
      <c r="U934" s="22">
        <f t="shared" si="158"/>
        <v>90162</v>
      </c>
      <c r="W934" s="23">
        <f t="shared" si="165"/>
        <v>0</v>
      </c>
      <c r="X934" s="23">
        <f t="shared" si="159"/>
        <v>0.25248007277768153</v>
      </c>
      <c r="Y934" s="23">
        <f t="shared" si="160"/>
        <v>0.33845141656558653</v>
      </c>
      <c r="Z934" s="23">
        <f t="shared" si="161"/>
        <v>0.16495462224917692</v>
      </c>
      <c r="AA934" s="23">
        <f t="shared" si="162"/>
        <v>0.24411388840755502</v>
      </c>
    </row>
    <row r="935" spans="1:27">
      <c r="A935" s="74">
        <f t="shared" si="163"/>
        <v>1.2956760550774202E-2</v>
      </c>
      <c r="B935" s="59">
        <f t="shared" si="166"/>
        <v>25</v>
      </c>
      <c r="C935" t="s">
        <v>2054</v>
      </c>
      <c r="D935" s="152">
        <v>331508</v>
      </c>
      <c r="E935" s="20">
        <v>33006</v>
      </c>
      <c r="H935" s="22">
        <v>149742</v>
      </c>
      <c r="I935" s="22">
        <v>54722</v>
      </c>
      <c r="O935">
        <f t="shared" si="164"/>
        <v>568978</v>
      </c>
      <c r="Q935" s="22">
        <f t="shared" si="154"/>
        <v>331508</v>
      </c>
      <c r="R935" s="22">
        <f t="shared" si="155"/>
        <v>33006</v>
      </c>
      <c r="S935" s="22">
        <f t="shared" si="156"/>
        <v>149742</v>
      </c>
      <c r="T935" s="22">
        <f t="shared" si="157"/>
        <v>54722</v>
      </c>
      <c r="U935" s="22">
        <f t="shared" si="158"/>
        <v>0</v>
      </c>
      <c r="W935" s="23">
        <f t="shared" si="165"/>
        <v>0.58263764152568287</v>
      </c>
      <c r="X935" s="23">
        <f t="shared" si="159"/>
        <v>5.8009272766258099E-2</v>
      </c>
      <c r="Y935" s="23">
        <f t="shared" si="160"/>
        <v>0.26317713514406532</v>
      </c>
      <c r="Z935" s="23">
        <f t="shared" si="161"/>
        <v>9.6175950563993681E-2</v>
      </c>
      <c r="AA935" s="23">
        <f t="shared" si="162"/>
        <v>0</v>
      </c>
    </row>
    <row r="936" spans="1:27">
      <c r="A936" s="74">
        <f t="shared" si="163"/>
        <v>8.0937553485991177E-3</v>
      </c>
      <c r="B936" s="59">
        <f t="shared" si="166"/>
        <v>26</v>
      </c>
      <c r="C936" t="s">
        <v>2055</v>
      </c>
      <c r="D936" s="152">
        <v>376418</v>
      </c>
      <c r="E936" s="20">
        <v>20618</v>
      </c>
      <c r="F936">
        <v>9505</v>
      </c>
      <c r="G936">
        <v>11552</v>
      </c>
      <c r="H936" s="22">
        <v>157998</v>
      </c>
      <c r="I936" s="22">
        <v>61793</v>
      </c>
      <c r="O936">
        <f t="shared" si="164"/>
        <v>637884</v>
      </c>
      <c r="Q936" s="22">
        <f t="shared" si="154"/>
        <v>376418</v>
      </c>
      <c r="R936" s="22">
        <f t="shared" si="155"/>
        <v>20618</v>
      </c>
      <c r="S936" s="22">
        <f t="shared" si="156"/>
        <v>167503</v>
      </c>
      <c r="T936" s="22">
        <f t="shared" si="157"/>
        <v>73345</v>
      </c>
      <c r="U936" s="22">
        <f t="shared" si="158"/>
        <v>0</v>
      </c>
      <c r="W936" s="23">
        <f t="shared" si="165"/>
        <v>0.59010415686864692</v>
      </c>
      <c r="X936" s="23">
        <f t="shared" si="159"/>
        <v>3.232249123665118E-2</v>
      </c>
      <c r="Y936" s="23">
        <f t="shared" si="160"/>
        <v>0.26259163108025912</v>
      </c>
      <c r="Z936" s="23">
        <f t="shared" si="161"/>
        <v>0.11498172081444274</v>
      </c>
      <c r="AA936" s="23">
        <f t="shared" si="162"/>
        <v>0</v>
      </c>
    </row>
    <row r="937" spans="1:27">
      <c r="A937" s="74">
        <f t="shared" si="163"/>
        <v>3.2413492052276128E-3</v>
      </c>
      <c r="B937" s="59">
        <f t="shared" si="166"/>
        <v>27</v>
      </c>
      <c r="C937" t="s">
        <v>2056</v>
      </c>
      <c r="D937" s="20"/>
      <c r="E937" s="20">
        <v>8257</v>
      </c>
      <c r="H937" s="22">
        <v>91884</v>
      </c>
      <c r="I937" s="22">
        <v>39185</v>
      </c>
      <c r="L937">
        <v>57014</v>
      </c>
      <c r="O937">
        <f t="shared" si="164"/>
        <v>196340</v>
      </c>
      <c r="Q937" s="22">
        <f t="shared" si="154"/>
        <v>0</v>
      </c>
      <c r="R937" s="22">
        <f t="shared" si="155"/>
        <v>8257</v>
      </c>
      <c r="S937" s="22">
        <f t="shared" si="156"/>
        <v>91884</v>
      </c>
      <c r="T937" s="22">
        <f t="shared" si="157"/>
        <v>39185</v>
      </c>
      <c r="U937" s="22">
        <f t="shared" si="158"/>
        <v>57014</v>
      </c>
      <c r="W937" s="23">
        <f t="shared" si="165"/>
        <v>0</v>
      </c>
      <c r="X937" s="23">
        <f t="shared" si="159"/>
        <v>4.2054599164714268E-2</v>
      </c>
      <c r="Y937" s="23">
        <f t="shared" si="160"/>
        <v>0.46798410919832945</v>
      </c>
      <c r="Z937" s="23">
        <f t="shared" si="161"/>
        <v>0.19957726392991748</v>
      </c>
      <c r="AA937" s="23">
        <f t="shared" si="162"/>
        <v>0.29038402770703881</v>
      </c>
    </row>
    <row r="938" spans="1:27">
      <c r="A938" s="74">
        <f t="shared" si="163"/>
        <v>2.3906765968070924E-4</v>
      </c>
      <c r="B938" s="59">
        <f t="shared" si="166"/>
        <v>28</v>
      </c>
      <c r="C938" t="s">
        <v>2057</v>
      </c>
      <c r="D938" s="20"/>
      <c r="E938" s="20">
        <v>609</v>
      </c>
      <c r="H938" s="22">
        <v>278109</v>
      </c>
      <c r="I938" s="22">
        <v>83992</v>
      </c>
      <c r="J938">
        <v>10194</v>
      </c>
      <c r="K938">
        <v>116965</v>
      </c>
      <c r="L938">
        <v>43275</v>
      </c>
      <c r="O938">
        <f t="shared" si="164"/>
        <v>533144</v>
      </c>
      <c r="Q938" s="22">
        <f t="shared" si="154"/>
        <v>0</v>
      </c>
      <c r="R938" s="22">
        <f t="shared" si="155"/>
        <v>609</v>
      </c>
      <c r="S938" s="22">
        <f t="shared" si="156"/>
        <v>278109</v>
      </c>
      <c r="T938" s="22">
        <f t="shared" si="157"/>
        <v>83992</v>
      </c>
      <c r="U938" s="22">
        <f t="shared" si="158"/>
        <v>170434</v>
      </c>
      <c r="W938" s="23">
        <f t="shared" si="165"/>
        <v>0</v>
      </c>
      <c r="X938" s="23">
        <f t="shared" si="159"/>
        <v>1.1422805095809012E-3</v>
      </c>
      <c r="Y938" s="23">
        <f t="shared" si="160"/>
        <v>0.52163955704275022</v>
      </c>
      <c r="Z938" s="23">
        <f t="shared" si="161"/>
        <v>0.15754092702909533</v>
      </c>
      <c r="AA938" s="23">
        <f t="shared" si="162"/>
        <v>0.31967723541857357</v>
      </c>
    </row>
    <row r="939" spans="1:27">
      <c r="A939" s="74">
        <f t="shared" si="163"/>
        <v>2.0805559873690623E-5</v>
      </c>
      <c r="B939" s="59">
        <f t="shared" si="166"/>
        <v>29</v>
      </c>
      <c r="C939" t="s">
        <v>2058</v>
      </c>
      <c r="D939" s="152">
        <v>6968</v>
      </c>
      <c r="E939" s="20">
        <v>53</v>
      </c>
      <c r="H939" s="22">
        <v>76185</v>
      </c>
      <c r="I939" s="22">
        <v>27817</v>
      </c>
      <c r="J939">
        <v>3145</v>
      </c>
      <c r="L939">
        <v>48609</v>
      </c>
      <c r="O939">
        <f t="shared" si="164"/>
        <v>162777</v>
      </c>
      <c r="Q939" s="22">
        <f t="shared" si="154"/>
        <v>6968</v>
      </c>
      <c r="R939" s="22">
        <f t="shared" si="155"/>
        <v>53</v>
      </c>
      <c r="S939" s="22">
        <f t="shared" si="156"/>
        <v>76185</v>
      </c>
      <c r="T939" s="22">
        <f t="shared" si="157"/>
        <v>27817</v>
      </c>
      <c r="U939" s="22">
        <f t="shared" si="158"/>
        <v>51754</v>
      </c>
      <c r="W939" s="23">
        <f t="shared" si="165"/>
        <v>4.2807030477278733E-2</v>
      </c>
      <c r="X939" s="23">
        <f t="shared" si="159"/>
        <v>3.2559882538687898E-4</v>
      </c>
      <c r="Y939" s="23">
        <f t="shared" si="160"/>
        <v>0.46803295305847875</v>
      </c>
      <c r="Z939" s="23">
        <f t="shared" si="161"/>
        <v>0.17089023633560024</v>
      </c>
      <c r="AA939" s="23">
        <f t="shared" si="162"/>
        <v>0.31794418130325536</v>
      </c>
    </row>
    <row r="940" spans="1:27">
      <c r="A940" s="74">
        <f t="shared" si="163"/>
        <v>4.947208836003511E-2</v>
      </c>
      <c r="B940" s="59">
        <f t="shared" si="166"/>
        <v>30</v>
      </c>
      <c r="C940" t="s">
        <v>2059</v>
      </c>
      <c r="D940" s="152">
        <v>250332</v>
      </c>
      <c r="E940" s="20">
        <v>126025</v>
      </c>
      <c r="H940" s="22">
        <v>394534</v>
      </c>
      <c r="I940" s="22">
        <v>116745</v>
      </c>
      <c r="J940">
        <v>123121</v>
      </c>
      <c r="L940">
        <v>26308</v>
      </c>
      <c r="O940">
        <f t="shared" si="164"/>
        <v>1037065</v>
      </c>
      <c r="Q940" s="22">
        <f t="shared" si="154"/>
        <v>250332</v>
      </c>
      <c r="R940" s="22">
        <f t="shared" si="155"/>
        <v>126025</v>
      </c>
      <c r="S940" s="22">
        <f t="shared" si="156"/>
        <v>394534</v>
      </c>
      <c r="T940" s="22">
        <f t="shared" si="157"/>
        <v>116745</v>
      </c>
      <c r="U940" s="22">
        <f t="shared" si="158"/>
        <v>149429</v>
      </c>
      <c r="W940" s="23">
        <f t="shared" si="165"/>
        <v>0.2413850626527749</v>
      </c>
      <c r="X940" s="23">
        <f t="shared" si="159"/>
        <v>0.12152083042046545</v>
      </c>
      <c r="Y940" s="23">
        <f t="shared" si="160"/>
        <v>0.3804332418893705</v>
      </c>
      <c r="Z940" s="23">
        <f t="shared" si="161"/>
        <v>0.11257250027722467</v>
      </c>
      <c r="AA940" s="23">
        <f t="shared" si="162"/>
        <v>0.14408836476016451</v>
      </c>
    </row>
    <row r="941" spans="1:27">
      <c r="A941" s="74">
        <f t="shared" si="163"/>
        <v>1.4288316382690402E-2</v>
      </c>
      <c r="B941" s="59">
        <f t="shared" si="166"/>
        <v>31</v>
      </c>
      <c r="C941" t="s">
        <v>2060</v>
      </c>
      <c r="D941" s="20"/>
      <c r="E941" s="20">
        <v>36398</v>
      </c>
      <c r="H941" s="22">
        <v>66980</v>
      </c>
      <c r="I941" s="22">
        <v>88700</v>
      </c>
      <c r="J941">
        <v>135328</v>
      </c>
      <c r="O941">
        <f t="shared" si="164"/>
        <v>327406</v>
      </c>
      <c r="Q941" s="22">
        <f t="shared" si="154"/>
        <v>0</v>
      </c>
      <c r="R941" s="22">
        <f t="shared" si="155"/>
        <v>36398</v>
      </c>
      <c r="S941" s="22">
        <f t="shared" si="156"/>
        <v>66980</v>
      </c>
      <c r="T941" s="22">
        <f t="shared" si="157"/>
        <v>88700</v>
      </c>
      <c r="U941" s="22">
        <f t="shared" si="158"/>
        <v>135328</v>
      </c>
      <c r="W941" s="23">
        <f t="shared" si="165"/>
        <v>0</v>
      </c>
      <c r="X941" s="23">
        <f t="shared" si="159"/>
        <v>0.11117083987465104</v>
      </c>
      <c r="Y941" s="23">
        <f t="shared" si="160"/>
        <v>0.20457780248376634</v>
      </c>
      <c r="Z941" s="23">
        <f t="shared" si="161"/>
        <v>0.27091745417005186</v>
      </c>
      <c r="AA941" s="23">
        <f t="shared" si="162"/>
        <v>0.41333390347153076</v>
      </c>
    </row>
    <row r="942" spans="1:27">
      <c r="A942" s="74">
        <f t="shared" si="163"/>
        <v>2.5123694941815092E-5</v>
      </c>
      <c r="B942" s="69">
        <f t="shared" si="166"/>
        <v>32</v>
      </c>
      <c r="C942" s="3" t="s">
        <v>2061</v>
      </c>
      <c r="D942" s="159">
        <v>62170</v>
      </c>
      <c r="E942" s="21">
        <v>64</v>
      </c>
      <c r="F942" s="3"/>
      <c r="G942" s="3"/>
      <c r="H942" s="111">
        <v>91551</v>
      </c>
      <c r="I942" s="111">
        <v>12187</v>
      </c>
      <c r="J942" s="3"/>
      <c r="K942" s="3"/>
      <c r="L942" s="3">
        <v>27597</v>
      </c>
      <c r="M942" s="3"/>
      <c r="N942" s="3"/>
      <c r="O942" s="3">
        <f t="shared" si="164"/>
        <v>193569</v>
      </c>
      <c r="P942" s="3"/>
      <c r="Q942" s="111">
        <f t="shared" si="154"/>
        <v>62170</v>
      </c>
      <c r="R942" s="111">
        <f t="shared" si="155"/>
        <v>64</v>
      </c>
      <c r="S942" s="111">
        <f t="shared" si="156"/>
        <v>91551</v>
      </c>
      <c r="T942" s="111">
        <f t="shared" si="157"/>
        <v>12187</v>
      </c>
      <c r="U942" s="111">
        <f t="shared" si="158"/>
        <v>27597</v>
      </c>
      <c r="W942" s="71">
        <f t="shared" si="165"/>
        <v>0.32117746126704172</v>
      </c>
      <c r="X942" s="71">
        <f t="shared" si="159"/>
        <v>3.3063145441677126E-4</v>
      </c>
      <c r="Y942" s="71">
        <f t="shared" si="160"/>
        <v>0.47296312942671603</v>
      </c>
      <c r="Z942" s="71">
        <f t="shared" si="161"/>
        <v>6.2959461484018625E-2</v>
      </c>
      <c r="AA942" s="71">
        <f t="shared" si="162"/>
        <v>0.14256931636780684</v>
      </c>
    </row>
    <row r="943" spans="1:27">
      <c r="D943" s="116">
        <f>SUM(D911:D942)</f>
        <v>3510326</v>
      </c>
      <c r="E943" s="116">
        <f t="shared" ref="E943:N943" si="167">SUM(E911:E942)</f>
        <v>2547396</v>
      </c>
      <c r="F943" s="116">
        <f t="shared" si="167"/>
        <v>247211</v>
      </c>
      <c r="G943" s="116">
        <f t="shared" si="167"/>
        <v>197450</v>
      </c>
      <c r="H943" s="116">
        <f t="shared" si="167"/>
        <v>5949796</v>
      </c>
      <c r="I943" s="116">
        <f t="shared" si="167"/>
        <v>3616248</v>
      </c>
      <c r="J943" s="116">
        <f t="shared" si="167"/>
        <v>2005219</v>
      </c>
      <c r="K943" s="116">
        <f t="shared" si="167"/>
        <v>480065</v>
      </c>
      <c r="L943" s="116">
        <f t="shared" si="167"/>
        <v>613171</v>
      </c>
      <c r="M943" s="116">
        <f t="shared" si="167"/>
        <v>1422668</v>
      </c>
      <c r="N943" s="116">
        <f t="shared" si="167"/>
        <v>25617</v>
      </c>
      <c r="O943">
        <f>SUM(O911:O942)</f>
        <v>20615167</v>
      </c>
      <c r="Q943">
        <f t="shared" ref="Q943:U943" si="168">SUM(Q911:Q942)</f>
        <v>3510326</v>
      </c>
      <c r="R943">
        <f t="shared" si="168"/>
        <v>2547396</v>
      </c>
      <c r="S943">
        <f t="shared" si="168"/>
        <v>6197007</v>
      </c>
      <c r="T943">
        <f t="shared" si="168"/>
        <v>3813698</v>
      </c>
      <c r="U943">
        <f t="shared" si="168"/>
        <v>4546740</v>
      </c>
      <c r="W943" s="23">
        <f t="shared" si="165"/>
        <v>0.17027880492066835</v>
      </c>
      <c r="X943" s="23">
        <f t="shared" si="159"/>
        <v>0.12356902080880548</v>
      </c>
      <c r="Y943" s="23">
        <f t="shared" si="160"/>
        <v>0.30060425899048016</v>
      </c>
      <c r="Z943" s="23">
        <f t="shared" si="161"/>
        <v>0.18499476623206593</v>
      </c>
      <c r="AA943" s="23">
        <f t="shared" si="162"/>
        <v>0.22055314904798007</v>
      </c>
    </row>
    <row r="945" spans="1:27">
      <c r="A945" s="23">
        <f>A912+A918+A919+A921+A924+A925+A929+A931+A940</f>
        <v>0.80901791476472451</v>
      </c>
      <c r="D945" s="152">
        <f t="shared" ref="D945:O945" si="169">D912+D918+D919+D921+D924+D925+D929+D931+D940</f>
        <v>1582720</v>
      </c>
      <c r="E945" s="152">
        <f t="shared" si="169"/>
        <v>2060889</v>
      </c>
      <c r="F945" s="152">
        <f t="shared" si="169"/>
        <v>237706</v>
      </c>
      <c r="G945" s="152">
        <f t="shared" si="169"/>
        <v>185898</v>
      </c>
      <c r="H945" s="152">
        <f t="shared" si="169"/>
        <v>3191493</v>
      </c>
      <c r="I945" s="152">
        <f t="shared" si="169"/>
        <v>2443592</v>
      </c>
      <c r="J945" s="152">
        <f t="shared" si="169"/>
        <v>1307132</v>
      </c>
      <c r="K945" s="152">
        <f t="shared" si="169"/>
        <v>220564</v>
      </c>
      <c r="L945" s="152">
        <f t="shared" si="169"/>
        <v>53363</v>
      </c>
      <c r="M945" s="152">
        <f t="shared" si="169"/>
        <v>1422668</v>
      </c>
      <c r="N945" s="152">
        <f t="shared" si="169"/>
        <v>24304</v>
      </c>
      <c r="O945" s="152">
        <f t="shared" si="169"/>
        <v>12730329</v>
      </c>
      <c r="Q945" s="22">
        <f>D945</f>
        <v>1582720</v>
      </c>
      <c r="R945" s="22">
        <f>E945</f>
        <v>2060889</v>
      </c>
      <c r="S945" s="22">
        <f>F945+H945</f>
        <v>3429199</v>
      </c>
      <c r="T945" s="22">
        <f>G945+I945</f>
        <v>2629490</v>
      </c>
      <c r="U945" s="22">
        <f>J945+K945+L945+M945+N945</f>
        <v>3028031</v>
      </c>
      <c r="W945" s="23">
        <f t="shared" ref="W945" si="170">Q945/$O945</f>
        <v>0.12432671614378545</v>
      </c>
      <c r="X945" s="23">
        <f t="shared" ref="X945" si="171">R945/$O945</f>
        <v>0.16188811773835537</v>
      </c>
      <c r="Y945" s="23">
        <f t="shared" ref="Y945" si="172">S945/$O945</f>
        <v>0.2693723783572286</v>
      </c>
      <c r="Z945" s="23">
        <f t="shared" ref="Z945" si="173">T945/$O945</f>
        <v>0.20655318491768751</v>
      </c>
      <c r="AA945" s="23">
        <f t="shared" ref="AA945" si="174">U945/$O945</f>
        <v>0.23785960284294302</v>
      </c>
    </row>
    <row r="946" spans="1:27">
      <c r="D946" s="117"/>
      <c r="E946" s="117"/>
      <c r="Q946" s="23">
        <f>Q945/Q943</f>
        <v>0.4508755027310854</v>
      </c>
      <c r="R946" s="23">
        <f t="shared" ref="R946:U946" si="175">R945/R943</f>
        <v>0.8090179147647244</v>
      </c>
      <c r="S946" s="23">
        <f t="shared" si="175"/>
        <v>0.55336374478841155</v>
      </c>
      <c r="T946" s="23">
        <f t="shared" si="175"/>
        <v>0.68948563834892018</v>
      </c>
      <c r="U946" s="23">
        <f t="shared" si="175"/>
        <v>0.66597848128549242</v>
      </c>
      <c r="V946" s="23"/>
    </row>
    <row r="950" spans="1:27">
      <c r="T950" t="str">
        <f>Q910</f>
        <v>MEGA</v>
      </c>
      <c r="U950" s="23">
        <f>Q946</f>
        <v>0.4508755027310854</v>
      </c>
    </row>
    <row r="951" spans="1:27">
      <c r="T951" t="str">
        <f>S910</f>
        <v>Telmex DSL</v>
      </c>
      <c r="U951" s="23">
        <f>S946</f>
        <v>0.55336374478841155</v>
      </c>
    </row>
    <row r="952" spans="1:27">
      <c r="T952" t="str">
        <f>T910</f>
        <v>Telmex FTTH</v>
      </c>
      <c r="U952" s="23">
        <f>U946</f>
        <v>0.66597848128549242</v>
      </c>
    </row>
    <row r="953" spans="1:27">
      <c r="T953" t="str">
        <f>U910</f>
        <v>Televisa</v>
      </c>
      <c r="U953" s="23">
        <f>T946</f>
        <v>0.68948563834892018</v>
      </c>
    </row>
    <row r="979" spans="3:20" ht="15.75">
      <c r="C979" s="154"/>
      <c r="D979" s="236" t="s">
        <v>2627</v>
      </c>
      <c r="E979" s="236" t="s">
        <v>2627</v>
      </c>
      <c r="F979" s="236" t="s">
        <v>2627</v>
      </c>
      <c r="G979" s="236" t="s">
        <v>2627</v>
      </c>
      <c r="H979" s="236" t="s">
        <v>2627</v>
      </c>
      <c r="J979" s="236" t="s">
        <v>2628</v>
      </c>
      <c r="K979" s="236" t="s">
        <v>2628</v>
      </c>
      <c r="L979" s="236" t="s">
        <v>2628</v>
      </c>
      <c r="M979" s="236" t="s">
        <v>2628</v>
      </c>
      <c r="N979" s="236" t="s">
        <v>2628</v>
      </c>
      <c r="P979" s="236" t="s">
        <v>2696</v>
      </c>
      <c r="Q979" s="236" t="s">
        <v>2696</v>
      </c>
      <c r="R979" s="236" t="s">
        <v>2696</v>
      </c>
      <c r="S979" s="236" t="s">
        <v>2696</v>
      </c>
      <c r="T979" s="236" t="s">
        <v>2696</v>
      </c>
    </row>
    <row r="980" spans="3:20" ht="15.75">
      <c r="C980" s="187" t="s">
        <v>2626</v>
      </c>
      <c r="D980" s="16">
        <v>2022</v>
      </c>
      <c r="E980" s="16">
        <f>D980+1</f>
        <v>2023</v>
      </c>
      <c r="F980" s="16">
        <f t="shared" ref="F980:H980" si="176">E980+1</f>
        <v>2024</v>
      </c>
      <c r="G980" s="16">
        <f t="shared" si="176"/>
        <v>2025</v>
      </c>
      <c r="H980" s="16">
        <f t="shared" si="176"/>
        <v>2026</v>
      </c>
      <c r="I980" s="3"/>
      <c r="J980" s="16">
        <f>D980</f>
        <v>2022</v>
      </c>
      <c r="K980" s="16">
        <f t="shared" ref="K980:N980" si="177">E980</f>
        <v>2023</v>
      </c>
      <c r="L980" s="16">
        <f t="shared" si="177"/>
        <v>2024</v>
      </c>
      <c r="M980" s="16">
        <f t="shared" si="177"/>
        <v>2025</v>
      </c>
      <c r="N980" s="16">
        <f t="shared" si="177"/>
        <v>2026</v>
      </c>
      <c r="O980" s="3"/>
      <c r="P980" s="16">
        <f>J980</f>
        <v>2022</v>
      </c>
      <c r="Q980" s="16">
        <f t="shared" ref="Q980:T980" si="178">K980</f>
        <v>2023</v>
      </c>
      <c r="R980" s="16">
        <f t="shared" si="178"/>
        <v>2024</v>
      </c>
      <c r="S980" s="16">
        <f t="shared" si="178"/>
        <v>2025</v>
      </c>
      <c r="T980" s="16">
        <f t="shared" si="178"/>
        <v>2026</v>
      </c>
    </row>
    <row r="981" spans="3:20" ht="15.75">
      <c r="C981" s="237" t="s">
        <v>188</v>
      </c>
      <c r="D981" s="238">
        <f>Master!V$7</f>
        <v>27155.555</v>
      </c>
      <c r="E981" s="238">
        <f>Master!W$7</f>
        <v>29870.54</v>
      </c>
      <c r="F981" s="238">
        <f>Master!X$7</f>
        <v>33085.7435653906</v>
      </c>
      <c r="G981" s="238">
        <f>Master!Y$7</f>
        <v>36026.705486593608</v>
      </c>
      <c r="H981" s="238">
        <f>Master!Z$7</f>
        <v>38748.862943517532</v>
      </c>
      <c r="I981" s="239"/>
      <c r="J981" s="238">
        <v>27168.079068884494</v>
      </c>
      <c r="K981" s="238">
        <v>29703.003089228761</v>
      </c>
      <c r="L981" s="238">
        <v>32412.360827263219</v>
      </c>
      <c r="M981" s="238">
        <v>35087.49482840344</v>
      </c>
      <c r="N981" s="238">
        <v>37364.087508893143</v>
      </c>
      <c r="O981" s="239"/>
      <c r="P981" s="240">
        <f t="shared" ref="P981:R981" si="179">D981/J981-1</f>
        <v>-4.6098470387756496E-4</v>
      </c>
      <c r="Q981" s="240">
        <f t="shared" si="179"/>
        <v>5.6404031022705414E-3</v>
      </c>
      <c r="R981" s="240">
        <f t="shared" si="179"/>
        <v>2.0775491847572436E-2</v>
      </c>
      <c r="S981" s="240">
        <f t="shared" ref="S981" si="180">G981/M981-1</f>
        <v>2.6767675001689639E-2</v>
      </c>
      <c r="T981" s="240">
        <f t="shared" ref="T981" si="181">H981/N981-1</f>
        <v>3.7061668755989041E-2</v>
      </c>
    </row>
    <row r="982" spans="3:20" ht="15.75">
      <c r="C982" s="163"/>
      <c r="D982" s="6"/>
      <c r="E982" s="6"/>
      <c r="F982" s="6"/>
      <c r="G982" s="6"/>
      <c r="H982" s="6"/>
      <c r="J982" s="6"/>
      <c r="K982" s="6"/>
      <c r="L982" s="6"/>
      <c r="M982" s="6"/>
      <c r="N982" s="6"/>
      <c r="P982" s="10"/>
      <c r="Q982" s="10"/>
      <c r="R982" s="10"/>
      <c r="S982" s="10"/>
      <c r="T982" s="10"/>
    </row>
    <row r="983" spans="3:20" ht="15.75">
      <c r="C983" s="241" t="s">
        <v>238</v>
      </c>
      <c r="D983" s="242"/>
      <c r="E983" s="242"/>
      <c r="F983" s="242"/>
      <c r="G983" s="242"/>
      <c r="H983" s="242"/>
      <c r="I983" s="239"/>
      <c r="J983" s="242"/>
      <c r="K983" s="242"/>
      <c r="L983" s="242"/>
      <c r="M983" s="242"/>
      <c r="N983" s="242"/>
      <c r="O983" s="239"/>
      <c r="P983" s="240"/>
      <c r="Q983" s="240"/>
      <c r="R983" s="240"/>
      <c r="S983" s="240"/>
      <c r="T983" s="240"/>
    </row>
    <row r="984" spans="3:20" ht="15.75">
      <c r="C984" s="8" t="s">
        <v>231</v>
      </c>
      <c r="D984" s="6">
        <f>Fixed!Q$50</f>
        <v>9876.7625811000016</v>
      </c>
      <c r="E984" s="6">
        <f>Fixed!R$50</f>
        <v>10778.534942549999</v>
      </c>
      <c r="F984" s="6">
        <f>Fixed!S$50</f>
        <v>11386.879643871973</v>
      </c>
      <c r="G984" s="6">
        <f>Fixed!T$50</f>
        <v>11815.055480110512</v>
      </c>
      <c r="H984" s="6">
        <f>Fixed!U$50</f>
        <v>12228.958788474432</v>
      </c>
      <c r="J984" s="6">
        <v>10083.214397779368</v>
      </c>
      <c r="K984" s="6">
        <v>10453.554322500187</v>
      </c>
      <c r="L984" s="6">
        <v>10694.692863165001</v>
      </c>
      <c r="M984" s="6">
        <v>10907.462163751601</v>
      </c>
      <c r="N984" s="6">
        <v>11091.862224259987</v>
      </c>
      <c r="P984" s="10">
        <f t="shared" ref="P984:P988" si="182">D984/J984-1</f>
        <v>-2.0474801837480849E-2</v>
      </c>
      <c r="Q984" s="10">
        <f t="shared" ref="Q984:Q988" si="183">E984/K984-1</f>
        <v>3.1088050056842897E-2</v>
      </c>
      <c r="R984" s="10">
        <f t="shared" ref="R984:R988" si="184">F984/L984-1</f>
        <v>6.4722455292851144E-2</v>
      </c>
      <c r="S984" s="10">
        <f t="shared" ref="S984:S988" si="185">G984/M984-1</f>
        <v>8.3208477163009054E-2</v>
      </c>
      <c r="T984" s="10">
        <f t="shared" ref="T984:T988" si="186">H984/N984-1</f>
        <v>0.10251628998126239</v>
      </c>
    </row>
    <row r="985" spans="3:20" ht="15.75">
      <c r="C985" s="243" t="s">
        <v>172</v>
      </c>
      <c r="D985" s="242">
        <f>Fixed!Q$51</f>
        <v>8988.8520795000004</v>
      </c>
      <c r="E985" s="242">
        <f>Fixed!R$51</f>
        <v>10278.634920150002</v>
      </c>
      <c r="F985" s="242">
        <f>Fixed!S$51</f>
        <v>12185.816258291947</v>
      </c>
      <c r="G985" s="242">
        <f>Fixed!T$51</f>
        <v>13550.363806597899</v>
      </c>
      <c r="H985" s="242">
        <f>Fixed!U$51</f>
        <v>14617.884483956153</v>
      </c>
      <c r="I985" s="239"/>
      <c r="J985" s="242">
        <v>8993.6113332063505</v>
      </c>
      <c r="K985" s="242">
        <v>9943.7333742851897</v>
      </c>
      <c r="L985" s="242">
        <v>11130.397709792687</v>
      </c>
      <c r="M985" s="242">
        <v>12301.283745289464</v>
      </c>
      <c r="N985" s="242">
        <v>13262.337337092045</v>
      </c>
      <c r="O985" s="239"/>
      <c r="P985" s="240">
        <f t="shared" si="182"/>
        <v>-5.2918160792403413E-4</v>
      </c>
      <c r="Q985" s="240">
        <f t="shared" si="183"/>
        <v>3.3679658661290857E-2</v>
      </c>
      <c r="R985" s="240">
        <f t="shared" si="184"/>
        <v>9.4823076049716182E-2</v>
      </c>
      <c r="S985" s="240">
        <f t="shared" si="185"/>
        <v>0.10154062674854947</v>
      </c>
      <c r="T985" s="240">
        <f t="shared" si="186"/>
        <v>0.1022102750374867</v>
      </c>
    </row>
    <row r="986" spans="3:20" ht="15.75">
      <c r="C986" s="8" t="s">
        <v>197</v>
      </c>
      <c r="D986" s="6">
        <f>Fixed!Q$52</f>
        <v>2459.61045375</v>
      </c>
      <c r="E986" s="6">
        <f>Fixed!R$52</f>
        <v>2556.1935830999996</v>
      </c>
      <c r="F986" s="6">
        <f>Fixed!S$52</f>
        <v>2820.4775924872956</v>
      </c>
      <c r="G986" s="6">
        <f>Fixed!T$52</f>
        <v>3079.4529503017993</v>
      </c>
      <c r="H986" s="6">
        <f>Fixed!U$52</f>
        <v>3237.1454051339247</v>
      </c>
      <c r="J986" s="6">
        <v>2701.8844531111786</v>
      </c>
      <c r="K986" s="6">
        <v>3069.3651828863867</v>
      </c>
      <c r="L986" s="6">
        <v>3409.827068130483</v>
      </c>
      <c r="M986" s="6">
        <v>3701.3475573707401</v>
      </c>
      <c r="N986" s="6">
        <v>3886.4737074722175</v>
      </c>
      <c r="P986" s="10">
        <f t="shared" si="182"/>
        <v>-8.9668527120841057E-2</v>
      </c>
      <c r="Q986" s="10">
        <f t="shared" si="183"/>
        <v>-0.16719144487845139</v>
      </c>
      <c r="R986" s="10">
        <f t="shared" si="184"/>
        <v>-0.1728385234405192</v>
      </c>
      <c r="S986" s="10">
        <f t="shared" si="185"/>
        <v>-0.1680184304309712</v>
      </c>
      <c r="T986" s="10">
        <f t="shared" si="186"/>
        <v>-0.16707389557013608</v>
      </c>
    </row>
    <row r="987" spans="3:20" ht="15.75">
      <c r="C987" s="244" t="s">
        <v>2072</v>
      </c>
      <c r="D987" s="238">
        <f>Fixed!Q$53</f>
        <v>650.33588564999866</v>
      </c>
      <c r="E987" s="238">
        <f>Fixed!R$53</f>
        <v>854.19255420000229</v>
      </c>
      <c r="F987" s="238">
        <f>Fixed!S$53</f>
        <v>928.86507073938378</v>
      </c>
      <c r="G987" s="238">
        <f>Fixed!T$53</f>
        <v>1337.5283420833969</v>
      </c>
      <c r="H987" s="238">
        <f>Fixed!U$53</f>
        <v>1895.8147034280207</v>
      </c>
      <c r="I987" s="239"/>
      <c r="J987" s="238">
        <v>779.90924478759393</v>
      </c>
      <c r="K987" s="238">
        <v>1248.1283767569944</v>
      </c>
      <c r="L987" s="238">
        <v>1775.8992667190455</v>
      </c>
      <c r="M987" s="238">
        <v>2324.6694316465173</v>
      </c>
      <c r="N987" s="238">
        <v>2777.9989219918675</v>
      </c>
      <c r="O987" s="239"/>
      <c r="P987" s="240">
        <f t="shared" si="182"/>
        <v>-0.16613902194848862</v>
      </c>
      <c r="Q987" s="240">
        <f t="shared" si="183"/>
        <v>-0.31562123728053804</v>
      </c>
      <c r="R987" s="240">
        <f t="shared" si="184"/>
        <v>-0.47696072173313531</v>
      </c>
      <c r="S987" s="240">
        <f t="shared" si="185"/>
        <v>-0.42463718760389424</v>
      </c>
      <c r="T987" s="240">
        <f t="shared" si="186"/>
        <v>-0.31756103704003857</v>
      </c>
    </row>
    <row r="988" spans="3:20" ht="15.75">
      <c r="C988" s="15" t="s">
        <v>2073</v>
      </c>
      <c r="D988" s="6">
        <f>Fixed!Q$54</f>
        <v>21975.561000000002</v>
      </c>
      <c r="E988" s="6">
        <f>Fixed!R$54</f>
        <v>24467.556000000004</v>
      </c>
      <c r="F988" s="6">
        <f>Fixed!S$54</f>
        <v>27322.038565390598</v>
      </c>
      <c r="G988" s="6">
        <f>Fixed!T$54</f>
        <v>29782.40057909361</v>
      </c>
      <c r="H988" s="6">
        <f>Fixed!U$54</f>
        <v>31979.803380992529</v>
      </c>
      <c r="J988" s="6">
        <v>22558.619428884493</v>
      </c>
      <c r="K988" s="6">
        <v>24714.78125642876</v>
      </c>
      <c r="L988" s="6">
        <v>27010.816907807217</v>
      </c>
      <c r="M988" s="6">
        <v>29234.762898058321</v>
      </c>
      <c r="N988" s="6">
        <v>31018.67219081612</v>
      </c>
      <c r="P988" s="10">
        <f t="shared" si="182"/>
        <v>-2.5846370196658919E-2</v>
      </c>
      <c r="Q988" s="10">
        <f t="shared" si="183"/>
        <v>-1.0003133503940997E-2</v>
      </c>
      <c r="R988" s="10">
        <f t="shared" si="184"/>
        <v>1.1522111998524043E-2</v>
      </c>
      <c r="S988" s="10">
        <f t="shared" si="185"/>
        <v>1.8732413973901574E-2</v>
      </c>
      <c r="T988" s="10">
        <f t="shared" si="186"/>
        <v>3.0985568442899902E-2</v>
      </c>
    </row>
    <row r="989" spans="3:20" ht="15.75">
      <c r="C989" s="243"/>
      <c r="D989" s="242"/>
      <c r="E989" s="242"/>
      <c r="F989" s="242"/>
      <c r="G989" s="242"/>
      <c r="H989" s="242"/>
      <c r="I989" s="239"/>
      <c r="J989" s="242"/>
      <c r="K989" s="242"/>
      <c r="L989" s="242"/>
      <c r="M989" s="242"/>
      <c r="N989" s="242"/>
      <c r="O989" s="239"/>
      <c r="P989" s="240"/>
      <c r="Q989" s="240"/>
      <c r="R989" s="240"/>
      <c r="S989" s="240"/>
      <c r="T989" s="240"/>
    </row>
    <row r="990" spans="3:20" ht="15.75">
      <c r="C990" s="7" t="s">
        <v>663</v>
      </c>
      <c r="D990" s="55">
        <f>Fixed!Q$56</f>
        <v>5179.7300000000005</v>
      </c>
      <c r="E990" s="55">
        <f>Fixed!R$56</f>
        <v>5402.9849999999997</v>
      </c>
      <c r="F990" s="55">
        <f>Fixed!S$56</f>
        <v>5763.7049999999999</v>
      </c>
      <c r="G990" s="55">
        <f>Fixed!T$56</f>
        <v>6244.3049075000008</v>
      </c>
      <c r="H990" s="55">
        <f>Fixed!U$56</f>
        <v>6769.0595625250016</v>
      </c>
      <c r="J990" s="55">
        <v>4609.45964</v>
      </c>
      <c r="K990" s="55">
        <v>4988.2218328000008</v>
      </c>
      <c r="L990" s="55">
        <v>5401.5439194560004</v>
      </c>
      <c r="M990" s="55">
        <v>5852.7319303451213</v>
      </c>
      <c r="N990" s="55">
        <v>6345.4153180770245</v>
      </c>
      <c r="P990" s="10">
        <f t="shared" ref="P990" si="187">D990/J990-1</f>
        <v>0.12371739955184857</v>
      </c>
      <c r="Q990" s="10">
        <f t="shared" ref="Q990" si="188">E990/K990-1</f>
        <v>8.3148500829038463E-2</v>
      </c>
      <c r="R990" s="10">
        <f t="shared" ref="R990" si="189">F990/L990-1</f>
        <v>6.7047697092588621E-2</v>
      </c>
      <c r="S990" s="10">
        <f t="shared" ref="S990" si="190">G990/M990-1</f>
        <v>6.690430756356025E-2</v>
      </c>
      <c r="T990" s="10">
        <f t="shared" ref="T990" si="191">H990/N990-1</f>
        <v>6.6763832343816221E-2</v>
      </c>
    </row>
    <row r="991" spans="3:20" ht="15.75">
      <c r="C991" s="245"/>
      <c r="D991" s="242"/>
      <c r="E991" s="242"/>
      <c r="F991" s="242"/>
      <c r="G991" s="242"/>
      <c r="H991" s="242"/>
      <c r="I991" s="239"/>
      <c r="J991" s="242"/>
      <c r="K991" s="242"/>
      <c r="L991" s="242"/>
      <c r="M991" s="242"/>
      <c r="N991" s="242"/>
      <c r="O991" s="239"/>
      <c r="P991" s="240"/>
      <c r="Q991" s="240"/>
      <c r="R991" s="240"/>
      <c r="S991" s="240"/>
      <c r="T991" s="240"/>
    </row>
    <row r="992" spans="3:20" ht="15.75">
      <c r="C992" s="56" t="s">
        <v>16</v>
      </c>
      <c r="D992" s="55">
        <f>Master!V$12</f>
        <v>12769.018</v>
      </c>
      <c r="E992" s="55">
        <f>Master!W$12</f>
        <v>13319.993</v>
      </c>
      <c r="F992" s="55">
        <f>Master!X$12</f>
        <v>15052.832575733581</v>
      </c>
      <c r="G992" s="55">
        <f>Master!Y$12</f>
        <v>16703.957652064935</v>
      </c>
      <c r="H992" s="55">
        <f>Master!Z$12</f>
        <v>18327.740334193342</v>
      </c>
      <c r="J992" s="55">
        <v>13373.757800731091</v>
      </c>
      <c r="K992" s="55">
        <v>14635.631390618668</v>
      </c>
      <c r="L992" s="55">
        <v>15835.012634279445</v>
      </c>
      <c r="M992" s="55">
        <v>16989.294308132696</v>
      </c>
      <c r="N992" s="55">
        <v>17918.627372677085</v>
      </c>
      <c r="P992" s="10">
        <f t="shared" ref="P992" si="192">D992/J992-1</f>
        <v>-4.5218390353834015E-2</v>
      </c>
      <c r="Q992" s="10">
        <f>E992/K992-1</f>
        <v>-8.9892834514948339E-2</v>
      </c>
      <c r="R992" s="10">
        <f t="shared" ref="R992" si="193">F992/L992-1</f>
        <v>-4.9395606849887197E-2</v>
      </c>
      <c r="S992" s="10">
        <f t="shared" ref="S992" si="194">G992/M992-1</f>
        <v>-1.6795085828324896E-2</v>
      </c>
      <c r="T992" s="10">
        <f t="shared" ref="T992" si="195">H992/N992-1</f>
        <v>2.2831713222636996E-2</v>
      </c>
    </row>
    <row r="993" spans="3:20" ht="15.75">
      <c r="C993" s="245" t="s">
        <v>200</v>
      </c>
      <c r="D993" s="246">
        <f>D992/D981</f>
        <v>0.47021753007810002</v>
      </c>
      <c r="E993" s="246">
        <f t="shared" ref="E993:H993" si="196">E992/E981</f>
        <v>0.44592407770331571</v>
      </c>
      <c r="F993" s="246">
        <f t="shared" si="196"/>
        <v>0.45496431252884467</v>
      </c>
      <c r="G993" s="246">
        <f t="shared" si="196"/>
        <v>0.46365487563887503</v>
      </c>
      <c r="H993" s="246">
        <f t="shared" si="196"/>
        <v>0.47298782317584032</v>
      </c>
      <c r="I993" s="239"/>
      <c r="J993" s="246"/>
      <c r="K993" s="246"/>
      <c r="L993" s="246"/>
      <c r="M993" s="246"/>
      <c r="N993" s="246"/>
      <c r="O993" s="239"/>
      <c r="P993" s="240"/>
      <c r="Q993" s="240"/>
      <c r="R993" s="240"/>
      <c r="S993" s="240"/>
      <c r="T993" s="240"/>
    </row>
    <row r="994" spans="3:20" ht="15.75">
      <c r="C994" s="163"/>
      <c r="D994" s="6"/>
      <c r="E994" s="6"/>
      <c r="F994" s="6"/>
      <c r="G994" s="6"/>
      <c r="H994" s="6"/>
      <c r="J994" s="6"/>
      <c r="K994" s="6"/>
      <c r="L994" s="6"/>
      <c r="M994" s="6"/>
      <c r="N994" s="6"/>
      <c r="P994" s="10"/>
      <c r="Q994" s="10"/>
      <c r="R994" s="10"/>
      <c r="S994" s="10"/>
      <c r="T994" s="10"/>
    </row>
    <row r="995" spans="3:20" ht="15.75">
      <c r="C995" s="245" t="s">
        <v>22</v>
      </c>
      <c r="D995" s="242">
        <f>Master!V$42</f>
        <v>11836</v>
      </c>
      <c r="E995" s="242">
        <f>Master!W$42</f>
        <v>12949</v>
      </c>
      <c r="F995" s="242">
        <f>Master!X$42</f>
        <v>10918.295376578899</v>
      </c>
      <c r="G995" s="242">
        <f>Master!Y$42</f>
        <v>10087.477536246211</v>
      </c>
      <c r="H995" s="242">
        <f>Master!Z$42</f>
        <v>9687.2157358793829</v>
      </c>
      <c r="I995" s="239"/>
      <c r="J995" s="242">
        <v>10867.231627553798</v>
      </c>
      <c r="K995" s="242">
        <v>11881.201235691506</v>
      </c>
      <c r="L995" s="242">
        <v>11344.326289542127</v>
      </c>
      <c r="M995" s="242">
        <v>10526.248448521032</v>
      </c>
      <c r="N995" s="242">
        <v>9341.0218772232856</v>
      </c>
      <c r="O995" s="239"/>
      <c r="P995" s="240">
        <f t="shared" ref="P995:P996" si="197">D995/J995-1</f>
        <v>8.9145829006708199E-2</v>
      </c>
      <c r="Q995" s="240">
        <f>E995/K995-1</f>
        <v>8.9872963442517273E-2</v>
      </c>
      <c r="R995" s="240">
        <f t="shared" ref="R995:R996" si="198">F995/L995-1</f>
        <v>-3.7554536258003091E-2</v>
      </c>
      <c r="S995" s="240">
        <f t="shared" ref="S995:S996" si="199">G995/M995-1</f>
        <v>-4.1683503331756189E-2</v>
      </c>
      <c r="T995" s="240">
        <f t="shared" ref="T995:T996" si="200">H995/N995-1</f>
        <v>3.7061668755989041E-2</v>
      </c>
    </row>
    <row r="996" spans="3:20" ht="15.75">
      <c r="C996" s="193" t="s">
        <v>2634</v>
      </c>
      <c r="D996" s="6">
        <f>Master!V$47</f>
        <v>588.85572139303474</v>
      </c>
      <c r="E996" s="6">
        <f>Master!W$47</f>
        <v>730.34404963338977</v>
      </c>
      <c r="F996" s="6">
        <f>Master!X$47</f>
        <v>642.25266921052344</v>
      </c>
      <c r="G996" s="6">
        <f>Master!Y$47</f>
        <v>593.38103154389478</v>
      </c>
      <c r="H996" s="6">
        <f>Master!Z$47</f>
        <v>569.83621975761071</v>
      </c>
      <c r="J996" s="6">
        <v>532.02923587752127</v>
      </c>
      <c r="K996" s="6">
        <v>581.6703491167691</v>
      </c>
      <c r="L996" s="6">
        <v>555.38645482326592</v>
      </c>
      <c r="M996" s="6">
        <v>515.33565407073252</v>
      </c>
      <c r="N996" s="6">
        <v>457.31027937728675</v>
      </c>
      <c r="P996" s="10">
        <f t="shared" si="197"/>
        <v>0.10681083234417499</v>
      </c>
      <c r="Q996" s="10">
        <f>E996/K996-1</f>
        <v>0.25559786697460618</v>
      </c>
      <c r="R996" s="10">
        <f t="shared" si="198"/>
        <v>0.15640679320294182</v>
      </c>
      <c r="S996" s="10">
        <f t="shared" si="199"/>
        <v>0.15144571670263307</v>
      </c>
      <c r="T996" s="10">
        <f t="shared" si="200"/>
        <v>0.24606037837931183</v>
      </c>
    </row>
    <row r="997" spans="3:20" ht="15.75">
      <c r="C997" s="245" t="s">
        <v>23</v>
      </c>
      <c r="D997" s="246">
        <f>D995/D981</f>
        <v>0.4358592560527671</v>
      </c>
      <c r="E997" s="246">
        <f t="shared" ref="E997:N997" si="201">E995/E981</f>
        <v>0.43350404780094365</v>
      </c>
      <c r="F997" s="246">
        <f t="shared" si="201"/>
        <v>0.33</v>
      </c>
      <c r="G997" s="246">
        <f t="shared" si="201"/>
        <v>0.28000000000000003</v>
      </c>
      <c r="H997" s="246">
        <f t="shared" si="201"/>
        <v>0.25</v>
      </c>
      <c r="I997" s="239"/>
      <c r="J997" s="246">
        <f t="shared" si="201"/>
        <v>0.4</v>
      </c>
      <c r="K997" s="246">
        <f t="shared" si="201"/>
        <v>0.4</v>
      </c>
      <c r="L997" s="246">
        <f t="shared" si="201"/>
        <v>0.35</v>
      </c>
      <c r="M997" s="246">
        <f t="shared" si="201"/>
        <v>0.3</v>
      </c>
      <c r="N997" s="246">
        <f t="shared" si="201"/>
        <v>0.25</v>
      </c>
      <c r="O997" s="239"/>
      <c r="P997" s="243"/>
      <c r="Q997" s="243"/>
      <c r="R997" s="243"/>
      <c r="S997" s="243"/>
      <c r="T997" s="243"/>
    </row>
    <row r="998" spans="3:20" ht="15.75">
      <c r="C998" s="163" t="s">
        <v>24</v>
      </c>
      <c r="D998" s="6">
        <f>Master!V$50</f>
        <v>933.01800000000003</v>
      </c>
      <c r="E998" s="6">
        <f>Master!W$50</f>
        <v>370.99300000000039</v>
      </c>
      <c r="F998" s="6">
        <f>Master!X$50</f>
        <v>4134.5371991546817</v>
      </c>
      <c r="G998" s="6">
        <f>Master!Y$50</f>
        <v>6616.4801158187238</v>
      </c>
      <c r="H998" s="6">
        <f>Master!Z$50</f>
        <v>8640.5245983139594</v>
      </c>
      <c r="J998" s="6">
        <v>2506.5261731772935</v>
      </c>
      <c r="K998" s="6">
        <v>2754.4301549271622</v>
      </c>
      <c r="L998" s="6">
        <v>4490.686344737318</v>
      </c>
      <c r="M998" s="6">
        <v>6463.0458596116641</v>
      </c>
      <c r="N998" s="6">
        <v>8577.6054954537994</v>
      </c>
      <c r="P998" s="10">
        <f t="shared" ref="P998" si="202">D998/J998-1</f>
        <v>-0.62776450930999106</v>
      </c>
      <c r="Q998" s="10">
        <f>E998/K998-1</f>
        <v>-0.86531043477854652</v>
      </c>
      <c r="R998" s="10">
        <f t="shared" ref="R998" si="203">F998/L998-1</f>
        <v>-7.9308399260618834E-2</v>
      </c>
      <c r="S998" s="10">
        <f t="shared" ref="S998" si="204">G998/M998-1</f>
        <v>2.374023943817094E-2</v>
      </c>
      <c r="T998" s="10">
        <f t="shared" ref="T998" si="205">H998/N998-1</f>
        <v>7.3352758987934585E-3</v>
      </c>
    </row>
    <row r="999" spans="3:20" ht="15.75">
      <c r="C999" s="237" t="s">
        <v>200</v>
      </c>
      <c r="D999" s="247">
        <f>D998/D981</f>
        <v>3.4358274025332938E-2</v>
      </c>
      <c r="E999" s="247">
        <f t="shared" ref="E999:H999" si="206">E998/E981</f>
        <v>1.2420029902372049E-2</v>
      </c>
      <c r="F999" s="247">
        <f t="shared" si="206"/>
        <v>0.12496431252884464</v>
      </c>
      <c r="G999" s="247">
        <f t="shared" si="206"/>
        <v>0.18365487563887498</v>
      </c>
      <c r="H999" s="247">
        <f t="shared" si="206"/>
        <v>0.22298782317584034</v>
      </c>
      <c r="I999" s="248"/>
      <c r="J999" s="247">
        <f t="shared" ref="J999" si="207">J998/J981</f>
        <v>9.2259970490442558E-2</v>
      </c>
      <c r="K999" s="247">
        <f t="shared" ref="K999" si="208">K998/K981</f>
        <v>9.2732379505626655E-2</v>
      </c>
      <c r="L999" s="247">
        <f t="shared" ref="L999" si="209">L998/L981</f>
        <v>0.13854857314065311</v>
      </c>
      <c r="M999" s="247">
        <f t="shared" ref="M999" si="210">M998/M981</f>
        <v>0.1841979853853746</v>
      </c>
      <c r="N999" s="247">
        <f t="shared" ref="N999" si="211">N998/N981</f>
        <v>0.22956817809112071</v>
      </c>
      <c r="O999" s="248"/>
      <c r="P999" s="249"/>
      <c r="Q999" s="249"/>
      <c r="R999" s="249"/>
      <c r="S999" s="249"/>
      <c r="T999" s="249"/>
    </row>
    <row r="1021" spans="3:15">
      <c r="C1021" s="54" t="s">
        <v>2882</v>
      </c>
      <c r="D1021" s="292">
        <f>Master!W3</f>
        <v>2023</v>
      </c>
      <c r="E1021" s="292">
        <f>Master!X3</f>
        <v>2024</v>
      </c>
      <c r="F1021" s="292">
        <f>Master!Y3</f>
        <v>2025</v>
      </c>
      <c r="G1021" s="292">
        <f>Master!Z3</f>
        <v>2026</v>
      </c>
      <c r="H1021" s="292">
        <f>Master!AA3</f>
        <v>2027</v>
      </c>
      <c r="I1021" s="292">
        <f>Master!AB3</f>
        <v>2028</v>
      </c>
      <c r="J1021" s="292">
        <f>Master!AC3</f>
        <v>2029</v>
      </c>
      <c r="K1021" s="292">
        <f>Master!AD3</f>
        <v>2030</v>
      </c>
      <c r="L1021" s="292"/>
      <c r="M1021" s="292"/>
      <c r="N1021" s="292"/>
      <c r="O1021" s="292"/>
    </row>
    <row r="1022" spans="3:15">
      <c r="C1022" t="str">
        <f>Master!B7</f>
        <v>Reported revenues</v>
      </c>
      <c r="D1022" s="116">
        <f>Master!W7</f>
        <v>29870.54</v>
      </c>
      <c r="E1022" s="116">
        <f>Master!X7</f>
        <v>33085.7435653906</v>
      </c>
      <c r="F1022" s="116">
        <f>Master!Y7</f>
        <v>36026.705486593608</v>
      </c>
      <c r="G1022" s="116">
        <f>Master!Z7</f>
        <v>38748.862943517532</v>
      </c>
      <c r="H1022" s="116">
        <f>Master!AA7</f>
        <v>40988.179882362921</v>
      </c>
      <c r="I1022" s="116">
        <f>Master!AB7</f>
        <v>43060.801348991758</v>
      </c>
      <c r="J1022" s="116">
        <f>Master!AC7</f>
        <v>45094.405156194065</v>
      </c>
      <c r="K1022" s="116">
        <f>Master!AD7</f>
        <v>47173.29426766243</v>
      </c>
      <c r="L1022" s="116"/>
      <c r="M1022" s="116"/>
      <c r="N1022" s="116"/>
      <c r="O1022" s="116"/>
    </row>
    <row r="1023" spans="3:15">
      <c r="C1023" t="str">
        <f>Master!B17</f>
        <v>Reported EBITDA</v>
      </c>
      <c r="D1023" s="116">
        <f>Master!W17</f>
        <v>13319.993</v>
      </c>
      <c r="E1023" s="116">
        <f>Master!X17</f>
        <v>15052.832575733581</v>
      </c>
      <c r="F1023" s="116">
        <f>Master!Y17</f>
        <v>16703.957652064935</v>
      </c>
      <c r="G1023" s="116">
        <f>Master!Z17</f>
        <v>18327.740334193342</v>
      </c>
      <c r="H1023" s="116">
        <f>Master!AA17</f>
        <v>19380.874705245034</v>
      </c>
      <c r="I1023" s="116">
        <f>Master!AB17</f>
        <v>20348.811684158078</v>
      </c>
      <c r="J1023" s="116">
        <f>Master!AC17</f>
        <v>21293.802702552686</v>
      </c>
      <c r="K1023" s="116">
        <f>Master!AD17</f>
        <v>22256.816417354494</v>
      </c>
      <c r="L1023" s="116"/>
      <c r="M1023" s="116"/>
      <c r="N1023" s="116"/>
      <c r="O1023" s="116"/>
    </row>
    <row r="1024" spans="3:15">
      <c r="C1024" t="str">
        <f>Master!B41</f>
        <v>Capex</v>
      </c>
      <c r="D1024" s="116">
        <f>Master!W42</f>
        <v>12949</v>
      </c>
      <c r="E1024" s="116">
        <f>Master!X42</f>
        <v>10918.295376578899</v>
      </c>
      <c r="F1024" s="116">
        <f>Master!Y42</f>
        <v>10087.477536246211</v>
      </c>
      <c r="G1024" s="116">
        <f>Master!Z42</f>
        <v>9687.2157358793829</v>
      </c>
      <c r="H1024" s="116">
        <f>Master!AA42</f>
        <v>9427.2813729434729</v>
      </c>
      <c r="I1024" s="116">
        <f>Master!AB42</f>
        <v>9903.9843102681043</v>
      </c>
      <c r="J1024" s="116">
        <f>Master!AC42</f>
        <v>10371.713185924635</v>
      </c>
      <c r="K1024" s="116">
        <f>Master!AD42</f>
        <v>10849.85768156236</v>
      </c>
      <c r="L1024" s="116"/>
      <c r="M1024" s="116"/>
      <c r="N1024" s="116"/>
      <c r="O1024" s="116"/>
    </row>
    <row r="1025" spans="3:15" hidden="1">
      <c r="C1025" t="s">
        <v>2904</v>
      </c>
      <c r="D1025" s="118">
        <f>Master!W34</f>
        <v>2879.9740000000006</v>
      </c>
      <c r="E1025" s="118">
        <f ca="1">Master!X34</f>
        <v>3182.7896120944606</v>
      </c>
      <c r="F1025" s="118">
        <f ca="1">Master!Y34</f>
        <v>4257.5868992698897</v>
      </c>
      <c r="G1025" s="118">
        <f ca="1">Master!Z34</f>
        <v>5238.4063871162016</v>
      </c>
      <c r="H1025" s="118">
        <f ca="1">Master!AA34</f>
        <v>6009.5574307594688</v>
      </c>
      <c r="I1025" s="118">
        <f ca="1">Master!AB34</f>
        <v>6771.3943630975491</v>
      </c>
      <c r="J1025" s="118">
        <f ca="1">Master!AC34</f>
        <v>7382.7075826956261</v>
      </c>
      <c r="K1025" s="118">
        <f ca="1">Master!AD34</f>
        <v>7820.3782699196208</v>
      </c>
      <c r="L1025" s="116"/>
      <c r="M1025" s="116"/>
      <c r="N1025" s="116"/>
      <c r="O1025" s="116"/>
    </row>
    <row r="1027" spans="3:15">
      <c r="C1027" s="54" t="s">
        <v>671</v>
      </c>
      <c r="D1027" s="292">
        <v>2023</v>
      </c>
      <c r="E1027" s="292">
        <v>2024</v>
      </c>
      <c r="F1027" s="292">
        <v>2025</v>
      </c>
      <c r="G1027" s="292">
        <v>2026</v>
      </c>
      <c r="H1027" s="292">
        <v>2027</v>
      </c>
      <c r="I1027" s="292">
        <v>2028</v>
      </c>
      <c r="J1027" s="292">
        <v>2029</v>
      </c>
      <c r="K1027" s="292">
        <v>2030</v>
      </c>
    </row>
    <row r="1028" spans="3:15">
      <c r="C1028" t="s">
        <v>1</v>
      </c>
      <c r="D1028" s="334">
        <v>28816.857199521437</v>
      </c>
      <c r="E1028" s="334">
        <v>31294.718478923824</v>
      </c>
      <c r="F1028" s="334">
        <v>33965.523282190115</v>
      </c>
      <c r="G1028" s="334">
        <v>36530.281118871411</v>
      </c>
      <c r="H1028" s="334">
        <v>38707.588826882704</v>
      </c>
      <c r="I1028" s="334">
        <v>40737.428715458562</v>
      </c>
      <c r="J1028" s="334">
        <v>42737.028141505623</v>
      </c>
      <c r="K1028" s="334">
        <v>44785.923918547654</v>
      </c>
    </row>
    <row r="1029" spans="3:15">
      <c r="C1029" t="s">
        <v>4</v>
      </c>
      <c r="D1029" s="334">
        <v>12733.640707132254</v>
      </c>
      <c r="E1029" s="334">
        <v>13694.176180300721</v>
      </c>
      <c r="F1029" s="334">
        <v>14871.729004130002</v>
      </c>
      <c r="G1029" s="334">
        <v>15999.719486496413</v>
      </c>
      <c r="H1029" s="334">
        <v>16951.358829344368</v>
      </c>
      <c r="I1029" s="334">
        <v>17834.467241660368</v>
      </c>
      <c r="J1029" s="334">
        <v>18701.609366353143</v>
      </c>
      <c r="K1029" s="334">
        <v>19588.371746681965</v>
      </c>
    </row>
    <row r="1030" spans="3:15">
      <c r="C1030" t="s">
        <v>22</v>
      </c>
      <c r="D1030" s="334">
        <v>12967.585739784647</v>
      </c>
      <c r="E1030" s="334">
        <v>11891.993021991053</v>
      </c>
      <c r="F1030" s="334">
        <v>10189.656984657035</v>
      </c>
      <c r="G1030" s="334">
        <v>9132.5702797178528</v>
      </c>
      <c r="H1030" s="334">
        <v>8902.7454301830221</v>
      </c>
      <c r="I1030" s="334">
        <v>8962.2343174008838</v>
      </c>
      <c r="J1030" s="334">
        <v>8974.7759097161797</v>
      </c>
      <c r="K1030" s="334">
        <v>8957.184783709532</v>
      </c>
    </row>
    <row r="1031" spans="3:15" hidden="1">
      <c r="C1031" t="s">
        <v>2904</v>
      </c>
      <c r="D1031" s="335">
        <v>5308.8566329311516</v>
      </c>
      <c r="E1031" s="335">
        <v>5341.7692385366581</v>
      </c>
      <c r="F1031" s="335">
        <v>5462.2592512411229</v>
      </c>
      <c r="G1031" s="335">
        <v>5784.1543461042411</v>
      </c>
      <c r="H1031" s="335">
        <v>6302.978065395966</v>
      </c>
      <c r="I1031" s="335">
        <v>6866.6826264500132</v>
      </c>
      <c r="J1031" s="335">
        <v>7493.4149448883436</v>
      </c>
      <c r="K1031" s="335">
        <v>8134.0079392662365</v>
      </c>
    </row>
    <row r="1033" spans="3:15">
      <c r="C1033" s="54" t="s">
        <v>85</v>
      </c>
      <c r="D1033" s="292">
        <v>2023</v>
      </c>
      <c r="E1033" s="292">
        <v>2024</v>
      </c>
      <c r="F1033" s="292">
        <v>2025</v>
      </c>
      <c r="G1033" s="292">
        <v>2026</v>
      </c>
      <c r="H1033" s="292">
        <v>2027</v>
      </c>
      <c r="I1033" s="292">
        <v>2028</v>
      </c>
      <c r="J1033" s="292">
        <v>2029</v>
      </c>
      <c r="K1033" s="292">
        <v>2030</v>
      </c>
    </row>
    <row r="1034" spans="3:15">
      <c r="C1034" t="s">
        <v>1</v>
      </c>
      <c r="D1034" s="119">
        <f>D1022/D1028-1</f>
        <v>3.6564806258472249E-2</v>
      </c>
      <c r="E1034" s="119">
        <f t="shared" ref="E1034:K1034" si="212">E1022/E1028-1</f>
        <v>5.7230905837129864E-2</v>
      </c>
      <c r="F1034" s="119">
        <f t="shared" si="212"/>
        <v>6.0684541418040805E-2</v>
      </c>
      <c r="G1034" s="119">
        <f t="shared" si="212"/>
        <v>6.0732678662579698E-2</v>
      </c>
      <c r="H1034" s="119">
        <f t="shared" si="212"/>
        <v>5.891844789609646E-2</v>
      </c>
      <c r="I1034" s="119">
        <f t="shared" si="212"/>
        <v>5.7032873865491496E-2</v>
      </c>
      <c r="J1034" s="119">
        <f t="shared" si="212"/>
        <v>5.5160059489466118E-2</v>
      </c>
      <c r="K1034" s="119">
        <f t="shared" si="212"/>
        <v>5.330626545645667E-2</v>
      </c>
    </row>
    <row r="1035" spans="3:15">
      <c r="C1035" t="s">
        <v>4</v>
      </c>
      <c r="D1035" s="119">
        <f t="shared" ref="D1035:K1035" si="213">D1023/D1029-1</f>
        <v>4.6047497832990114E-2</v>
      </c>
      <c r="E1035" s="119">
        <f t="shared" si="213"/>
        <v>9.9214175248256709E-2</v>
      </c>
      <c r="F1035" s="119">
        <f t="shared" si="213"/>
        <v>0.12320212716531542</v>
      </c>
      <c r="G1035" s="119">
        <f t="shared" si="213"/>
        <v>0.14550385396829935</v>
      </c>
      <c r="H1035" s="119">
        <f t="shared" si="213"/>
        <v>0.1433227802183592</v>
      </c>
      <c r="I1035" s="119">
        <f t="shared" si="213"/>
        <v>0.14098231298013397</v>
      </c>
      <c r="J1035" s="119">
        <f t="shared" si="213"/>
        <v>0.13860803556635437</v>
      </c>
      <c r="K1035" s="119">
        <f t="shared" si="213"/>
        <v>0.1362259561530188</v>
      </c>
    </row>
    <row r="1036" spans="3:15">
      <c r="C1036" t="s">
        <v>22</v>
      </c>
      <c r="D1036" s="119">
        <f t="shared" ref="D1036:K1037" si="214">D1024/D1030-1</f>
        <v>-1.4332459532251374E-3</v>
      </c>
      <c r="E1036" s="119">
        <f t="shared" si="214"/>
        <v>-8.1878423878281925E-2</v>
      </c>
      <c r="F1036" s="119">
        <f t="shared" si="214"/>
        <v>-1.0027761343161856E-2</v>
      </c>
      <c r="G1036" s="119">
        <f t="shared" si="214"/>
        <v>6.0732678662579698E-2</v>
      </c>
      <c r="H1036" s="119">
        <f t="shared" si="214"/>
        <v>5.8918447896096682E-2</v>
      </c>
      <c r="I1036" s="119">
        <f t="shared" si="214"/>
        <v>0.10507982267755911</v>
      </c>
      <c r="J1036" s="119">
        <f t="shared" si="214"/>
        <v>0.15565149372655829</v>
      </c>
      <c r="K1036" s="119">
        <f t="shared" si="214"/>
        <v>0.21130220527492516</v>
      </c>
    </row>
    <row r="1037" spans="3:15" hidden="1">
      <c r="C1037" t="s">
        <v>2904</v>
      </c>
      <c r="D1037" s="119">
        <f t="shared" si="214"/>
        <v>-0.45751520541441038</v>
      </c>
      <c r="E1037" s="119">
        <f t="shared" ca="1" si="214"/>
        <v>-0.40416939220564974</v>
      </c>
      <c r="F1037" s="119">
        <f t="shared" ca="1" si="214"/>
        <v>-0.22054470440917096</v>
      </c>
      <c r="G1037" s="119">
        <f t="shared" ca="1" si="214"/>
        <v>-9.4352246902887904E-2</v>
      </c>
      <c r="H1037" s="119">
        <f t="shared" ca="1" si="214"/>
        <v>-4.6552698040852825E-2</v>
      </c>
      <c r="I1037" s="119">
        <f t="shared" ca="1" si="214"/>
        <v>-1.3876899302935564E-2</v>
      </c>
      <c r="J1037" s="119">
        <f t="shared" ca="1" si="214"/>
        <v>-1.4773953265224793E-2</v>
      </c>
      <c r="K1037" s="119">
        <f t="shared" ca="1" si="214"/>
        <v>-3.855782680424924E-2</v>
      </c>
    </row>
  </sheetData>
  <sortState xmlns:xlrd2="http://schemas.microsoft.com/office/spreadsheetml/2017/richdata2" ref="R332:X363">
    <sortCondition descending="1" ref="U332:U363"/>
  </sortState>
  <mergeCells count="2">
    <mergeCell ref="M771:Q771"/>
    <mergeCell ref="K773:K777"/>
  </mergeCells>
  <phoneticPr fontId="122" type="noConversion"/>
  <conditionalFormatting sqref="M773:Q777">
    <cfRule type="colorScale" priority="1">
      <colorScale>
        <cfvo type="min"/>
        <cfvo type="max"/>
        <color theme="4" tint="0.79998168889431442"/>
        <color theme="3" tint="0.39997558519241921"/>
      </colorScale>
    </cfRule>
    <cfRule type="colorScale" priority="2">
      <colorScale>
        <cfvo type="min"/>
        <cfvo type="max"/>
        <color theme="4" tint="0.79998168889431442"/>
        <color theme="3" tint="0.79998168889431442"/>
      </colorScale>
    </cfRule>
    <cfRule type="colorScale" priority="3">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11"/>
  <sheetViews>
    <sheetView topLeftCell="A2576" zoomScale="85" zoomScaleNormal="85" workbookViewId="0">
      <selection activeCell="B2580" sqref="B2580"/>
    </sheetView>
  </sheetViews>
  <sheetFormatPr defaultRowHeight="15"/>
  <cols>
    <col min="2" max="2" width="20.5703125" customWidth="1"/>
    <col min="3" max="3" width="10.42578125" customWidth="1"/>
    <col min="7" max="7" width="14.85546875" customWidth="1"/>
  </cols>
  <sheetData>
    <row r="1" spans="1:3">
      <c r="B1" t="s">
        <v>5</v>
      </c>
    </row>
    <row r="2" spans="1:3">
      <c r="B2" s="17" t="s">
        <v>672</v>
      </c>
    </row>
    <row r="3" spans="1:3">
      <c r="B3" t="s">
        <v>532</v>
      </c>
    </row>
    <row r="7" spans="1:3">
      <c r="B7" s="17" t="s">
        <v>533</v>
      </c>
    </row>
    <row r="8" spans="1:3">
      <c r="A8" t="s">
        <v>594</v>
      </c>
      <c r="B8" t="s">
        <v>565</v>
      </c>
    </row>
    <row r="9" spans="1:3">
      <c r="C9" s="54" t="s">
        <v>632</v>
      </c>
    </row>
    <row r="10" spans="1:3">
      <c r="C10" s="54"/>
    </row>
    <row r="11" spans="1:3">
      <c r="B11" t="s">
        <v>561</v>
      </c>
    </row>
    <row r="12" spans="1:3">
      <c r="B12" t="s">
        <v>566</v>
      </c>
    </row>
    <row r="13" spans="1:3">
      <c r="B13" t="s">
        <v>562</v>
      </c>
    </row>
    <row r="14" spans="1:3">
      <c r="B14" t="s">
        <v>563</v>
      </c>
    </row>
    <row r="15" spans="1:3">
      <c r="B15" t="s">
        <v>564</v>
      </c>
    </row>
    <row r="16" spans="1:3">
      <c r="A16" t="s">
        <v>594</v>
      </c>
      <c r="B16" t="s">
        <v>263</v>
      </c>
    </row>
    <row r="17" spans="1:4">
      <c r="C17" t="s">
        <v>634</v>
      </c>
    </row>
    <row r="18" spans="1:4">
      <c r="C18" t="s">
        <v>654</v>
      </c>
    </row>
    <row r="19" spans="1:4">
      <c r="C19" s="54"/>
      <c r="D19" t="s">
        <v>635</v>
      </c>
    </row>
    <row r="20" spans="1:4">
      <c r="C20" s="54"/>
      <c r="D20" t="s">
        <v>636</v>
      </c>
    </row>
    <row r="21" spans="1:4">
      <c r="C21" s="54"/>
      <c r="D21" t="s">
        <v>637</v>
      </c>
    </row>
    <row r="22" spans="1:4">
      <c r="A22" t="s">
        <v>594</v>
      </c>
      <c r="B22" t="s">
        <v>583</v>
      </c>
    </row>
    <row r="23" spans="1:4">
      <c r="B23" t="s">
        <v>584</v>
      </c>
    </row>
    <row r="25" spans="1:4">
      <c r="B25" s="17" t="s">
        <v>567</v>
      </c>
    </row>
    <row r="26" spans="1:4">
      <c r="B26" t="s">
        <v>568</v>
      </c>
    </row>
    <row r="27" spans="1:4">
      <c r="C27" t="s">
        <v>579</v>
      </c>
    </row>
    <row r="28" spans="1:4">
      <c r="B28" s="17"/>
      <c r="D28" t="s">
        <v>569</v>
      </c>
    </row>
    <row r="29" spans="1:4">
      <c r="B29" s="17"/>
      <c r="D29" t="s">
        <v>570</v>
      </c>
    </row>
    <row r="30" spans="1:4">
      <c r="B30" t="s">
        <v>571</v>
      </c>
    </row>
    <row r="31" spans="1:4">
      <c r="B31" s="17"/>
      <c r="C31" t="s">
        <v>572</v>
      </c>
    </row>
    <row r="32" spans="1:4">
      <c r="B32" t="s">
        <v>573</v>
      </c>
    </row>
    <row r="33" spans="1:8">
      <c r="C33" t="s">
        <v>574</v>
      </c>
    </row>
    <row r="34" spans="1:8">
      <c r="B34" s="17"/>
    </row>
    <row r="35" spans="1:8">
      <c r="B35" t="s">
        <v>575</v>
      </c>
    </row>
    <row r="36" spans="1:8">
      <c r="B36" s="17"/>
      <c r="C36" t="s">
        <v>576</v>
      </c>
    </row>
    <row r="37" spans="1:8">
      <c r="B37" s="17"/>
    </row>
    <row r="38" spans="1:8">
      <c r="B38" t="s">
        <v>577</v>
      </c>
      <c r="H38" t="s">
        <v>578</v>
      </c>
    </row>
    <row r="40" spans="1:8">
      <c r="B40" t="s">
        <v>580</v>
      </c>
    </row>
    <row r="41" spans="1:8">
      <c r="B41" t="s">
        <v>581</v>
      </c>
    </row>
    <row r="43" spans="1:8">
      <c r="B43" t="s">
        <v>582</v>
      </c>
    </row>
    <row r="44" spans="1:8">
      <c r="A44" t="s">
        <v>5</v>
      </c>
    </row>
    <row r="45" spans="1:8">
      <c r="B45" s="17" t="s">
        <v>363</v>
      </c>
    </row>
    <row r="46" spans="1:8">
      <c r="B46" t="s">
        <v>585</v>
      </c>
    </row>
    <row r="47" spans="1:8">
      <c r="C47" t="s">
        <v>586</v>
      </c>
    </row>
    <row r="48" spans="1:8">
      <c r="C48" t="s">
        <v>587</v>
      </c>
    </row>
    <row r="49" spans="2:6">
      <c r="B49" t="s">
        <v>588</v>
      </c>
    </row>
    <row r="50" spans="2:6">
      <c r="B50" t="s">
        <v>589</v>
      </c>
    </row>
    <row r="51" spans="2:6">
      <c r="C51" t="s">
        <v>590</v>
      </c>
    </row>
    <row r="52" spans="2:6">
      <c r="B52" t="s">
        <v>591</v>
      </c>
    </row>
    <row r="54" spans="2:6">
      <c r="B54" t="s">
        <v>592</v>
      </c>
    </row>
    <row r="55" spans="2:6">
      <c r="C55" t="s">
        <v>593</v>
      </c>
    </row>
    <row r="56" spans="2:6">
      <c r="D56" t="s">
        <v>595</v>
      </c>
    </row>
    <row r="57" spans="2:6">
      <c r="D57" t="s">
        <v>596</v>
      </c>
    </row>
    <row r="58" spans="2:6">
      <c r="C58" t="s">
        <v>597</v>
      </c>
    </row>
    <row r="59" spans="2:6">
      <c r="D59" t="s">
        <v>598</v>
      </c>
    </row>
    <row r="60" spans="2:6">
      <c r="E60" t="s">
        <v>599</v>
      </c>
    </row>
    <row r="61" spans="2:6">
      <c r="E61" t="s">
        <v>601</v>
      </c>
    </row>
    <row r="62" spans="2:6">
      <c r="F62" s="54" t="s">
        <v>600</v>
      </c>
    </row>
    <row r="63" spans="2:6">
      <c r="B63" t="s">
        <v>602</v>
      </c>
      <c r="F63" s="54"/>
    </row>
    <row r="64" spans="2:6">
      <c r="C64" t="s">
        <v>603</v>
      </c>
      <c r="F64" s="54"/>
    </row>
    <row r="65" spans="2:6">
      <c r="D65" t="s">
        <v>604</v>
      </c>
      <c r="F65" s="54"/>
    </row>
    <row r="66" spans="2:6">
      <c r="F66" s="54"/>
    </row>
    <row r="67" spans="2:6">
      <c r="B67" t="s">
        <v>605</v>
      </c>
      <c r="F67" s="54"/>
    </row>
    <row r="68" spans="2:6">
      <c r="C68" t="s">
        <v>606</v>
      </c>
      <c r="F68" s="54"/>
    </row>
    <row r="69" spans="2:6">
      <c r="C69" t="s">
        <v>607</v>
      </c>
      <c r="F69" s="54"/>
    </row>
    <row r="70" spans="2:6">
      <c r="D70" t="s">
        <v>613</v>
      </c>
      <c r="F70" s="54"/>
    </row>
    <row r="71" spans="2:6">
      <c r="D71" t="s">
        <v>614</v>
      </c>
      <c r="F71" s="54"/>
    </row>
    <row r="72" spans="2:6">
      <c r="D72" t="s">
        <v>615</v>
      </c>
      <c r="F72" s="54"/>
    </row>
    <row r="73" spans="2:6">
      <c r="D73" t="s">
        <v>616</v>
      </c>
      <c r="F73" s="54"/>
    </row>
    <row r="74" spans="2:6">
      <c r="F74" s="54"/>
    </row>
    <row r="75" spans="2:6">
      <c r="C75" t="s">
        <v>611</v>
      </c>
      <c r="F75" s="54"/>
    </row>
    <row r="76" spans="2:6">
      <c r="D76" t="s">
        <v>612</v>
      </c>
      <c r="F76" s="54"/>
    </row>
    <row r="77" spans="2:6">
      <c r="F77" s="54"/>
    </row>
    <row r="78" spans="2:6">
      <c r="B78" t="s">
        <v>608</v>
      </c>
      <c r="F78" s="54"/>
    </row>
    <row r="79" spans="2:6">
      <c r="C79" t="s">
        <v>609</v>
      </c>
      <c r="F79" s="54"/>
    </row>
    <row r="80" spans="2:6">
      <c r="C80" t="s">
        <v>610</v>
      </c>
      <c r="F80" s="54"/>
    </row>
    <row r="81" spans="2:6">
      <c r="D81" t="s">
        <v>617</v>
      </c>
      <c r="F81" s="54"/>
    </row>
    <row r="82" spans="2:6">
      <c r="D82" t="s">
        <v>618</v>
      </c>
      <c r="F82" s="54"/>
    </row>
    <row r="83" spans="2:6">
      <c r="D83" t="s">
        <v>619</v>
      </c>
      <c r="F83" s="54"/>
    </row>
    <row r="84" spans="2:6">
      <c r="F84" s="54"/>
    </row>
    <row r="85" spans="2:6">
      <c r="B85" t="s">
        <v>620</v>
      </c>
      <c r="F85" s="54"/>
    </row>
    <row r="86" spans="2:6">
      <c r="C86" t="s">
        <v>621</v>
      </c>
      <c r="F86" s="54"/>
    </row>
    <row r="87" spans="2:6">
      <c r="D87" t="s">
        <v>633</v>
      </c>
      <c r="F87" s="54"/>
    </row>
    <row r="88" spans="2:6">
      <c r="D88" t="s">
        <v>627</v>
      </c>
      <c r="F88" s="54"/>
    </row>
    <row r="89" spans="2:6">
      <c r="E89" t="s">
        <v>628</v>
      </c>
      <c r="F89" s="54"/>
    </row>
    <row r="90" spans="2:6">
      <c r="B90" t="s">
        <v>5</v>
      </c>
      <c r="C90" s="23" t="s">
        <v>622</v>
      </c>
      <c r="F90" s="54"/>
    </row>
    <row r="91" spans="2:6">
      <c r="C91" s="23"/>
      <c r="F91" s="54"/>
    </row>
    <row r="92" spans="2:6">
      <c r="C92" t="s">
        <v>623</v>
      </c>
      <c r="D92" t="s">
        <v>624</v>
      </c>
      <c r="E92">
        <f>197.5*15</f>
        <v>2962.5</v>
      </c>
      <c r="F92" s="54"/>
    </row>
    <row r="93" spans="2:6">
      <c r="D93" t="s">
        <v>625</v>
      </c>
      <c r="E93" s="23">
        <v>0.3</v>
      </c>
      <c r="F93" s="54"/>
    </row>
    <row r="94" spans="2:6">
      <c r="D94" t="s">
        <v>626</v>
      </c>
      <c r="E94" s="23">
        <v>0.19</v>
      </c>
      <c r="F94" s="54"/>
    </row>
    <row r="95" spans="2:6">
      <c r="F95" s="54"/>
    </row>
    <row r="96" spans="2:6">
      <c r="B96" t="s">
        <v>629</v>
      </c>
      <c r="F96" s="54"/>
    </row>
    <row r="97" spans="1:6">
      <c r="C97" t="s">
        <v>630</v>
      </c>
      <c r="F97" s="54"/>
    </row>
    <row r="98" spans="1:6">
      <c r="D98" t="s">
        <v>631</v>
      </c>
      <c r="F98" s="54"/>
    </row>
    <row r="99" spans="1:6">
      <c r="C99" t="s">
        <v>644</v>
      </c>
      <c r="F99" s="54"/>
    </row>
    <row r="100" spans="1:6">
      <c r="A100" t="s">
        <v>5</v>
      </c>
      <c r="D100" t="s">
        <v>645</v>
      </c>
      <c r="F100" s="54"/>
    </row>
    <row r="101" spans="1:6">
      <c r="C101" t="s">
        <v>646</v>
      </c>
      <c r="F101" s="54"/>
    </row>
    <row r="102" spans="1:6">
      <c r="D102" t="s">
        <v>647</v>
      </c>
      <c r="F102" s="54"/>
    </row>
    <row r="103" spans="1:6">
      <c r="F103" s="54"/>
    </row>
    <row r="104" spans="1:6">
      <c r="B104" t="s">
        <v>638</v>
      </c>
      <c r="F104" s="54"/>
    </row>
    <row r="105" spans="1:6">
      <c r="C105" t="s">
        <v>640</v>
      </c>
      <c r="F105" s="54"/>
    </row>
    <row r="106" spans="1:6">
      <c r="C106" t="s">
        <v>648</v>
      </c>
      <c r="F106" s="54"/>
    </row>
    <row r="107" spans="1:6">
      <c r="D107" t="s">
        <v>649</v>
      </c>
      <c r="F107" s="54"/>
    </row>
    <row r="108" spans="1:6">
      <c r="F108" s="54"/>
    </row>
    <row r="109" spans="1:6">
      <c r="B109" t="s">
        <v>639</v>
      </c>
      <c r="F109" s="54"/>
    </row>
    <row r="110" spans="1:6">
      <c r="C110" t="s">
        <v>641</v>
      </c>
      <c r="F110" s="54"/>
    </row>
    <row r="111" spans="1:6">
      <c r="D111" t="s">
        <v>642</v>
      </c>
      <c r="F111" s="54"/>
    </row>
    <row r="112" spans="1:6">
      <c r="D112" t="s">
        <v>643</v>
      </c>
      <c r="F112" s="54"/>
    </row>
    <row r="113" spans="2:6">
      <c r="F113" s="54"/>
    </row>
    <row r="114" spans="2:6">
      <c r="B114" t="s">
        <v>650</v>
      </c>
      <c r="F114" s="54"/>
    </row>
    <row r="115" spans="2:6">
      <c r="C115" t="s">
        <v>651</v>
      </c>
      <c r="F115" s="54"/>
    </row>
    <row r="116" spans="2:6">
      <c r="C116" t="s">
        <v>652</v>
      </c>
      <c r="F116" s="54"/>
    </row>
    <row r="117" spans="2:6">
      <c r="D117" t="s">
        <v>653</v>
      </c>
      <c r="F117" s="54"/>
    </row>
    <row r="118" spans="2:6">
      <c r="F118" s="54"/>
    </row>
    <row r="119" spans="2:6">
      <c r="B119" t="s">
        <v>655</v>
      </c>
      <c r="F119" s="54"/>
    </row>
    <row r="120" spans="2:6">
      <c r="C120" t="s">
        <v>656</v>
      </c>
      <c r="F120" s="54"/>
    </row>
    <row r="121" spans="2:6">
      <c r="C121" t="s">
        <v>657</v>
      </c>
      <c r="F121" s="54"/>
    </row>
    <row r="122" spans="2:6">
      <c r="D122" t="s">
        <v>658</v>
      </c>
      <c r="F122" s="54"/>
    </row>
    <row r="123" spans="2:6">
      <c r="D123" t="s">
        <v>659</v>
      </c>
      <c r="F123" s="54"/>
    </row>
    <row r="124" spans="2:6">
      <c r="C124" t="s">
        <v>660</v>
      </c>
      <c r="F124" s="54"/>
    </row>
    <row r="125" spans="2:6">
      <c r="F125" s="54"/>
    </row>
    <row r="126" spans="2:6">
      <c r="B126" t="s">
        <v>629</v>
      </c>
      <c r="C126" t="s">
        <v>661</v>
      </c>
      <c r="F126" s="54"/>
    </row>
    <row r="127" spans="2:6">
      <c r="D127" t="s">
        <v>662</v>
      </c>
      <c r="F127" s="54"/>
    </row>
    <row r="128" spans="2:6">
      <c r="F128" s="54"/>
    </row>
    <row r="129" spans="2:6">
      <c r="F129" s="54"/>
    </row>
    <row r="130" spans="2:6">
      <c r="B130" s="17" t="s">
        <v>266</v>
      </c>
    </row>
    <row r="131" spans="2:6">
      <c r="B131" t="s">
        <v>260</v>
      </c>
    </row>
    <row r="132" spans="2:6">
      <c r="B132" t="s">
        <v>265</v>
      </c>
    </row>
    <row r="133" spans="2:6">
      <c r="B133" t="s">
        <v>267</v>
      </c>
    </row>
    <row r="134" spans="2:6">
      <c r="C134" t="s">
        <v>268</v>
      </c>
    </row>
    <row r="135" spans="2:6">
      <c r="C135" t="s">
        <v>269</v>
      </c>
    </row>
    <row r="136" spans="2:6">
      <c r="C136" t="s">
        <v>270</v>
      </c>
    </row>
    <row r="138" spans="2:6">
      <c r="B138" s="17" t="s">
        <v>232</v>
      </c>
    </row>
    <row r="139" spans="2:6">
      <c r="B139" t="s">
        <v>261</v>
      </c>
    </row>
    <row r="140" spans="2:6">
      <c r="B140" t="s">
        <v>274</v>
      </c>
    </row>
    <row r="141" spans="2:6">
      <c r="B141" t="s">
        <v>262</v>
      </c>
    </row>
    <row r="143" spans="2:6">
      <c r="B143" s="17" t="s">
        <v>279</v>
      </c>
    </row>
    <row r="144" spans="2:6">
      <c r="B144" t="s">
        <v>360</v>
      </c>
    </row>
    <row r="145" spans="2:3">
      <c r="C145" t="s">
        <v>362</v>
      </c>
    </row>
    <row r="146" spans="2:3">
      <c r="B146" t="s">
        <v>361</v>
      </c>
    </row>
    <row r="147" spans="2:3">
      <c r="B147" t="s">
        <v>316</v>
      </c>
    </row>
    <row r="148" spans="2:3">
      <c r="C148" t="s">
        <v>348</v>
      </c>
    </row>
    <row r="149" spans="2:3">
      <c r="C149" t="s">
        <v>349</v>
      </c>
    </row>
    <row r="151" spans="2:3">
      <c r="B151" t="s">
        <v>258</v>
      </c>
    </row>
    <row r="153" spans="2:3">
      <c r="B153" t="s">
        <v>264</v>
      </c>
    </row>
    <row r="154" spans="2:3">
      <c r="B154" t="s">
        <v>308</v>
      </c>
    </row>
    <row r="155" spans="2:3">
      <c r="B155" t="s">
        <v>255</v>
      </c>
    </row>
    <row r="157" spans="2:3">
      <c r="B157" t="s">
        <v>314</v>
      </c>
    </row>
    <row r="158" spans="2:3">
      <c r="C158" t="s">
        <v>315</v>
      </c>
    </row>
    <row r="160" spans="2:3">
      <c r="B160" s="17" t="s">
        <v>363</v>
      </c>
    </row>
    <row r="162" spans="2:3">
      <c r="B162" t="s">
        <v>364</v>
      </c>
    </row>
    <row r="163" spans="2:3">
      <c r="C163" t="s">
        <v>365</v>
      </c>
    </row>
    <row r="164" spans="2:3">
      <c r="B164" s="17" t="s">
        <v>367</v>
      </c>
    </row>
    <row r="165" spans="2:3">
      <c r="B165" t="s">
        <v>366</v>
      </c>
    </row>
    <row r="166" spans="2:3">
      <c r="B166" t="s">
        <v>368</v>
      </c>
    </row>
    <row r="167" spans="2:3">
      <c r="B167" t="s">
        <v>369</v>
      </c>
    </row>
    <row r="168" spans="2:3">
      <c r="B168" t="s">
        <v>370</v>
      </c>
    </row>
    <row r="169" spans="2:3">
      <c r="C169" t="s">
        <v>371</v>
      </c>
    </row>
    <row r="170" spans="2:3">
      <c r="B170" t="s">
        <v>372</v>
      </c>
    </row>
    <row r="172" spans="2:3">
      <c r="B172" s="17" t="s">
        <v>373</v>
      </c>
    </row>
    <row r="173" spans="2:3">
      <c r="C173" t="s">
        <v>374</v>
      </c>
    </row>
    <row r="174" spans="2:3">
      <c r="C174" t="s">
        <v>376</v>
      </c>
    </row>
    <row r="176" spans="2:3">
      <c r="B176" t="s">
        <v>375</v>
      </c>
    </row>
    <row r="178" spans="2:3">
      <c r="B178" s="17" t="s">
        <v>377</v>
      </c>
    </row>
    <row r="179" spans="2:3">
      <c r="C179" t="s">
        <v>378</v>
      </c>
    </row>
    <row r="181" spans="2:3">
      <c r="B181" t="s">
        <v>379</v>
      </c>
    </row>
    <row r="182" spans="2:3">
      <c r="C182" t="s">
        <v>380</v>
      </c>
    </row>
    <row r="183" spans="2:3">
      <c r="B183" t="s">
        <v>381</v>
      </c>
    </row>
    <row r="184" spans="2:3">
      <c r="C184" t="s">
        <v>382</v>
      </c>
    </row>
    <row r="186" spans="2:3">
      <c r="B186" s="17" t="s">
        <v>383</v>
      </c>
    </row>
    <row r="187" spans="2:3">
      <c r="C187" t="s">
        <v>384</v>
      </c>
    </row>
    <row r="189" spans="2:3">
      <c r="B189" t="s">
        <v>385</v>
      </c>
    </row>
    <row r="190" spans="2:3">
      <c r="B190" t="s">
        <v>386</v>
      </c>
    </row>
    <row r="192" spans="2:3">
      <c r="B192" s="17" t="s">
        <v>169</v>
      </c>
    </row>
    <row r="194" spans="2:3">
      <c r="B194" t="s">
        <v>387</v>
      </c>
    </row>
    <row r="195" spans="2:3">
      <c r="B195" t="s">
        <v>388</v>
      </c>
    </row>
    <row r="196" spans="2:3">
      <c r="B196" t="s">
        <v>389</v>
      </c>
    </row>
    <row r="197" spans="2:3">
      <c r="B197" t="s">
        <v>390</v>
      </c>
    </row>
    <row r="199" spans="2:3">
      <c r="B199" t="s">
        <v>391</v>
      </c>
    </row>
    <row r="200" spans="2:3">
      <c r="C200" t="s">
        <v>392</v>
      </c>
    </row>
    <row r="201" spans="2:3">
      <c r="C201" t="s">
        <v>393</v>
      </c>
    </row>
    <row r="202" spans="2:3">
      <c r="B202" t="s">
        <v>394</v>
      </c>
    </row>
    <row r="203" spans="2:3">
      <c r="B203" t="s">
        <v>395</v>
      </c>
    </row>
    <row r="205" spans="2:3">
      <c r="B205" t="s">
        <v>396</v>
      </c>
    </row>
    <row r="206" spans="2:3">
      <c r="C206" t="s">
        <v>397</v>
      </c>
    </row>
    <row r="207" spans="2:3">
      <c r="B207" t="s">
        <v>398</v>
      </c>
    </row>
    <row r="208" spans="2:3">
      <c r="B208" t="s">
        <v>399</v>
      </c>
    </row>
    <row r="210" spans="2:3">
      <c r="B210" t="s">
        <v>400</v>
      </c>
    </row>
    <row r="211" spans="2:3">
      <c r="C211" t="s">
        <v>401</v>
      </c>
    </row>
    <row r="212" spans="2:3">
      <c r="C212" t="s">
        <v>402</v>
      </c>
    </row>
    <row r="214" spans="2:3">
      <c r="B214" t="s">
        <v>403</v>
      </c>
    </row>
    <row r="215" spans="2:3">
      <c r="C215" t="s">
        <v>404</v>
      </c>
    </row>
    <row r="217" spans="2:3">
      <c r="B217" t="s">
        <v>405</v>
      </c>
    </row>
    <row r="218" spans="2:3">
      <c r="C218" t="s">
        <v>406</v>
      </c>
    </row>
    <row r="219" spans="2:3">
      <c r="C219" t="s">
        <v>407</v>
      </c>
    </row>
    <row r="221" spans="2:3">
      <c r="B221" t="s">
        <v>408</v>
      </c>
    </row>
    <row r="222" spans="2:3">
      <c r="C222" t="s">
        <v>409</v>
      </c>
    </row>
    <row r="224" spans="2:3">
      <c r="B224" s="17" t="s">
        <v>410</v>
      </c>
    </row>
    <row r="225" spans="2:4">
      <c r="B225" t="s">
        <v>411</v>
      </c>
    </row>
    <row r="226" spans="2:4">
      <c r="C226" t="s">
        <v>412</v>
      </c>
    </row>
    <row r="227" spans="2:4">
      <c r="D227" t="s">
        <v>413</v>
      </c>
    </row>
    <row r="229" spans="2:4">
      <c r="B229" t="s">
        <v>414</v>
      </c>
    </row>
    <row r="230" spans="2:4">
      <c r="C230" t="s">
        <v>415</v>
      </c>
    </row>
    <row r="231" spans="2:4">
      <c r="C231" t="s">
        <v>416</v>
      </c>
    </row>
    <row r="233" spans="2:4">
      <c r="C233" t="s">
        <v>417</v>
      </c>
    </row>
    <row r="234" spans="2:4">
      <c r="C234" t="s">
        <v>418</v>
      </c>
    </row>
    <row r="236" spans="2:4">
      <c r="B236" t="s">
        <v>419</v>
      </c>
    </row>
    <row r="237" spans="2:4">
      <c r="B237" t="s">
        <v>420</v>
      </c>
    </row>
    <row r="238" spans="2:4">
      <c r="C238" t="s">
        <v>421</v>
      </c>
    </row>
    <row r="239" spans="2:4">
      <c r="C239" t="s">
        <v>422</v>
      </c>
    </row>
    <row r="240" spans="2:4">
      <c r="B240" t="s">
        <v>423</v>
      </c>
    </row>
    <row r="241" spans="2:3">
      <c r="C241" t="s">
        <v>424</v>
      </c>
    </row>
    <row r="243" spans="2:3">
      <c r="B243" s="17" t="s">
        <v>677</v>
      </c>
    </row>
    <row r="245" spans="2:3">
      <c r="B245" t="s">
        <v>680</v>
      </c>
    </row>
    <row r="246" spans="2:3">
      <c r="B246" t="s">
        <v>681</v>
      </c>
    </row>
    <row r="248" spans="2:3">
      <c r="B248" t="s">
        <v>684</v>
      </c>
    </row>
    <row r="249" spans="2:3">
      <c r="B249" t="s">
        <v>685</v>
      </c>
    </row>
    <row r="250" spans="2:3">
      <c r="B250" t="s">
        <v>686</v>
      </c>
    </row>
    <row r="251" spans="2:3">
      <c r="B251" t="s">
        <v>687</v>
      </c>
    </row>
    <row r="253" spans="2:3">
      <c r="B253" s="17" t="s">
        <v>690</v>
      </c>
    </row>
    <row r="255" spans="2:3">
      <c r="B255" t="s">
        <v>691</v>
      </c>
    </row>
    <row r="256" spans="2:3">
      <c r="B256" t="s">
        <v>692</v>
      </c>
    </row>
    <row r="258" spans="2:3">
      <c r="B258" t="s">
        <v>693</v>
      </c>
    </row>
    <row r="259" spans="2:3">
      <c r="B259" t="s">
        <v>694</v>
      </c>
    </row>
    <row r="260" spans="2:3">
      <c r="B260" t="s">
        <v>695</v>
      </c>
    </row>
    <row r="261" spans="2:3">
      <c r="B261" t="s">
        <v>696</v>
      </c>
    </row>
    <row r="263" spans="2:3">
      <c r="B263" t="s">
        <v>697</v>
      </c>
    </row>
    <row r="264" spans="2:3">
      <c r="B264" t="s">
        <v>698</v>
      </c>
      <c r="C264" s="23">
        <v>0.65</v>
      </c>
    </row>
    <row r="265" spans="2:3">
      <c r="B265" t="s">
        <v>699</v>
      </c>
    </row>
    <row r="266" spans="2:3">
      <c r="B266" t="s">
        <v>700</v>
      </c>
    </row>
    <row r="268" spans="2:3">
      <c r="B268" t="s">
        <v>701</v>
      </c>
    </row>
    <row r="269" spans="2:3">
      <c r="B269" t="s">
        <v>702</v>
      </c>
    </row>
    <row r="271" spans="2:3">
      <c r="B271" t="s">
        <v>703</v>
      </c>
    </row>
    <row r="272" spans="2:3">
      <c r="C272" t="s">
        <v>704</v>
      </c>
    </row>
    <row r="273" spans="2:4">
      <c r="C273" t="s">
        <v>705</v>
      </c>
    </row>
    <row r="274" spans="2:4">
      <c r="C274" t="s">
        <v>706</v>
      </c>
    </row>
    <row r="276" spans="2:4">
      <c r="B276" s="17" t="s">
        <v>367</v>
      </c>
    </row>
    <row r="277" spans="2:4">
      <c r="C277" t="s">
        <v>707</v>
      </c>
    </row>
    <row r="278" spans="2:4">
      <c r="C278" t="s">
        <v>708</v>
      </c>
    </row>
    <row r="279" spans="2:4">
      <c r="C279" t="s">
        <v>709</v>
      </c>
    </row>
    <row r="281" spans="2:4">
      <c r="B281" t="s">
        <v>710</v>
      </c>
    </row>
    <row r="282" spans="2:4">
      <c r="B282" t="s">
        <v>711</v>
      </c>
    </row>
    <row r="283" spans="2:4">
      <c r="C283" t="s">
        <v>712</v>
      </c>
    </row>
    <row r="284" spans="2:4">
      <c r="D284" t="s">
        <v>713</v>
      </c>
    </row>
    <row r="285" spans="2:4">
      <c r="D285" t="s">
        <v>714</v>
      </c>
    </row>
    <row r="286" spans="2:4">
      <c r="C286" t="s">
        <v>715</v>
      </c>
    </row>
    <row r="287" spans="2:4">
      <c r="C287" t="s">
        <v>716</v>
      </c>
    </row>
    <row r="288" spans="2:4">
      <c r="C288" t="s">
        <v>717</v>
      </c>
    </row>
    <row r="290" spans="2:3">
      <c r="B290" s="17" t="s">
        <v>718</v>
      </c>
    </row>
    <row r="291" spans="2:3">
      <c r="C291" t="s">
        <v>719</v>
      </c>
    </row>
    <row r="292" spans="2:3">
      <c r="C292" t="s">
        <v>720</v>
      </c>
    </row>
    <row r="294" spans="2:3">
      <c r="B294" s="57" t="s">
        <v>735</v>
      </c>
    </row>
    <row r="296" spans="2:3">
      <c r="B296" t="s">
        <v>732</v>
      </c>
    </row>
    <row r="297" spans="2:3">
      <c r="C297" t="s">
        <v>733</v>
      </c>
    </row>
    <row r="298" spans="2:3">
      <c r="C298" t="s">
        <v>734</v>
      </c>
    </row>
    <row r="300" spans="2:3">
      <c r="B300" t="s">
        <v>736</v>
      </c>
    </row>
    <row r="301" spans="2:3">
      <c r="B301" t="s">
        <v>737</v>
      </c>
    </row>
    <row r="302" spans="2:3">
      <c r="C302" t="s">
        <v>738</v>
      </c>
    </row>
    <row r="303" spans="2:3">
      <c r="B303" t="s">
        <v>739</v>
      </c>
    </row>
    <row r="305" spans="2:4">
      <c r="B305" t="s">
        <v>629</v>
      </c>
    </row>
    <row r="306" spans="2:4">
      <c r="C306" t="s">
        <v>740</v>
      </c>
    </row>
    <row r="308" spans="2:4">
      <c r="B308" s="17" t="s">
        <v>363</v>
      </c>
    </row>
    <row r="310" spans="2:4">
      <c r="B310" s="54" t="s">
        <v>741</v>
      </c>
    </row>
    <row r="311" spans="2:4">
      <c r="C311" t="s">
        <v>742</v>
      </c>
    </row>
    <row r="312" spans="2:4">
      <c r="C312" t="s">
        <v>743</v>
      </c>
    </row>
    <row r="313" spans="2:4">
      <c r="C313" t="s">
        <v>744</v>
      </c>
    </row>
    <row r="314" spans="2:4">
      <c r="D314" t="s">
        <v>745</v>
      </c>
    </row>
    <row r="316" spans="2:4">
      <c r="B316" s="54" t="s">
        <v>500</v>
      </c>
    </row>
    <row r="317" spans="2:4">
      <c r="C317" t="s">
        <v>746</v>
      </c>
    </row>
    <row r="318" spans="2:4">
      <c r="C318" t="s">
        <v>747</v>
      </c>
    </row>
    <row r="319" spans="2:4">
      <c r="C319" t="s">
        <v>748</v>
      </c>
    </row>
    <row r="320" spans="2:4">
      <c r="D320" t="s">
        <v>749</v>
      </c>
    </row>
    <row r="321" spans="2:4">
      <c r="D321" t="s">
        <v>750</v>
      </c>
    </row>
    <row r="323" spans="2:4">
      <c r="B323" s="54" t="s">
        <v>620</v>
      </c>
    </row>
    <row r="324" spans="2:4">
      <c r="C324" t="s">
        <v>751</v>
      </c>
    </row>
    <row r="326" spans="2:4">
      <c r="C326" t="s">
        <v>752</v>
      </c>
      <c r="D326" t="s">
        <v>753</v>
      </c>
    </row>
    <row r="327" spans="2:4">
      <c r="C327" t="s">
        <v>754</v>
      </c>
      <c r="D327" s="23" t="s">
        <v>763</v>
      </c>
    </row>
    <row r="328" spans="2:4">
      <c r="C328" t="s">
        <v>625</v>
      </c>
      <c r="D328" s="23">
        <v>0.25</v>
      </c>
    </row>
    <row r="330" spans="2:4">
      <c r="C330" t="s">
        <v>755</v>
      </c>
      <c r="D330" t="s">
        <v>757</v>
      </c>
    </row>
    <row r="331" spans="2:4">
      <c r="C331" t="s">
        <v>756</v>
      </c>
      <c r="D331" t="s">
        <v>758</v>
      </c>
    </row>
    <row r="332" spans="2:4">
      <c r="C332" t="s">
        <v>759</v>
      </c>
      <c r="D332" t="s">
        <v>623</v>
      </c>
    </row>
    <row r="334" spans="2:4">
      <c r="B334" s="54" t="s">
        <v>760</v>
      </c>
    </row>
    <row r="335" spans="2:4">
      <c r="B335" s="54" t="s">
        <v>761</v>
      </c>
    </row>
    <row r="336" spans="2:4">
      <c r="C336" t="s">
        <v>762</v>
      </c>
    </row>
    <row r="337" spans="2:4">
      <c r="C337" t="s">
        <v>764</v>
      </c>
    </row>
    <row r="338" spans="2:4">
      <c r="D338" t="s">
        <v>765</v>
      </c>
    </row>
    <row r="340" spans="2:4">
      <c r="B340" t="s">
        <v>766</v>
      </c>
    </row>
    <row r="341" spans="2:4">
      <c r="B341" t="s">
        <v>767</v>
      </c>
    </row>
    <row r="343" spans="2:4">
      <c r="B343" s="54" t="s">
        <v>768</v>
      </c>
    </row>
    <row r="344" spans="2:4">
      <c r="C344" t="s">
        <v>769</v>
      </c>
    </row>
    <row r="345" spans="2:4">
      <c r="C345" t="s">
        <v>770</v>
      </c>
    </row>
    <row r="347" spans="2:4">
      <c r="B347" s="54" t="s">
        <v>718</v>
      </c>
    </row>
    <row r="348" spans="2:4">
      <c r="C348" t="s">
        <v>771</v>
      </c>
    </row>
    <row r="349" spans="2:4">
      <c r="C349" t="s">
        <v>772</v>
      </c>
    </row>
    <row r="351" spans="2:4">
      <c r="B351" s="54" t="s">
        <v>169</v>
      </c>
    </row>
    <row r="352" spans="2:4">
      <c r="C352" t="s">
        <v>773</v>
      </c>
    </row>
    <row r="353" spans="2:4">
      <c r="C353" t="s">
        <v>774</v>
      </c>
    </row>
    <row r="354" spans="2:4">
      <c r="C354" t="s">
        <v>775</v>
      </c>
    </row>
    <row r="356" spans="2:4">
      <c r="B356" s="54" t="s">
        <v>22</v>
      </c>
    </row>
    <row r="357" spans="2:4">
      <c r="C357" t="s">
        <v>776</v>
      </c>
    </row>
    <row r="358" spans="2:4">
      <c r="C358" t="s">
        <v>777</v>
      </c>
    </row>
    <row r="359" spans="2:4">
      <c r="D359" t="s">
        <v>778</v>
      </c>
    </row>
    <row r="360" spans="2:4">
      <c r="C360" t="s">
        <v>780</v>
      </c>
    </row>
    <row r="362" spans="2:4">
      <c r="B362" s="54" t="s">
        <v>781</v>
      </c>
    </row>
    <row r="363" spans="2:4">
      <c r="C363" t="s">
        <v>782</v>
      </c>
    </row>
    <row r="364" spans="2:4">
      <c r="C364" t="s">
        <v>783</v>
      </c>
    </row>
    <row r="365" spans="2:4">
      <c r="C365" t="s">
        <v>784</v>
      </c>
    </row>
    <row r="366" spans="2:4">
      <c r="C366" t="s">
        <v>785</v>
      </c>
    </row>
    <row r="368" spans="2:4">
      <c r="B368" s="54" t="s">
        <v>605</v>
      </c>
    </row>
    <row r="369" spans="2:4">
      <c r="C369" t="s">
        <v>786</v>
      </c>
    </row>
    <row r="370" spans="2:4">
      <c r="C370" t="s">
        <v>787</v>
      </c>
    </row>
    <row r="371" spans="2:4">
      <c r="D371" t="s">
        <v>791</v>
      </c>
    </row>
    <row r="372" spans="2:4">
      <c r="D372" t="s">
        <v>792</v>
      </c>
    </row>
    <row r="373" spans="2:4">
      <c r="D373" t="s">
        <v>793</v>
      </c>
    </row>
    <row r="374" spans="2:4">
      <c r="B374" s="54" t="s">
        <v>788</v>
      </c>
    </row>
    <row r="375" spans="2:4">
      <c r="C375" t="s">
        <v>790</v>
      </c>
    </row>
    <row r="376" spans="2:4">
      <c r="C376" t="s">
        <v>789</v>
      </c>
    </row>
    <row r="377" spans="2:4">
      <c r="C377" t="s">
        <v>794</v>
      </c>
    </row>
    <row r="379" spans="2:4">
      <c r="B379" s="54" t="s">
        <v>795</v>
      </c>
    </row>
    <row r="380" spans="2:4">
      <c r="C380" t="s">
        <v>796</v>
      </c>
    </row>
    <row r="381" spans="2:4">
      <c r="C381" t="s">
        <v>798</v>
      </c>
    </row>
    <row r="382" spans="2:4">
      <c r="D382" t="s">
        <v>799</v>
      </c>
    </row>
    <row r="383" spans="2:4">
      <c r="C383" t="s">
        <v>797</v>
      </c>
    </row>
    <row r="385" spans="2:4">
      <c r="B385" s="54" t="s">
        <v>800</v>
      </c>
    </row>
    <row r="386" spans="2:4">
      <c r="B386" s="54"/>
      <c r="C386" t="s">
        <v>803</v>
      </c>
    </row>
    <row r="387" spans="2:4">
      <c r="B387" s="54"/>
      <c r="D387" t="s">
        <v>805</v>
      </c>
    </row>
    <row r="388" spans="2:4">
      <c r="B388" s="54"/>
      <c r="D388" t="s">
        <v>806</v>
      </c>
    </row>
    <row r="389" spans="2:4">
      <c r="B389" s="54"/>
      <c r="C389" t="s">
        <v>804</v>
      </c>
    </row>
    <row r="390" spans="2:4">
      <c r="B390" s="54"/>
      <c r="C390" t="s">
        <v>802</v>
      </c>
    </row>
    <row r="391" spans="2:4">
      <c r="C391" t="s">
        <v>801</v>
      </c>
    </row>
    <row r="393" spans="2:4">
      <c r="B393" s="54" t="s">
        <v>169</v>
      </c>
    </row>
    <row r="394" spans="2:4">
      <c r="C394" t="s">
        <v>807</v>
      </c>
    </row>
    <row r="395" spans="2:4">
      <c r="D395" t="s">
        <v>808</v>
      </c>
    </row>
    <row r="396" spans="2:4">
      <c r="C396" t="s">
        <v>809</v>
      </c>
    </row>
    <row r="397" spans="2:4">
      <c r="C397" t="s">
        <v>810</v>
      </c>
    </row>
    <row r="399" spans="2:4">
      <c r="C399" t="s">
        <v>811</v>
      </c>
    </row>
    <row r="401" spans="2:13">
      <c r="C401" t="s">
        <v>812</v>
      </c>
    </row>
    <row r="402" spans="2:13">
      <c r="C402" t="s">
        <v>813</v>
      </c>
    </row>
    <row r="404" spans="2:13">
      <c r="B404" s="57" t="s">
        <v>817</v>
      </c>
    </row>
    <row r="406" spans="2:13">
      <c r="B406" t="s">
        <v>819</v>
      </c>
    </row>
    <row r="407" spans="2:13">
      <c r="B407" t="s">
        <v>820</v>
      </c>
    </row>
    <row r="408" spans="2:13">
      <c r="B408" t="s">
        <v>821</v>
      </c>
    </row>
    <row r="409" spans="2:13">
      <c r="B409" t="s">
        <v>822</v>
      </c>
      <c r="H409" t="s">
        <v>862</v>
      </c>
    </row>
    <row r="410" spans="2:13">
      <c r="H410" s="17" t="s">
        <v>860</v>
      </c>
    </row>
    <row r="411" spans="2:13">
      <c r="B411" s="17" t="s">
        <v>823</v>
      </c>
      <c r="H411" t="s">
        <v>859</v>
      </c>
      <c r="M411" t="s">
        <v>865</v>
      </c>
    </row>
    <row r="412" spans="2:13">
      <c r="C412" t="s">
        <v>824</v>
      </c>
      <c r="H412" t="s">
        <v>857</v>
      </c>
    </row>
    <row r="413" spans="2:13">
      <c r="C413" t="s">
        <v>825</v>
      </c>
      <c r="H413" t="s">
        <v>858</v>
      </c>
    </row>
    <row r="414" spans="2:13">
      <c r="B414" s="17" t="s">
        <v>620</v>
      </c>
      <c r="H414" t="s">
        <v>861</v>
      </c>
    </row>
    <row r="415" spans="2:13">
      <c r="C415" t="s">
        <v>826</v>
      </c>
      <c r="H415" t="s">
        <v>863</v>
      </c>
    </row>
    <row r="416" spans="2:13">
      <c r="C416" t="s">
        <v>827</v>
      </c>
      <c r="H416" t="s">
        <v>864</v>
      </c>
    </row>
    <row r="417" spans="2:4">
      <c r="C417" t="s">
        <v>828</v>
      </c>
    </row>
    <row r="418" spans="2:4">
      <c r="C418" t="s">
        <v>829</v>
      </c>
    </row>
    <row r="419" spans="2:4">
      <c r="D419" t="s">
        <v>831</v>
      </c>
    </row>
    <row r="420" spans="2:4">
      <c r="D420" t="s">
        <v>830</v>
      </c>
    </row>
    <row r="421" spans="2:4">
      <c r="B421" s="17" t="s">
        <v>832</v>
      </c>
    </row>
    <row r="422" spans="2:4">
      <c r="C422" t="s">
        <v>834</v>
      </c>
    </row>
    <row r="424" spans="2:4">
      <c r="B424" t="s">
        <v>833</v>
      </c>
    </row>
    <row r="425" spans="2:4">
      <c r="C425" t="s">
        <v>835</v>
      </c>
    </row>
    <row r="426" spans="2:4">
      <c r="C426" t="s">
        <v>836</v>
      </c>
    </row>
    <row r="428" spans="2:4">
      <c r="B428" t="s">
        <v>837</v>
      </c>
    </row>
    <row r="429" spans="2:4">
      <c r="C429" t="s">
        <v>839</v>
      </c>
    </row>
    <row r="430" spans="2:4">
      <c r="C430" t="s">
        <v>840</v>
      </c>
    </row>
    <row r="431" spans="2:4">
      <c r="C431" t="s">
        <v>841</v>
      </c>
    </row>
    <row r="432" spans="2:4">
      <c r="B432" t="s">
        <v>838</v>
      </c>
    </row>
    <row r="433" spans="2:4">
      <c r="C433" t="s">
        <v>842</v>
      </c>
    </row>
    <row r="434" spans="2:4">
      <c r="C434" t="s">
        <v>843</v>
      </c>
    </row>
    <row r="435" spans="2:4">
      <c r="B435" t="s">
        <v>844</v>
      </c>
    </row>
    <row r="436" spans="2:4">
      <c r="C436" t="s">
        <v>845</v>
      </c>
    </row>
    <row r="437" spans="2:4">
      <c r="B437" s="17" t="s">
        <v>846</v>
      </c>
    </row>
    <row r="438" spans="2:4">
      <c r="B438" s="17"/>
      <c r="C438" t="s">
        <v>850</v>
      </c>
    </row>
    <row r="439" spans="2:4">
      <c r="B439" s="17"/>
      <c r="D439" t="s">
        <v>853</v>
      </c>
    </row>
    <row r="440" spans="2:4">
      <c r="B440" s="17"/>
      <c r="D440" t="s">
        <v>851</v>
      </c>
    </row>
    <row r="441" spans="2:4">
      <c r="B441" s="17"/>
      <c r="D441" t="s">
        <v>852</v>
      </c>
    </row>
    <row r="442" spans="2:4">
      <c r="B442" s="17"/>
    </row>
    <row r="443" spans="2:4">
      <c r="C443" t="s">
        <v>847</v>
      </c>
    </row>
    <row r="444" spans="2:4">
      <c r="C444" t="s">
        <v>848</v>
      </c>
    </row>
    <row r="445" spans="2:4">
      <c r="C445" t="s">
        <v>849</v>
      </c>
    </row>
    <row r="446" spans="2:4">
      <c r="B446" s="17" t="s">
        <v>854</v>
      </c>
    </row>
    <row r="447" spans="2:4">
      <c r="C447" t="s">
        <v>856</v>
      </c>
    </row>
    <row r="448" spans="2:4">
      <c r="C448" t="s">
        <v>855</v>
      </c>
    </row>
    <row r="449" spans="2:3">
      <c r="B449" s="17" t="s">
        <v>867</v>
      </c>
    </row>
    <row r="450" spans="2:3">
      <c r="B450" s="17"/>
      <c r="C450" t="s">
        <v>868</v>
      </c>
    </row>
    <row r="451" spans="2:3">
      <c r="B451" s="17" t="s">
        <v>866</v>
      </c>
      <c r="C451" t="s">
        <v>5</v>
      </c>
    </row>
    <row r="452" spans="2:3">
      <c r="C452" t="s">
        <v>870</v>
      </c>
    </row>
    <row r="453" spans="2:3">
      <c r="C453" t="s">
        <v>869</v>
      </c>
    </row>
    <row r="455" spans="2:3">
      <c r="B455" s="57" t="s">
        <v>881</v>
      </c>
    </row>
    <row r="457" spans="2:3">
      <c r="B457" t="s">
        <v>882</v>
      </c>
    </row>
    <row r="458" spans="2:3">
      <c r="B458" t="s">
        <v>876</v>
      </c>
    </row>
    <row r="459" spans="2:3">
      <c r="B459" t="s">
        <v>877</v>
      </c>
    </row>
    <row r="460" spans="2:3">
      <c r="C460" t="s">
        <v>878</v>
      </c>
    </row>
    <row r="461" spans="2:3">
      <c r="B461" t="s">
        <v>879</v>
      </c>
    </row>
    <row r="462" spans="2:3">
      <c r="C462" t="s">
        <v>880</v>
      </c>
    </row>
    <row r="463" spans="2:3">
      <c r="B463" t="s">
        <v>883</v>
      </c>
    </row>
    <row r="464" spans="2:3">
      <c r="B464" t="s">
        <v>239</v>
      </c>
    </row>
    <row r="465" spans="2:3">
      <c r="C465" t="s">
        <v>884</v>
      </c>
    </row>
    <row r="466" spans="2:3">
      <c r="C466" t="s">
        <v>885</v>
      </c>
    </row>
    <row r="467" spans="2:3">
      <c r="C467" t="s">
        <v>886</v>
      </c>
    </row>
    <row r="468" spans="2:3">
      <c r="B468" t="s">
        <v>230</v>
      </c>
    </row>
    <row r="469" spans="2:3">
      <c r="C469" t="s">
        <v>887</v>
      </c>
    </row>
    <row r="470" spans="2:3">
      <c r="C470" t="s">
        <v>888</v>
      </c>
    </row>
    <row r="471" spans="2:3">
      <c r="B471" t="s">
        <v>889</v>
      </c>
    </row>
    <row r="472" spans="2:3">
      <c r="C472" t="s">
        <v>890</v>
      </c>
    </row>
    <row r="473" spans="2:3">
      <c r="C473" t="s">
        <v>891</v>
      </c>
    </row>
    <row r="475" spans="2:3">
      <c r="B475" s="17" t="s">
        <v>363</v>
      </c>
    </row>
    <row r="477" spans="2:3">
      <c r="B477" t="s">
        <v>892</v>
      </c>
    </row>
    <row r="478" spans="2:3">
      <c r="C478" t="s">
        <v>893</v>
      </c>
    </row>
    <row r="479" spans="2:3">
      <c r="C479" t="s">
        <v>899</v>
      </c>
    </row>
    <row r="480" spans="2:3">
      <c r="C480" t="s">
        <v>896</v>
      </c>
    </row>
    <row r="481" spans="2:4">
      <c r="D481" t="s">
        <v>897</v>
      </c>
    </row>
    <row r="482" spans="2:4">
      <c r="D482" t="s">
        <v>898</v>
      </c>
    </row>
    <row r="483" spans="2:4">
      <c r="C483" t="s">
        <v>894</v>
      </c>
    </row>
    <row r="484" spans="2:4">
      <c r="C484" t="s">
        <v>895</v>
      </c>
    </row>
    <row r="486" spans="2:4">
      <c r="B486" t="s">
        <v>900</v>
      </c>
    </row>
    <row r="487" spans="2:4">
      <c r="B487" t="s">
        <v>901</v>
      </c>
    </row>
    <row r="488" spans="2:4">
      <c r="B488" t="s">
        <v>902</v>
      </c>
    </row>
    <row r="489" spans="2:4">
      <c r="C489" t="s">
        <v>903</v>
      </c>
    </row>
    <row r="490" spans="2:4">
      <c r="C490" t="s">
        <v>904</v>
      </c>
    </row>
    <row r="491" spans="2:4">
      <c r="C491" t="s">
        <v>905</v>
      </c>
    </row>
    <row r="492" spans="2:4">
      <c r="D492" t="s">
        <v>906</v>
      </c>
    </row>
    <row r="493" spans="2:4">
      <c r="C493" t="s">
        <v>907</v>
      </c>
    </row>
    <row r="494" spans="2:4">
      <c r="C494" t="s">
        <v>908</v>
      </c>
    </row>
    <row r="496" spans="2:4">
      <c r="C496" t="s">
        <v>934</v>
      </c>
    </row>
    <row r="497" spans="2:7">
      <c r="D497" t="s">
        <v>909</v>
      </c>
    </row>
    <row r="498" spans="2:7">
      <c r="C498" t="s">
        <v>910</v>
      </c>
    </row>
    <row r="500" spans="2:7">
      <c r="B500" s="59">
        <v>2017</v>
      </c>
    </row>
    <row r="501" spans="2:7">
      <c r="C501" t="s">
        <v>911</v>
      </c>
    </row>
    <row r="502" spans="2:7">
      <c r="C502" t="s">
        <v>912</v>
      </c>
    </row>
    <row r="503" spans="2:7">
      <c r="C503" t="s">
        <v>913</v>
      </c>
    </row>
    <row r="504" spans="2:7">
      <c r="D504" t="s">
        <v>914</v>
      </c>
    </row>
    <row r="505" spans="2:7">
      <c r="C505" t="s">
        <v>915</v>
      </c>
    </row>
    <row r="506" spans="2:7">
      <c r="C506" t="s">
        <v>916</v>
      </c>
    </row>
    <row r="508" spans="2:7">
      <c r="C508" t="s">
        <v>986</v>
      </c>
      <c r="G508" t="s">
        <v>917</v>
      </c>
    </row>
    <row r="509" spans="2:7">
      <c r="D509" t="s">
        <v>918</v>
      </c>
    </row>
    <row r="510" spans="2:7">
      <c r="D510" t="s">
        <v>987</v>
      </c>
    </row>
    <row r="511" spans="2:7">
      <c r="D511" t="s">
        <v>988</v>
      </c>
    </row>
    <row r="512" spans="2:7">
      <c r="D512" t="s">
        <v>989</v>
      </c>
    </row>
    <row r="513" spans="2:4">
      <c r="C513" t="s">
        <v>919</v>
      </c>
    </row>
    <row r="514" spans="2:4">
      <c r="D514" t="s">
        <v>920</v>
      </c>
    </row>
    <row r="515" spans="2:4">
      <c r="C515" t="s">
        <v>921</v>
      </c>
    </row>
    <row r="516" spans="2:4">
      <c r="C516" t="s">
        <v>922</v>
      </c>
    </row>
    <row r="518" spans="2:4">
      <c r="B518" t="s">
        <v>924</v>
      </c>
    </row>
    <row r="519" spans="2:4">
      <c r="C519" t="s">
        <v>923</v>
      </c>
    </row>
    <row r="520" spans="2:4">
      <c r="C520" t="s">
        <v>925</v>
      </c>
    </row>
    <row r="522" spans="2:4">
      <c r="B522" t="s">
        <v>926</v>
      </c>
    </row>
    <row r="524" spans="2:4">
      <c r="B524" t="s">
        <v>927</v>
      </c>
    </row>
    <row r="525" spans="2:4">
      <c r="C525" t="s">
        <v>928</v>
      </c>
    </row>
    <row r="526" spans="2:4">
      <c r="C526" t="s">
        <v>929</v>
      </c>
    </row>
    <row r="527" spans="2:4">
      <c r="C527" t="s">
        <v>930</v>
      </c>
      <c r="D527" t="s">
        <v>933</v>
      </c>
    </row>
    <row r="528" spans="2:4">
      <c r="C528" t="s">
        <v>930</v>
      </c>
      <c r="D528" t="s">
        <v>932</v>
      </c>
    </row>
    <row r="529" spans="2:5">
      <c r="C529" s="3" t="s">
        <v>931</v>
      </c>
      <c r="D529" s="3" t="s">
        <v>752</v>
      </c>
    </row>
    <row r="530" spans="2:5">
      <c r="C530" t="s">
        <v>935</v>
      </c>
      <c r="D530" t="s">
        <v>936</v>
      </c>
    </row>
    <row r="532" spans="2:5">
      <c r="B532" t="s">
        <v>937</v>
      </c>
    </row>
    <row r="533" spans="2:5">
      <c r="C533" t="s">
        <v>938</v>
      </c>
    </row>
    <row r="534" spans="2:5">
      <c r="C534" t="s">
        <v>939</v>
      </c>
    </row>
    <row r="535" spans="2:5">
      <c r="D535" t="s">
        <v>941</v>
      </c>
    </row>
    <row r="536" spans="2:5">
      <c r="C536" t="s">
        <v>940</v>
      </c>
    </row>
    <row r="538" spans="2:5">
      <c r="B538" t="s">
        <v>951</v>
      </c>
    </row>
    <row r="539" spans="2:5">
      <c r="C539" t="s">
        <v>942</v>
      </c>
      <c r="D539" t="s">
        <v>943</v>
      </c>
    </row>
    <row r="540" spans="2:5">
      <c r="C540" t="s">
        <v>944</v>
      </c>
      <c r="D540" t="s">
        <v>945</v>
      </c>
    </row>
    <row r="541" spans="2:5">
      <c r="C541" t="s">
        <v>667</v>
      </c>
      <c r="D541" t="s">
        <v>946</v>
      </c>
    </row>
    <row r="542" spans="2:5">
      <c r="D542" t="s">
        <v>947</v>
      </c>
    </row>
    <row r="543" spans="2:5">
      <c r="E543" t="s">
        <v>948</v>
      </c>
    </row>
    <row r="544" spans="2:5">
      <c r="D544" t="s">
        <v>949</v>
      </c>
    </row>
    <row r="545" spans="2:4">
      <c r="C545" t="s">
        <v>950</v>
      </c>
    </row>
    <row r="546" spans="2:4">
      <c r="C546" t="s">
        <v>752</v>
      </c>
      <c r="D546" t="s">
        <v>952</v>
      </c>
    </row>
    <row r="547" spans="2:4">
      <c r="D547" t="s">
        <v>992</v>
      </c>
    </row>
    <row r="548" spans="2:4">
      <c r="D548" t="s">
        <v>953</v>
      </c>
    </row>
    <row r="549" spans="2:4">
      <c r="C549" t="s">
        <v>623</v>
      </c>
      <c r="D549" t="s">
        <v>954</v>
      </c>
    </row>
    <row r="550" spans="2:4">
      <c r="C550" t="s">
        <v>955</v>
      </c>
    </row>
    <row r="552" spans="2:4">
      <c r="B552" t="s">
        <v>956</v>
      </c>
    </row>
    <row r="553" spans="2:4">
      <c r="C553" t="s">
        <v>957</v>
      </c>
    </row>
    <row r="554" spans="2:4">
      <c r="C554" t="s">
        <v>958</v>
      </c>
    </row>
    <row r="555" spans="2:4">
      <c r="C555" t="s">
        <v>959</v>
      </c>
    </row>
    <row r="557" spans="2:4">
      <c r="B557" t="s">
        <v>960</v>
      </c>
    </row>
    <row r="558" spans="2:4">
      <c r="C558" t="s">
        <v>961</v>
      </c>
    </row>
    <row r="559" spans="2:4">
      <c r="C559" t="s">
        <v>962</v>
      </c>
    </row>
    <row r="561" spans="2:5">
      <c r="B561" t="s">
        <v>963</v>
      </c>
    </row>
    <row r="562" spans="2:5">
      <c r="C562" t="s">
        <v>964</v>
      </c>
    </row>
    <row r="563" spans="2:5">
      <c r="C563" t="s">
        <v>968</v>
      </c>
    </row>
    <row r="564" spans="2:5">
      <c r="D564" t="s">
        <v>969</v>
      </c>
    </row>
    <row r="565" spans="2:5">
      <c r="D565" t="s">
        <v>965</v>
      </c>
    </row>
    <row r="566" spans="2:5">
      <c r="D566" t="s">
        <v>966</v>
      </c>
    </row>
    <row r="567" spans="2:5">
      <c r="E567" t="s">
        <v>967</v>
      </c>
    </row>
    <row r="568" spans="2:5">
      <c r="C568" t="s">
        <v>970</v>
      </c>
    </row>
    <row r="569" spans="2:5">
      <c r="D569" t="s">
        <v>971</v>
      </c>
    </row>
    <row r="571" spans="2:5">
      <c r="B571" t="s">
        <v>956</v>
      </c>
    </row>
    <row r="572" spans="2:5">
      <c r="C572" t="s">
        <v>972</v>
      </c>
    </row>
    <row r="573" spans="2:5">
      <c r="C573" t="s">
        <v>973</v>
      </c>
    </row>
    <row r="575" spans="2:5">
      <c r="B575" t="s">
        <v>974</v>
      </c>
    </row>
    <row r="576" spans="2:5">
      <c r="C576" t="s">
        <v>975</v>
      </c>
    </row>
    <row r="577" spans="2:4">
      <c r="D577" t="s">
        <v>976</v>
      </c>
    </row>
    <row r="578" spans="2:4">
      <c r="C578" t="s">
        <v>977</v>
      </c>
    </row>
    <row r="579" spans="2:4">
      <c r="D579" s="17" t="s">
        <v>981</v>
      </c>
    </row>
    <row r="580" spans="2:4">
      <c r="D580" t="s">
        <v>978</v>
      </c>
    </row>
    <row r="581" spans="2:4">
      <c r="D581" t="s">
        <v>979</v>
      </c>
    </row>
    <row r="582" spans="2:4">
      <c r="D582" t="s">
        <v>980</v>
      </c>
    </row>
    <row r="583" spans="2:4">
      <c r="D583" t="s">
        <v>747</v>
      </c>
    </row>
    <row r="585" spans="2:4">
      <c r="B585" t="s">
        <v>982</v>
      </c>
    </row>
    <row r="586" spans="2:4">
      <c r="C586" t="s">
        <v>983</v>
      </c>
    </row>
    <row r="587" spans="2:4">
      <c r="C587" t="s">
        <v>985</v>
      </c>
    </row>
    <row r="588" spans="2:4">
      <c r="C588" t="s">
        <v>984</v>
      </c>
    </row>
    <row r="590" spans="2:4">
      <c r="B590" t="s">
        <v>990</v>
      </c>
    </row>
    <row r="591" spans="2:4">
      <c r="C591" t="s">
        <v>991</v>
      </c>
    </row>
    <row r="593" spans="2:13">
      <c r="B593" t="s">
        <v>993</v>
      </c>
    </row>
    <row r="595" spans="2:13">
      <c r="B595" s="17" t="s">
        <v>995</v>
      </c>
    </row>
    <row r="596" spans="2:13">
      <c r="B596" t="s">
        <v>996</v>
      </c>
    </row>
    <row r="598" spans="2:13">
      <c r="B598" s="57" t="s">
        <v>1007</v>
      </c>
    </row>
    <row r="600" spans="2:13">
      <c r="B600" t="s">
        <v>1010</v>
      </c>
    </row>
    <row r="601" spans="2:13">
      <c r="B601" t="s">
        <v>1008</v>
      </c>
    </row>
    <row r="602" spans="2:13">
      <c r="C602" t="s">
        <v>1009</v>
      </c>
    </row>
    <row r="603" spans="2:13">
      <c r="E603" t="s">
        <v>1053</v>
      </c>
      <c r="K603" s="23">
        <f>J604/J608</f>
        <v>0.19636866005699177</v>
      </c>
    </row>
    <row r="604" spans="2:13">
      <c r="D604" t="s">
        <v>1054</v>
      </c>
      <c r="J604" s="25">
        <f>0.265*Quarts!AK52</f>
        <v>514.25024695725006</v>
      </c>
      <c r="K604" t="s">
        <v>1075</v>
      </c>
    </row>
    <row r="605" spans="2:13">
      <c r="C605" t="s">
        <v>1011</v>
      </c>
      <c r="J605" s="25">
        <f>J604*0.75</f>
        <v>385.68768521793754</v>
      </c>
      <c r="K605" t="s">
        <v>1076</v>
      </c>
    </row>
    <row r="606" spans="2:13">
      <c r="D606" s="60" t="s">
        <v>1012</v>
      </c>
      <c r="E606">
        <v>16.5</v>
      </c>
      <c r="J606" s="25">
        <f>J604-J605</f>
        <v>128.56256173931251</v>
      </c>
      <c r="K606" t="s">
        <v>1077</v>
      </c>
    </row>
    <row r="607" spans="2:13">
      <c r="C607" t="s">
        <v>1013</v>
      </c>
      <c r="K607" t="s">
        <v>1079</v>
      </c>
      <c r="L607" t="s">
        <v>1078</v>
      </c>
    </row>
    <row r="608" spans="2:13">
      <c r="J608" s="25">
        <f>Quarts!AK131</f>
        <v>2618.8000000000002</v>
      </c>
      <c r="K608" s="23">
        <f>J606/J608</f>
        <v>4.9092165014247943E-2</v>
      </c>
      <c r="L608" s="23">
        <f>J604*0.5/J608</f>
        <v>9.8184330028495886E-2</v>
      </c>
      <c r="M608" t="s">
        <v>1080</v>
      </c>
    </row>
    <row r="609" spans="2:13">
      <c r="C609" t="s">
        <v>623</v>
      </c>
      <c r="L609" s="26">
        <f>J604*0.5/Quarts!AK57</f>
        <v>6.0937344111535736E-2</v>
      </c>
      <c r="M609" t="s">
        <v>1081</v>
      </c>
    </row>
    <row r="610" spans="2:13">
      <c r="C610" t="s">
        <v>1014</v>
      </c>
    </row>
    <row r="611" spans="2:13">
      <c r="C611" t="s">
        <v>1021</v>
      </c>
    </row>
    <row r="612" spans="2:13">
      <c r="C612" t="s">
        <v>1022</v>
      </c>
    </row>
    <row r="613" spans="2:13">
      <c r="C613" t="s">
        <v>1023</v>
      </c>
    </row>
    <row r="615" spans="2:13">
      <c r="B615" t="s">
        <v>1016</v>
      </c>
    </row>
    <row r="616" spans="2:13">
      <c r="C616" t="s">
        <v>1015</v>
      </c>
    </row>
    <row r="617" spans="2:13">
      <c r="C617" t="s">
        <v>1017</v>
      </c>
    </row>
    <row r="618" spans="2:13">
      <c r="C618" t="s">
        <v>1018</v>
      </c>
    </row>
    <row r="619" spans="2:13">
      <c r="E619" t="s">
        <v>1020</v>
      </c>
    </row>
    <row r="620" spans="2:13">
      <c r="E620" t="s">
        <v>1019</v>
      </c>
    </row>
    <row r="621" spans="2:13">
      <c r="B621" t="s">
        <v>1024</v>
      </c>
    </row>
    <row r="623" spans="2:13">
      <c r="B623" t="s">
        <v>1025</v>
      </c>
    </row>
    <row r="624" spans="2:13">
      <c r="C624" t="s">
        <v>1026</v>
      </c>
    </row>
    <row r="626" spans="2:10">
      <c r="B626" s="59">
        <v>2016</v>
      </c>
    </row>
    <row r="627" spans="2:10">
      <c r="C627" t="s">
        <v>1027</v>
      </c>
    </row>
    <row r="628" spans="2:10">
      <c r="B628" s="59">
        <v>2017</v>
      </c>
      <c r="I628">
        <v>100</v>
      </c>
      <c r="J628">
        <f>I628*1.1</f>
        <v>110.00000000000001</v>
      </c>
    </row>
    <row r="629" spans="2:10">
      <c r="C629" t="s">
        <v>1028</v>
      </c>
      <c r="I629">
        <v>40</v>
      </c>
      <c r="J629">
        <f>I629*1.11</f>
        <v>44.400000000000006</v>
      </c>
    </row>
    <row r="630" spans="2:10">
      <c r="D630" t="s">
        <v>1036</v>
      </c>
    </row>
    <row r="631" spans="2:10">
      <c r="D631" t="s">
        <v>1034</v>
      </c>
      <c r="I631" s="26">
        <f>I629/I628</f>
        <v>0.4</v>
      </c>
      <c r="J631" s="26">
        <f>J629/J628</f>
        <v>0.40363636363636363</v>
      </c>
    </row>
    <row r="632" spans="2:10">
      <c r="E632" t="s">
        <v>1035</v>
      </c>
    </row>
    <row r="633" spans="2:10">
      <c r="E633" t="s">
        <v>1037</v>
      </c>
    </row>
    <row r="634" spans="2:10">
      <c r="E634" t="s">
        <v>1038</v>
      </c>
    </row>
    <row r="635" spans="2:10">
      <c r="E635" t="s">
        <v>1039</v>
      </c>
    </row>
    <row r="636" spans="2:10">
      <c r="F636" t="s">
        <v>1040</v>
      </c>
      <c r="H636" t="s">
        <v>1041</v>
      </c>
    </row>
    <row r="637" spans="2:10">
      <c r="F637" t="s">
        <v>1042</v>
      </c>
    </row>
    <row r="638" spans="2:10">
      <c r="C638" t="s">
        <v>1043</v>
      </c>
    </row>
    <row r="639" spans="2:10">
      <c r="C639" t="s">
        <v>1044</v>
      </c>
    </row>
    <row r="640" spans="2:10">
      <c r="D640" t="s">
        <v>1045</v>
      </c>
    </row>
    <row r="641" spans="2:7">
      <c r="D641" t="s">
        <v>1046</v>
      </c>
    </row>
    <row r="642" spans="2:7">
      <c r="C642" t="s">
        <v>1047</v>
      </c>
    </row>
    <row r="643" spans="2:7">
      <c r="D643" t="s">
        <v>1048</v>
      </c>
    </row>
    <row r="644" spans="2:7">
      <c r="E644" t="s">
        <v>1082</v>
      </c>
    </row>
    <row r="645" spans="2:7">
      <c r="E645" t="s">
        <v>1083</v>
      </c>
    </row>
    <row r="646" spans="2:7">
      <c r="D646" t="s">
        <v>1049</v>
      </c>
    </row>
    <row r="647" spans="2:7">
      <c r="C647" t="s">
        <v>1050</v>
      </c>
    </row>
    <row r="648" spans="2:7">
      <c r="C648" t="s">
        <v>1051</v>
      </c>
    </row>
    <row r="649" spans="2:7">
      <c r="D649" t="s">
        <v>1052</v>
      </c>
    </row>
    <row r="651" spans="2:7">
      <c r="B651" s="59">
        <v>2017</v>
      </c>
    </row>
    <row r="652" spans="2:7">
      <c r="C652" t="s">
        <v>1029</v>
      </c>
    </row>
    <row r="653" spans="2:7">
      <c r="D653" s="20" t="s">
        <v>1087</v>
      </c>
      <c r="E653" s="20" t="s">
        <v>1085</v>
      </c>
      <c r="F653" s="20" t="s">
        <v>1086</v>
      </c>
    </row>
    <row r="654" spans="2:7">
      <c r="B654" t="s">
        <v>232</v>
      </c>
      <c r="C654" s="3"/>
      <c r="D654" s="3">
        <v>2016</v>
      </c>
      <c r="E654" s="3">
        <v>2016</v>
      </c>
      <c r="F654" s="3">
        <v>2016</v>
      </c>
      <c r="G654" s="3">
        <v>2017</v>
      </c>
    </row>
    <row r="655" spans="2:7">
      <c r="C655" t="s">
        <v>752</v>
      </c>
      <c r="D655" s="23">
        <v>0.11</v>
      </c>
      <c r="E655" s="23">
        <v>0.09</v>
      </c>
      <c r="F655" s="23">
        <v>7.0000000000000007E-2</v>
      </c>
      <c r="G655" s="23">
        <v>0.08</v>
      </c>
    </row>
    <row r="656" spans="2:7">
      <c r="C656" t="s">
        <v>754</v>
      </c>
      <c r="E656" s="23">
        <v>0.22500000000000001</v>
      </c>
      <c r="F656" s="23">
        <v>0.2</v>
      </c>
      <c r="G656" s="23">
        <v>0.18</v>
      </c>
    </row>
    <row r="657" spans="2:7">
      <c r="C657" t="s">
        <v>933</v>
      </c>
      <c r="D657" s="23">
        <v>0.18</v>
      </c>
      <c r="E657" s="23">
        <v>0.255</v>
      </c>
      <c r="F657" s="23">
        <v>0.3</v>
      </c>
      <c r="G657" s="23">
        <v>0.24</v>
      </c>
    </row>
    <row r="659" spans="2:7">
      <c r="B659" t="s">
        <v>1030</v>
      </c>
    </row>
    <row r="660" spans="2:7">
      <c r="C660" t="s">
        <v>1031</v>
      </c>
    </row>
    <row r="661" spans="2:7">
      <c r="C661" t="s">
        <v>1032</v>
      </c>
    </row>
    <row r="662" spans="2:7">
      <c r="B662" t="s">
        <v>1033</v>
      </c>
    </row>
    <row r="664" spans="2:7">
      <c r="B664" t="s">
        <v>1055</v>
      </c>
    </row>
    <row r="665" spans="2:7">
      <c r="C665" t="s">
        <v>1056</v>
      </c>
    </row>
    <row r="666" spans="2:7">
      <c r="C666" t="s">
        <v>1057</v>
      </c>
    </row>
    <row r="667" spans="2:7">
      <c r="D667" t="s">
        <v>1058</v>
      </c>
    </row>
    <row r="668" spans="2:7">
      <c r="B668" t="s">
        <v>1059</v>
      </c>
    </row>
    <row r="669" spans="2:7">
      <c r="B669" t="s">
        <v>1060</v>
      </c>
    </row>
    <row r="671" spans="2:7">
      <c r="B671" t="s">
        <v>893</v>
      </c>
    </row>
    <row r="672" spans="2:7">
      <c r="C672" t="s">
        <v>1061</v>
      </c>
    </row>
    <row r="673" spans="2:5">
      <c r="C673" t="s">
        <v>1062</v>
      </c>
    </row>
    <row r="674" spans="2:5">
      <c r="C674" t="s">
        <v>1063</v>
      </c>
    </row>
    <row r="675" spans="2:5">
      <c r="C675" t="s">
        <v>1064</v>
      </c>
    </row>
    <row r="677" spans="2:5">
      <c r="B677" t="s">
        <v>718</v>
      </c>
    </row>
    <row r="678" spans="2:5">
      <c r="C678" t="s">
        <v>1065</v>
      </c>
    </row>
    <row r="679" spans="2:5">
      <c r="D679" t="s">
        <v>1067</v>
      </c>
    </row>
    <row r="680" spans="2:5">
      <c r="C680" t="s">
        <v>1066</v>
      </c>
    </row>
    <row r="681" spans="2:5">
      <c r="C681" t="s">
        <v>1068</v>
      </c>
    </row>
    <row r="683" spans="2:5">
      <c r="B683" t="s">
        <v>1069</v>
      </c>
    </row>
    <row r="684" spans="2:5">
      <c r="C684" t="s">
        <v>1070</v>
      </c>
      <c r="E684">
        <f>120*20</f>
        <v>2400</v>
      </c>
    </row>
    <row r="686" spans="2:5">
      <c r="B686" t="s">
        <v>1071</v>
      </c>
    </row>
    <row r="687" spans="2:5">
      <c r="C687" t="s">
        <v>1072</v>
      </c>
    </row>
    <row r="688" spans="2:5">
      <c r="C688" t="s">
        <v>1073</v>
      </c>
    </row>
    <row r="689" spans="2:4">
      <c r="C689" t="s">
        <v>1074</v>
      </c>
    </row>
    <row r="691" spans="2:4">
      <c r="B691" s="57" t="s">
        <v>1095</v>
      </c>
    </row>
    <row r="693" spans="2:4">
      <c r="B693" t="s">
        <v>1096</v>
      </c>
    </row>
    <row r="694" spans="2:4">
      <c r="B694" t="s">
        <v>1097</v>
      </c>
    </row>
    <row r="695" spans="2:4">
      <c r="C695" t="s">
        <v>1098</v>
      </c>
    </row>
    <row r="696" spans="2:4">
      <c r="B696" t="s">
        <v>1099</v>
      </c>
    </row>
    <row r="697" spans="2:4">
      <c r="C697" t="s">
        <v>1100</v>
      </c>
    </row>
    <row r="698" spans="2:4">
      <c r="C698" t="s">
        <v>1101</v>
      </c>
    </row>
    <row r="699" spans="2:4">
      <c r="C699" t="s">
        <v>1102</v>
      </c>
    </row>
    <row r="700" spans="2:4">
      <c r="B700" t="s">
        <v>1103</v>
      </c>
    </row>
    <row r="701" spans="2:4">
      <c r="C701" t="s">
        <v>1104</v>
      </c>
    </row>
    <row r="702" spans="2:4">
      <c r="C702" t="s">
        <v>1105</v>
      </c>
    </row>
    <row r="703" spans="2:4">
      <c r="D703" t="s">
        <v>1106</v>
      </c>
    </row>
    <row r="704" spans="2:4">
      <c r="C704" t="s">
        <v>1107</v>
      </c>
    </row>
    <row r="705" spans="2:4">
      <c r="D705" t="s">
        <v>1108</v>
      </c>
    </row>
    <row r="706" spans="2:4">
      <c r="B706" t="s">
        <v>1109</v>
      </c>
    </row>
    <row r="707" spans="2:4">
      <c r="C707" t="s">
        <v>1110</v>
      </c>
    </row>
    <row r="708" spans="2:4">
      <c r="B708" t="s">
        <v>1111</v>
      </c>
    </row>
    <row r="709" spans="2:4">
      <c r="C709" t="s">
        <v>1112</v>
      </c>
    </row>
    <row r="710" spans="2:4">
      <c r="C710" t="s">
        <v>1113</v>
      </c>
    </row>
    <row r="711" spans="2:4">
      <c r="D711" t="s">
        <v>1114</v>
      </c>
    </row>
    <row r="712" spans="2:4">
      <c r="C712" t="s">
        <v>1115</v>
      </c>
    </row>
    <row r="713" spans="2:4">
      <c r="B713" t="s">
        <v>608</v>
      </c>
    </row>
    <row r="714" spans="2:4">
      <c r="C714" t="s">
        <v>1116</v>
      </c>
    </row>
    <row r="715" spans="2:4">
      <c r="C715" t="s">
        <v>1117</v>
      </c>
    </row>
    <row r="716" spans="2:4">
      <c r="D716" t="s">
        <v>1118</v>
      </c>
    </row>
    <row r="717" spans="2:4">
      <c r="B717" t="s">
        <v>1119</v>
      </c>
    </row>
    <row r="718" spans="2:4">
      <c r="C718" t="s">
        <v>1123</v>
      </c>
    </row>
    <row r="719" spans="2:4">
      <c r="D719" t="s">
        <v>1124</v>
      </c>
    </row>
    <row r="720" spans="2:4">
      <c r="D720" t="s">
        <v>1120</v>
      </c>
    </row>
    <row r="721" spans="1:4">
      <c r="C721" t="s">
        <v>1121</v>
      </c>
    </row>
    <row r="722" spans="1:4">
      <c r="D722" t="s">
        <v>1122</v>
      </c>
    </row>
    <row r="723" spans="1:4">
      <c r="B723" t="s">
        <v>1125</v>
      </c>
    </row>
    <row r="724" spans="1:4">
      <c r="C724" t="s">
        <v>1126</v>
      </c>
    </row>
    <row r="725" spans="1:4">
      <c r="A725" t="s">
        <v>5</v>
      </c>
      <c r="C725" t="s">
        <v>1127</v>
      </c>
    </row>
    <row r="726" spans="1:4">
      <c r="B726" t="s">
        <v>1128</v>
      </c>
    </row>
    <row r="727" spans="1:4">
      <c r="C727" t="s">
        <v>1130</v>
      </c>
    </row>
    <row r="728" spans="1:4">
      <c r="D728" t="s">
        <v>1131</v>
      </c>
    </row>
    <row r="729" spans="1:4">
      <c r="D729" t="s">
        <v>1132</v>
      </c>
    </row>
    <row r="730" spans="1:4">
      <c r="C730" t="s">
        <v>1129</v>
      </c>
    </row>
    <row r="731" spans="1:4">
      <c r="D731" t="s">
        <v>1133</v>
      </c>
    </row>
    <row r="732" spans="1:4">
      <c r="B732" t="s">
        <v>1134</v>
      </c>
    </row>
    <row r="733" spans="1:4">
      <c r="C733" t="s">
        <v>1135</v>
      </c>
    </row>
    <row r="734" spans="1:4">
      <c r="C734" t="s">
        <v>1136</v>
      </c>
    </row>
    <row r="735" spans="1:4">
      <c r="B735" t="s">
        <v>1137</v>
      </c>
    </row>
    <row r="736" spans="1:4">
      <c r="C736" t="s">
        <v>1138</v>
      </c>
    </row>
    <row r="737" spans="2:3">
      <c r="B737" t="s">
        <v>1139</v>
      </c>
    </row>
    <row r="738" spans="2:3">
      <c r="B738" t="s">
        <v>1140</v>
      </c>
    </row>
    <row r="739" spans="2:3">
      <c r="C739" t="s">
        <v>1172</v>
      </c>
    </row>
    <row r="740" spans="2:3">
      <c r="C740" t="s">
        <v>1173</v>
      </c>
    </row>
    <row r="741" spans="2:3">
      <c r="C741" t="s">
        <v>1141</v>
      </c>
    </row>
    <row r="742" spans="2:3">
      <c r="C742" t="s">
        <v>1142</v>
      </c>
    </row>
    <row r="743" spans="2:3">
      <c r="C743" t="s">
        <v>1143</v>
      </c>
    </row>
    <row r="744" spans="2:3">
      <c r="B744" t="s">
        <v>1147</v>
      </c>
    </row>
    <row r="745" spans="2:3">
      <c r="C745" t="s">
        <v>1144</v>
      </c>
    </row>
    <row r="746" spans="2:3">
      <c r="C746" t="s">
        <v>1145</v>
      </c>
    </row>
    <row r="747" spans="2:3">
      <c r="C747" t="s">
        <v>1146</v>
      </c>
    </row>
    <row r="748" spans="2:3">
      <c r="B748" t="s">
        <v>1148</v>
      </c>
    </row>
    <row r="749" spans="2:3">
      <c r="B749" t="s">
        <v>1149</v>
      </c>
    </row>
    <row r="750" spans="2:3">
      <c r="C750" t="s">
        <v>1150</v>
      </c>
    </row>
    <row r="751" spans="2:3">
      <c r="B751" t="s">
        <v>1151</v>
      </c>
    </row>
    <row r="752" spans="2:3">
      <c r="C752" t="s">
        <v>1152</v>
      </c>
    </row>
    <row r="753" spans="2:4">
      <c r="B753" t="s">
        <v>1153</v>
      </c>
    </row>
    <row r="754" spans="2:4">
      <c r="C754" t="s">
        <v>1154</v>
      </c>
    </row>
    <row r="755" spans="2:4">
      <c r="C755" t="s">
        <v>1155</v>
      </c>
    </row>
    <row r="756" spans="2:4">
      <c r="B756" t="s">
        <v>148</v>
      </c>
    </row>
    <row r="757" spans="2:4">
      <c r="C757" t="s">
        <v>1156</v>
      </c>
    </row>
    <row r="758" spans="2:4">
      <c r="C758" t="s">
        <v>1157</v>
      </c>
    </row>
    <row r="759" spans="2:4">
      <c r="C759" t="s">
        <v>1158</v>
      </c>
    </row>
    <row r="760" spans="2:4">
      <c r="D760" t="s">
        <v>1159</v>
      </c>
    </row>
    <row r="761" spans="2:4">
      <c r="B761" t="s">
        <v>22</v>
      </c>
    </row>
    <row r="762" spans="2:4">
      <c r="C762" t="s">
        <v>1160</v>
      </c>
    </row>
    <row r="763" spans="2:4">
      <c r="C763" t="s">
        <v>1162</v>
      </c>
    </row>
    <row r="764" spans="2:4">
      <c r="C764" t="s">
        <v>1161</v>
      </c>
    </row>
    <row r="765" spans="2:4">
      <c r="C765" t="s">
        <v>1163</v>
      </c>
    </row>
    <row r="766" spans="2:4">
      <c r="B766" t="s">
        <v>1164</v>
      </c>
    </row>
    <row r="767" spans="2:4">
      <c r="C767" t="s">
        <v>1165</v>
      </c>
    </row>
    <row r="768" spans="2:4">
      <c r="C768" t="s">
        <v>1166</v>
      </c>
    </row>
    <row r="769" spans="2:4">
      <c r="D769" t="s">
        <v>1168</v>
      </c>
    </row>
    <row r="770" spans="2:4">
      <c r="D770" t="s">
        <v>1167</v>
      </c>
    </row>
    <row r="771" spans="2:4">
      <c r="C771" t="s">
        <v>1169</v>
      </c>
    </row>
    <row r="772" spans="2:4">
      <c r="D772" t="s">
        <v>1170</v>
      </c>
    </row>
    <row r="773" spans="2:4">
      <c r="C773" t="s">
        <v>1171</v>
      </c>
    </row>
    <row r="774" spans="2:4">
      <c r="B774" t="s">
        <v>1174</v>
      </c>
    </row>
    <row r="775" spans="2:4">
      <c r="C775" t="s">
        <v>1175</v>
      </c>
    </row>
    <row r="776" spans="2:4">
      <c r="B776" t="s">
        <v>1176</v>
      </c>
    </row>
    <row r="777" spans="2:4">
      <c r="C777" t="s">
        <v>1177</v>
      </c>
    </row>
    <row r="778" spans="2:4">
      <c r="C778" t="s">
        <v>1178</v>
      </c>
    </row>
    <row r="779" spans="2:4">
      <c r="B779" t="s">
        <v>1179</v>
      </c>
    </row>
    <row r="780" spans="2:4">
      <c r="B780" t="s">
        <v>893</v>
      </c>
    </row>
    <row r="781" spans="2:4">
      <c r="C781" t="s">
        <v>1180</v>
      </c>
    </row>
    <row r="782" spans="2:4">
      <c r="C782" t="s">
        <v>1181</v>
      </c>
    </row>
    <row r="783" spans="2:4">
      <c r="C783" t="s">
        <v>1182</v>
      </c>
    </row>
    <row r="784" spans="2:4">
      <c r="D784" t="s">
        <v>1183</v>
      </c>
    </row>
    <row r="785" spans="3:4">
      <c r="D785" t="s">
        <v>1184</v>
      </c>
    </row>
    <row r="786" spans="3:4">
      <c r="D786" t="s">
        <v>1185</v>
      </c>
    </row>
    <row r="787" spans="3:4">
      <c r="D787" t="s">
        <v>1186</v>
      </c>
    </row>
    <row r="788" spans="3:4">
      <c r="C788" t="s">
        <v>1187</v>
      </c>
    </row>
    <row r="789" spans="3:4">
      <c r="C789" s="17" t="s">
        <v>1188</v>
      </c>
    </row>
    <row r="790" spans="3:4">
      <c r="D790" t="s">
        <v>1189</v>
      </c>
    </row>
    <row r="791" spans="3:4">
      <c r="D791" t="s">
        <v>1190</v>
      </c>
    </row>
    <row r="792" spans="3:4">
      <c r="D792" t="s">
        <v>1191</v>
      </c>
    </row>
    <row r="793" spans="3:4">
      <c r="C793" t="s">
        <v>1192</v>
      </c>
    </row>
    <row r="794" spans="3:4">
      <c r="D794" t="s">
        <v>1193</v>
      </c>
    </row>
    <row r="795" spans="3:4">
      <c r="C795" t="s">
        <v>1194</v>
      </c>
    </row>
    <row r="796" spans="3:4">
      <c r="D796" t="s">
        <v>1195</v>
      </c>
    </row>
    <row r="797" spans="3:4">
      <c r="C797" t="s">
        <v>1196</v>
      </c>
    </row>
    <row r="798" spans="3:4">
      <c r="D798" t="s">
        <v>1197</v>
      </c>
    </row>
    <row r="799" spans="3:4">
      <c r="C799" t="s">
        <v>1198</v>
      </c>
    </row>
    <row r="800" spans="3:4">
      <c r="C800" t="s">
        <v>1199</v>
      </c>
    </row>
    <row r="801" spans="2:4">
      <c r="D801" t="s">
        <v>1202</v>
      </c>
    </row>
    <row r="802" spans="2:4">
      <c r="D802" t="s">
        <v>1201</v>
      </c>
    </row>
    <row r="803" spans="2:4">
      <c r="D803" t="s">
        <v>1200</v>
      </c>
    </row>
    <row r="804" spans="2:4">
      <c r="B804" t="s">
        <v>25</v>
      </c>
    </row>
    <row r="805" spans="2:4">
      <c r="C805" t="s">
        <v>1203</v>
      </c>
    </row>
    <row r="806" spans="2:4">
      <c r="D806" t="s">
        <v>1204</v>
      </c>
    </row>
    <row r="807" spans="2:4">
      <c r="D807" t="s">
        <v>1205</v>
      </c>
    </row>
    <row r="808" spans="2:4">
      <c r="D808" t="s">
        <v>1206</v>
      </c>
    </row>
    <row r="809" spans="2:4">
      <c r="B809" t="s">
        <v>1207</v>
      </c>
    </row>
    <row r="810" spans="2:4">
      <c r="C810" t="s">
        <v>1208</v>
      </c>
    </row>
    <row r="811" spans="2:4">
      <c r="C811" t="s">
        <v>1209</v>
      </c>
    </row>
    <row r="812" spans="2:4">
      <c r="B812" t="s">
        <v>14</v>
      </c>
    </row>
    <row r="813" spans="2:4">
      <c r="C813" t="s">
        <v>1210</v>
      </c>
    </row>
    <row r="814" spans="2:4">
      <c r="C814" t="s">
        <v>1211</v>
      </c>
    </row>
    <row r="818" spans="2:8">
      <c r="B818" s="69">
        <v>2017</v>
      </c>
      <c r="C818" s="3" t="s">
        <v>620</v>
      </c>
      <c r="D818" s="21" t="s">
        <v>1232</v>
      </c>
    </row>
    <row r="819" spans="2:8">
      <c r="B819" t="s">
        <v>1229</v>
      </c>
      <c r="C819" s="27">
        <v>19</v>
      </c>
      <c r="D819" s="24">
        <f>Master!Q7/1000</f>
        <v>17.286999999999999</v>
      </c>
    </row>
    <row r="820" spans="2:8">
      <c r="B820" t="s">
        <v>1228</v>
      </c>
      <c r="C820" s="23">
        <v>0.13</v>
      </c>
    </row>
    <row r="821" spans="2:8">
      <c r="B821" t="s">
        <v>1231</v>
      </c>
      <c r="C821" s="27">
        <v>8</v>
      </c>
      <c r="D821" s="24">
        <f>Master!Q12/1000</f>
        <v>7.7149999999999999</v>
      </c>
    </row>
    <row r="822" spans="2:8">
      <c r="B822" t="s">
        <v>1228</v>
      </c>
      <c r="C822" s="23">
        <v>0.16</v>
      </c>
    </row>
    <row r="823" spans="2:8">
      <c r="B823" t="s">
        <v>667</v>
      </c>
      <c r="C823" s="23">
        <v>0.42</v>
      </c>
      <c r="D823" s="26">
        <f>D821/D819</f>
        <v>0.44628911899114942</v>
      </c>
    </row>
    <row r="824" spans="2:8">
      <c r="B824" t="s">
        <v>1230</v>
      </c>
      <c r="C824">
        <v>240</v>
      </c>
      <c r="D824" s="25">
        <f>Master!Q47</f>
        <v>253.62162162162161</v>
      </c>
    </row>
    <row r="826" spans="2:8">
      <c r="B826" s="59">
        <v>2017</v>
      </c>
      <c r="C826" s="20" t="s">
        <v>620</v>
      </c>
      <c r="D826" s="20"/>
      <c r="E826" s="20" t="s">
        <v>1232</v>
      </c>
      <c r="F826" s="20"/>
      <c r="G826" s="20" t="s">
        <v>1233</v>
      </c>
    </row>
    <row r="827" spans="2:8">
      <c r="B827" s="3" t="s">
        <v>229</v>
      </c>
      <c r="C827" s="21" t="s">
        <v>1227</v>
      </c>
      <c r="D827" s="21" t="s">
        <v>304</v>
      </c>
      <c r="E827" s="21" t="str">
        <f>C827</f>
        <v>growth</v>
      </c>
      <c r="F827" s="21" t="str">
        <f>D827</f>
        <v>adds</v>
      </c>
      <c r="G827" s="21" t="s">
        <v>1234</v>
      </c>
    </row>
    <row r="828" spans="2:8">
      <c r="B828" t="s">
        <v>752</v>
      </c>
      <c r="C828" s="23">
        <v>0.05</v>
      </c>
      <c r="D828" s="25">
        <f>(1+C828)*Quarts!AL11-Quarts!AL11</f>
        <v>148.55999999999995</v>
      </c>
      <c r="E828" s="23">
        <f>Fixed!L14</f>
        <v>2.322450353416361E-2</v>
      </c>
      <c r="F828" s="22">
        <f>Fixed!L13</f>
        <v>69</v>
      </c>
      <c r="G828" s="23">
        <f>Quarts!AM12/Notes!D828</f>
        <v>-0.42545772751749933</v>
      </c>
    </row>
    <row r="829" spans="2:8">
      <c r="B829" t="s">
        <v>754</v>
      </c>
      <c r="C829" s="23">
        <f>G656</f>
        <v>0.18</v>
      </c>
      <c r="D829" s="25">
        <f>(1+C829)*Quarts!AL18-Quarts!AL18</f>
        <v>400.96799999999985</v>
      </c>
      <c r="E829" s="23">
        <f>Fixed!L25</f>
        <v>0</v>
      </c>
      <c r="F829" s="22">
        <f>Fixed!L22</f>
        <v>397</v>
      </c>
      <c r="G829" s="23">
        <f>Quarts!AM19/Notes!D829</f>
        <v>0.1890200714271468</v>
      </c>
    </row>
    <row r="830" spans="2:8">
      <c r="B830" t="s">
        <v>197</v>
      </c>
      <c r="C830" s="23">
        <v>0.2</v>
      </c>
      <c r="D830" s="25">
        <f>(1+C830)*Quarts!AL23-Quarts!AL23</f>
        <v>235.20000000000005</v>
      </c>
      <c r="E830" s="23">
        <f>Fixed!L32</f>
        <v>0.24744897959183665</v>
      </c>
      <c r="F830" s="22">
        <f>Fixed!L31</f>
        <v>291</v>
      </c>
      <c r="G830" s="23">
        <f>Quarts!AM24/Notes!D830</f>
        <v>9.7704081632653123E-2</v>
      </c>
    </row>
    <row r="832" spans="2:8">
      <c r="B832" s="57" t="s">
        <v>1093</v>
      </c>
      <c r="H832" s="17" t="s">
        <v>363</v>
      </c>
    </row>
    <row r="834" spans="2:8">
      <c r="B834" t="s">
        <v>1235</v>
      </c>
      <c r="H834" t="s">
        <v>1241</v>
      </c>
    </row>
    <row r="835" spans="2:8">
      <c r="B835" t="s">
        <v>1236</v>
      </c>
      <c r="C835" t="s">
        <v>1237</v>
      </c>
      <c r="H835" t="s">
        <v>1242</v>
      </c>
    </row>
    <row r="837" spans="2:8">
      <c r="B837" t="s">
        <v>1238</v>
      </c>
    </row>
    <row r="838" spans="2:8">
      <c r="B838" t="s">
        <v>1239</v>
      </c>
    </row>
    <row r="839" spans="2:8">
      <c r="B839" t="s">
        <v>1240</v>
      </c>
    </row>
    <row r="841" spans="2:8">
      <c r="B841" t="s">
        <v>1243</v>
      </c>
    </row>
    <row r="842" spans="2:8">
      <c r="C842" t="s">
        <v>1244</v>
      </c>
    </row>
    <row r="843" spans="2:8">
      <c r="B843" t="s">
        <v>1245</v>
      </c>
    </row>
    <row r="844" spans="2:8">
      <c r="C844" t="s">
        <v>1246</v>
      </c>
    </row>
    <row r="845" spans="2:8">
      <c r="C845" t="s">
        <v>1247</v>
      </c>
    </row>
    <row r="846" spans="2:8">
      <c r="B846" t="s">
        <v>1248</v>
      </c>
    </row>
    <row r="847" spans="2:8">
      <c r="B847" t="s">
        <v>1249</v>
      </c>
    </row>
    <row r="849" spans="2:4">
      <c r="B849" t="s">
        <v>1250</v>
      </c>
    </row>
    <row r="850" spans="2:4">
      <c r="C850" t="s">
        <v>1251</v>
      </c>
    </row>
    <row r="851" spans="2:4">
      <c r="D851" t="s">
        <v>1257</v>
      </c>
    </row>
    <row r="852" spans="2:4">
      <c r="D852" t="s">
        <v>1253</v>
      </c>
    </row>
    <row r="853" spans="2:4">
      <c r="D853" t="s">
        <v>1254</v>
      </c>
    </row>
    <row r="854" spans="2:4">
      <c r="D854" t="s">
        <v>1255</v>
      </c>
    </row>
    <row r="855" spans="2:4">
      <c r="C855" t="s">
        <v>1252</v>
      </c>
    </row>
    <row r="856" spans="2:4">
      <c r="C856" t="s">
        <v>1256</v>
      </c>
    </row>
    <row r="858" spans="2:4">
      <c r="B858" s="57" t="s">
        <v>363</v>
      </c>
    </row>
    <row r="860" spans="2:4">
      <c r="B860" t="s">
        <v>1258</v>
      </c>
    </row>
    <row r="861" spans="2:4">
      <c r="C861" t="s">
        <v>1259</v>
      </c>
    </row>
    <row r="862" spans="2:4">
      <c r="C862" t="s">
        <v>1260</v>
      </c>
    </row>
    <row r="863" spans="2:4">
      <c r="D863" t="s">
        <v>1261</v>
      </c>
    </row>
    <row r="864" spans="2:4">
      <c r="D864" t="s">
        <v>1262</v>
      </c>
    </row>
    <row r="865" spans="2:4">
      <c r="C865" t="s">
        <v>1299</v>
      </c>
    </row>
    <row r="867" spans="2:4">
      <c r="B867" t="s">
        <v>1263</v>
      </c>
    </row>
    <row r="868" spans="2:4">
      <c r="C868" t="s">
        <v>1264</v>
      </c>
    </row>
    <row r="870" spans="2:4">
      <c r="B870" t="s">
        <v>1265</v>
      </c>
    </row>
    <row r="871" spans="2:4">
      <c r="C871" t="s">
        <v>1266</v>
      </c>
    </row>
    <row r="872" spans="2:4">
      <c r="C872" t="s">
        <v>1267</v>
      </c>
    </row>
    <row r="873" spans="2:4">
      <c r="C873" t="s">
        <v>1268</v>
      </c>
    </row>
    <row r="874" spans="2:4">
      <c r="C874" t="s">
        <v>1269</v>
      </c>
    </row>
    <row r="875" spans="2:4">
      <c r="C875" t="s">
        <v>1270</v>
      </c>
    </row>
    <row r="876" spans="2:4">
      <c r="D876" t="s">
        <v>1271</v>
      </c>
    </row>
    <row r="877" spans="2:4">
      <c r="B877" t="s">
        <v>22</v>
      </c>
    </row>
    <row r="878" spans="2:4">
      <c r="C878" t="s">
        <v>1272</v>
      </c>
    </row>
    <row r="879" spans="2:4">
      <c r="C879" t="s">
        <v>1273</v>
      </c>
    </row>
    <row r="881" spans="2:3">
      <c r="B881" t="s">
        <v>1274</v>
      </c>
    </row>
    <row r="882" spans="2:3">
      <c r="C882" t="s">
        <v>1275</v>
      </c>
    </row>
    <row r="883" spans="2:3">
      <c r="C883" t="s">
        <v>1276</v>
      </c>
    </row>
    <row r="885" spans="2:3">
      <c r="B885" t="s">
        <v>1277</v>
      </c>
    </row>
    <row r="886" spans="2:3">
      <c r="C886" t="s">
        <v>1278</v>
      </c>
    </row>
    <row r="888" spans="2:3">
      <c r="B888" t="s">
        <v>1279</v>
      </c>
    </row>
    <row r="889" spans="2:3">
      <c r="C889" t="s">
        <v>789</v>
      </c>
    </row>
    <row r="890" spans="2:3">
      <c r="C890" t="s">
        <v>1280</v>
      </c>
    </row>
    <row r="892" spans="2:3">
      <c r="B892" t="s">
        <v>1281</v>
      </c>
    </row>
    <row r="893" spans="2:3">
      <c r="C893" t="s">
        <v>1282</v>
      </c>
    </row>
    <row r="894" spans="2:3">
      <c r="C894" t="s">
        <v>1283</v>
      </c>
    </row>
    <row r="896" spans="2:3">
      <c r="B896" t="s">
        <v>1284</v>
      </c>
    </row>
    <row r="897" spans="2:5">
      <c r="C897" t="s">
        <v>1285</v>
      </c>
    </row>
    <row r="899" spans="2:5">
      <c r="B899" t="s">
        <v>1286</v>
      </c>
    </row>
    <row r="900" spans="2:5">
      <c r="C900" t="s">
        <v>1287</v>
      </c>
    </row>
    <row r="901" spans="2:5">
      <c r="D901" t="s">
        <v>1288</v>
      </c>
    </row>
    <row r="902" spans="2:5">
      <c r="C902" t="s">
        <v>1289</v>
      </c>
    </row>
    <row r="903" spans="2:5">
      <c r="C903" t="s">
        <v>1290</v>
      </c>
    </row>
    <row r="905" spans="2:5">
      <c r="C905" t="s">
        <v>532</v>
      </c>
      <c r="D905" t="s">
        <v>1291</v>
      </c>
    </row>
    <row r="907" spans="2:5">
      <c r="B907" t="s">
        <v>620</v>
      </c>
    </row>
    <row r="908" spans="2:5">
      <c r="D908" t="s">
        <v>232</v>
      </c>
      <c r="E908" t="s">
        <v>230</v>
      </c>
    </row>
    <row r="909" spans="2:5">
      <c r="C909" t="s">
        <v>231</v>
      </c>
      <c r="D909" s="23">
        <v>0.05</v>
      </c>
      <c r="E909" t="s">
        <v>1292</v>
      </c>
    </row>
    <row r="910" spans="2:5">
      <c r="C910" t="s">
        <v>754</v>
      </c>
      <c r="D910" s="20" t="s">
        <v>755</v>
      </c>
      <c r="E910" t="s">
        <v>1292</v>
      </c>
    </row>
    <row r="911" spans="2:5">
      <c r="C911" t="s">
        <v>197</v>
      </c>
      <c r="D911" s="20" t="s">
        <v>1293</v>
      </c>
      <c r="E911" t="s">
        <v>1292</v>
      </c>
    </row>
    <row r="912" spans="2:5">
      <c r="C912" t="s">
        <v>1294</v>
      </c>
      <c r="D912" s="20"/>
      <c r="E912" t="s">
        <v>1295</v>
      </c>
    </row>
    <row r="913" spans="2:3">
      <c r="C913" t="s">
        <v>1296</v>
      </c>
    </row>
    <row r="914" spans="2:3">
      <c r="B914" t="s">
        <v>411</v>
      </c>
      <c r="C914" t="s">
        <v>1297</v>
      </c>
    </row>
    <row r="915" spans="2:3">
      <c r="B915" t="s">
        <v>16</v>
      </c>
      <c r="C915" t="s">
        <v>1298</v>
      </c>
    </row>
    <row r="916" spans="2:3">
      <c r="C916">
        <f>1.12*Master!P12</f>
        <v>7744.8000000000011</v>
      </c>
    </row>
    <row r="918" spans="2:3">
      <c r="B918" s="17" t="s">
        <v>1301</v>
      </c>
    </row>
    <row r="920" spans="2:3">
      <c r="B920" t="s">
        <v>1302</v>
      </c>
    </row>
    <row r="921" spans="2:3">
      <c r="B921" t="s">
        <v>1304</v>
      </c>
    </row>
    <row r="922" spans="2:3">
      <c r="B922" t="s">
        <v>1303</v>
      </c>
    </row>
    <row r="923" spans="2:3">
      <c r="B923" t="s">
        <v>1305</v>
      </c>
    </row>
    <row r="924" spans="2:3">
      <c r="B924" t="s">
        <v>1306</v>
      </c>
    </row>
    <row r="926" spans="2:3">
      <c r="B926" t="s">
        <v>1307</v>
      </c>
    </row>
    <row r="928" spans="2:3">
      <c r="B928" s="17" t="s">
        <v>363</v>
      </c>
    </row>
    <row r="929" spans="2:4">
      <c r="B929" t="s">
        <v>1308</v>
      </c>
    </row>
    <row r="930" spans="2:4">
      <c r="C930" t="s">
        <v>1309</v>
      </c>
    </row>
    <row r="931" spans="2:4">
      <c r="C931" t="s">
        <v>1322</v>
      </c>
    </row>
    <row r="933" spans="2:4">
      <c r="B933" t="s">
        <v>816</v>
      </c>
    </row>
    <row r="934" spans="2:4">
      <c r="B934" t="s">
        <v>1310</v>
      </c>
      <c r="C934" s="20" t="s">
        <v>1323</v>
      </c>
    </row>
    <row r="936" spans="2:4">
      <c r="B936" t="s">
        <v>1324</v>
      </c>
      <c r="C936" s="70"/>
    </row>
    <row r="939" spans="2:4">
      <c r="B939" s="3" t="s">
        <v>1321</v>
      </c>
      <c r="C939" s="21" t="s">
        <v>1311</v>
      </c>
      <c r="D939" s="21" t="s">
        <v>944</v>
      </c>
    </row>
    <row r="940" spans="2:4">
      <c r="B940" t="s">
        <v>1317</v>
      </c>
      <c r="C940" s="20" t="s">
        <v>1318</v>
      </c>
    </row>
    <row r="941" spans="2:4">
      <c r="B941" t="s">
        <v>1312</v>
      </c>
      <c r="C941" s="23">
        <v>0.5</v>
      </c>
    </row>
    <row r="942" spans="2:4">
      <c r="B942" s="3" t="s">
        <v>1313</v>
      </c>
      <c r="C942" s="71">
        <v>0.2</v>
      </c>
      <c r="D942" s="3"/>
    </row>
    <row r="943" spans="2:4">
      <c r="B943" t="s">
        <v>21</v>
      </c>
      <c r="C943" s="20" t="s">
        <v>1314</v>
      </c>
      <c r="D943" s="20" t="s">
        <v>1315</v>
      </c>
    </row>
    <row r="944" spans="2:4">
      <c r="B944" t="s">
        <v>1316</v>
      </c>
    </row>
    <row r="946" spans="2:4">
      <c r="B946" t="s">
        <v>1330</v>
      </c>
      <c r="C946" s="20" t="s">
        <v>1319</v>
      </c>
    </row>
    <row r="947" spans="2:4">
      <c r="C947" t="s">
        <v>1320</v>
      </c>
    </row>
    <row r="948" spans="2:4">
      <c r="B948" t="s">
        <v>1337</v>
      </c>
    </row>
    <row r="949" spans="2:4">
      <c r="C949" t="s">
        <v>1338</v>
      </c>
    </row>
    <row r="950" spans="2:4">
      <c r="C950" t="s">
        <v>1339</v>
      </c>
    </row>
    <row r="952" spans="2:4">
      <c r="B952" t="s">
        <v>893</v>
      </c>
    </row>
    <row r="953" spans="2:4">
      <c r="C953" t="s">
        <v>1325</v>
      </c>
    </row>
    <row r="954" spans="2:4">
      <c r="C954" t="s">
        <v>1326</v>
      </c>
    </row>
    <row r="955" spans="2:4">
      <c r="C955" t="s">
        <v>1327</v>
      </c>
    </row>
    <row r="956" spans="2:4">
      <c r="D956" t="s">
        <v>1328</v>
      </c>
    </row>
    <row r="957" spans="2:4">
      <c r="D957" t="s">
        <v>1331</v>
      </c>
    </row>
    <row r="958" spans="2:4">
      <c r="C958" t="s">
        <v>1329</v>
      </c>
    </row>
    <row r="960" spans="2:4">
      <c r="B960" t="s">
        <v>1332</v>
      </c>
      <c r="C960" t="s">
        <v>1333</v>
      </c>
    </row>
    <row r="962" spans="2:5">
      <c r="B962" t="s">
        <v>14</v>
      </c>
    </row>
    <row r="963" spans="2:5">
      <c r="C963" t="s">
        <v>1334</v>
      </c>
    </row>
    <row r="964" spans="2:5">
      <c r="C964" t="s">
        <v>1335</v>
      </c>
    </row>
    <row r="965" spans="2:5">
      <c r="C965" t="s">
        <v>1336</v>
      </c>
    </row>
    <row r="967" spans="2:5">
      <c r="B967" t="s">
        <v>1340</v>
      </c>
    </row>
    <row r="968" spans="2:5">
      <c r="C968" t="s">
        <v>1341</v>
      </c>
    </row>
    <row r="969" spans="2:5">
      <c r="C969" t="s">
        <v>1342</v>
      </c>
    </row>
    <row r="970" spans="2:5">
      <c r="C970" t="s">
        <v>1343</v>
      </c>
    </row>
    <row r="972" spans="2:5">
      <c r="B972" t="s">
        <v>1346</v>
      </c>
    </row>
    <row r="973" spans="2:5">
      <c r="C973" t="s">
        <v>1344</v>
      </c>
    </row>
    <row r="974" spans="2:5">
      <c r="C974" t="s">
        <v>1345</v>
      </c>
    </row>
    <row r="975" spans="2:5">
      <c r="C975" t="s">
        <v>1347</v>
      </c>
      <c r="E975">
        <v>20</v>
      </c>
    </row>
    <row r="976" spans="2:5">
      <c r="C976" t="s">
        <v>1348</v>
      </c>
      <c r="E976" s="72" t="s">
        <v>1349</v>
      </c>
    </row>
    <row r="978" spans="2:3">
      <c r="B978" t="s">
        <v>1350</v>
      </c>
    </row>
    <row r="979" spans="2:3">
      <c r="C979" t="s">
        <v>1351</v>
      </c>
    </row>
    <row r="980" spans="2:3">
      <c r="C980" t="s">
        <v>1352</v>
      </c>
    </row>
    <row r="981" spans="2:3">
      <c r="C981" t="s">
        <v>1353</v>
      </c>
    </row>
    <row r="982" spans="2:3">
      <c r="C982" t="s">
        <v>1354</v>
      </c>
    </row>
    <row r="983" spans="2:3">
      <c r="C983" t="s">
        <v>1355</v>
      </c>
    </row>
    <row r="985" spans="2:3">
      <c r="B985" t="s">
        <v>1356</v>
      </c>
    </row>
    <row r="986" spans="2:3">
      <c r="C986" t="s">
        <v>1358</v>
      </c>
    </row>
    <row r="987" spans="2:3">
      <c r="C987" t="s">
        <v>1357</v>
      </c>
    </row>
    <row r="988" spans="2:3">
      <c r="C988" t="s">
        <v>1359</v>
      </c>
    </row>
    <row r="989" spans="2:3">
      <c r="C989" t="s">
        <v>1360</v>
      </c>
    </row>
    <row r="990" spans="2:3">
      <c r="C990" t="s">
        <v>1364</v>
      </c>
    </row>
    <row r="992" spans="2:3">
      <c r="B992" t="s">
        <v>1361</v>
      </c>
    </row>
    <row r="993" spans="2:4">
      <c r="C993" t="s">
        <v>1362</v>
      </c>
    </row>
    <row r="994" spans="2:4">
      <c r="C994" t="s">
        <v>1363</v>
      </c>
    </row>
    <row r="996" spans="2:4">
      <c r="B996" s="57" t="s">
        <v>1382</v>
      </c>
    </row>
    <row r="998" spans="2:4">
      <c r="B998" s="54" t="s">
        <v>1387</v>
      </c>
    </row>
    <row r="999" spans="2:4">
      <c r="B999" t="s">
        <v>1388</v>
      </c>
    </row>
    <row r="1000" spans="2:4">
      <c r="B1000" t="s">
        <v>1389</v>
      </c>
    </row>
    <row r="1002" spans="2:4">
      <c r="B1002" s="17" t="s">
        <v>232</v>
      </c>
      <c r="C1002" t="s">
        <v>620</v>
      </c>
      <c r="D1002" t="s">
        <v>1232</v>
      </c>
    </row>
    <row r="1003" spans="2:4">
      <c r="B1003" t="s">
        <v>350</v>
      </c>
      <c r="C1003" t="s">
        <v>1383</v>
      </c>
    </row>
    <row r="1004" spans="2:4">
      <c r="B1004" t="s">
        <v>754</v>
      </c>
      <c r="C1004" t="s">
        <v>1384</v>
      </c>
    </row>
    <row r="1005" spans="2:4">
      <c r="B1005" s="3" t="s">
        <v>1219</v>
      </c>
      <c r="C1005" s="3" t="s">
        <v>1385</v>
      </c>
    </row>
    <row r="1006" spans="2:4">
      <c r="B1006" t="s">
        <v>192</v>
      </c>
      <c r="C1006" t="s">
        <v>1386</v>
      </c>
    </row>
    <row r="1008" spans="2:4">
      <c r="B1008" t="s">
        <v>411</v>
      </c>
      <c r="C1008" t="s">
        <v>1390</v>
      </c>
      <c r="D1008" s="23">
        <f>Master!S8</f>
        <v>0.11154558551142202</v>
      </c>
    </row>
    <row r="1009" spans="2:4">
      <c r="B1009" t="s">
        <v>16</v>
      </c>
      <c r="C1009" t="s">
        <v>1391</v>
      </c>
      <c r="D1009" s="23">
        <f>Master!S14</f>
        <v>8.7086765807210975E-2</v>
      </c>
    </row>
    <row r="1010" spans="2:4">
      <c r="C1010" t="s">
        <v>1392</v>
      </c>
    </row>
    <row r="1011" spans="2:4">
      <c r="B1011" t="s">
        <v>22</v>
      </c>
      <c r="C1011" t="s">
        <v>1393</v>
      </c>
    </row>
    <row r="1012" spans="2:4">
      <c r="C1012" t="s">
        <v>1411</v>
      </c>
    </row>
    <row r="1013" spans="2:4">
      <c r="D1013" t="s">
        <v>1408</v>
      </c>
    </row>
    <row r="1014" spans="2:4">
      <c r="D1014" t="s">
        <v>1409</v>
      </c>
    </row>
    <row r="1015" spans="2:4">
      <c r="D1015" t="s">
        <v>1410</v>
      </c>
    </row>
    <row r="1017" spans="2:4">
      <c r="C1017" t="s">
        <v>1394</v>
      </c>
    </row>
    <row r="1018" spans="2:4">
      <c r="C1018" t="s">
        <v>1395</v>
      </c>
    </row>
    <row r="1019" spans="2:4">
      <c r="B1019" t="s">
        <v>1396</v>
      </c>
      <c r="C1019" t="s">
        <v>1397</v>
      </c>
    </row>
    <row r="1020" spans="2:4">
      <c r="C1020" t="s">
        <v>1398</v>
      </c>
    </row>
    <row r="1021" spans="2:4">
      <c r="C1021" t="s">
        <v>1399</v>
      </c>
    </row>
    <row r="1023" spans="2:4">
      <c r="C1023" s="17" t="s">
        <v>1402</v>
      </c>
    </row>
    <row r="1024" spans="2:4">
      <c r="B1024" t="s">
        <v>532</v>
      </c>
      <c r="C1024" t="s">
        <v>1400</v>
      </c>
    </row>
    <row r="1025" spans="2:4">
      <c r="B1025" t="s">
        <v>1332</v>
      </c>
      <c r="C1025" s="74">
        <v>0.2</v>
      </c>
    </row>
    <row r="1026" spans="2:4">
      <c r="B1026" t="s">
        <v>1401</v>
      </c>
      <c r="C1026" s="74">
        <v>0.2</v>
      </c>
    </row>
    <row r="1028" spans="2:4">
      <c r="B1028" t="s">
        <v>1403</v>
      </c>
    </row>
    <row r="1030" spans="2:4">
      <c r="B1030" t="s">
        <v>1404</v>
      </c>
    </row>
    <row r="1032" spans="2:4">
      <c r="B1032" t="s">
        <v>1405</v>
      </c>
    </row>
    <row r="1033" spans="2:4">
      <c r="C1033" t="s">
        <v>1406</v>
      </c>
    </row>
    <row r="1034" spans="2:4">
      <c r="D1034" t="s">
        <v>1407</v>
      </c>
    </row>
    <row r="1035" spans="2:4">
      <c r="B1035" t="s">
        <v>1412</v>
      </c>
    </row>
    <row r="1036" spans="2:4">
      <c r="C1036" t="s">
        <v>1413</v>
      </c>
    </row>
    <row r="1037" spans="2:4">
      <c r="B1037" t="s">
        <v>1414</v>
      </c>
    </row>
    <row r="1038" spans="2:4">
      <c r="C1038" t="s">
        <v>1415</v>
      </c>
    </row>
    <row r="1040" spans="2:4">
      <c r="B1040" t="s">
        <v>823</v>
      </c>
    </row>
    <row r="1041" spans="2:4">
      <c r="C1041" t="s">
        <v>1416</v>
      </c>
    </row>
    <row r="1042" spans="2:4">
      <c r="C1042" t="s">
        <v>1417</v>
      </c>
    </row>
    <row r="1043" spans="2:4">
      <c r="D1043" t="s">
        <v>1418</v>
      </c>
    </row>
    <row r="1044" spans="2:4">
      <c r="B1044" t="s">
        <v>1419</v>
      </c>
    </row>
    <row r="1045" spans="2:4">
      <c r="C1045" t="s">
        <v>1420</v>
      </c>
    </row>
    <row r="1046" spans="2:4">
      <c r="B1046" t="s">
        <v>1134</v>
      </c>
    </row>
    <row r="1048" spans="2:4">
      <c r="B1048" s="57" t="s">
        <v>1445</v>
      </c>
    </row>
    <row r="1050" spans="2:4">
      <c r="B1050" t="s">
        <v>1437</v>
      </c>
    </row>
    <row r="1051" spans="2:4">
      <c r="C1051" t="s">
        <v>1438</v>
      </c>
    </row>
    <row r="1052" spans="2:4">
      <c r="B1052" t="s">
        <v>532</v>
      </c>
    </row>
    <row r="1053" spans="2:4">
      <c r="C1053" t="s">
        <v>1439</v>
      </c>
    </row>
    <row r="1054" spans="2:4">
      <c r="C1054" t="s">
        <v>1440</v>
      </c>
    </row>
    <row r="1055" spans="2:4">
      <c r="C1055" t="s">
        <v>1441</v>
      </c>
    </row>
    <row r="1056" spans="2:4">
      <c r="B1056" t="s">
        <v>1444</v>
      </c>
    </row>
    <row r="1057" spans="2:4">
      <c r="C1057" t="s">
        <v>1442</v>
      </c>
    </row>
    <row r="1058" spans="2:4">
      <c r="C1058" t="s">
        <v>1443</v>
      </c>
    </row>
    <row r="1059" spans="2:4">
      <c r="B1059" t="s">
        <v>1446</v>
      </c>
    </row>
    <row r="1060" spans="2:4">
      <c r="C1060" t="s">
        <v>1447</v>
      </c>
    </row>
    <row r="1061" spans="2:4">
      <c r="B1061" s="17" t="s">
        <v>1448</v>
      </c>
    </row>
    <row r="1062" spans="2:4">
      <c r="C1062" t="s">
        <v>1451</v>
      </c>
    </row>
    <row r="1063" spans="2:4">
      <c r="C1063" t="s">
        <v>1452</v>
      </c>
    </row>
    <row r="1064" spans="2:4">
      <c r="C1064" s="23">
        <f>40/(Quarts!AU103)</f>
        <v>8.6169754416199913E-3</v>
      </c>
    </row>
    <row r="1065" spans="2:4">
      <c r="C1065" t="s">
        <v>1450</v>
      </c>
    </row>
    <row r="1066" spans="2:4">
      <c r="D1066" t="s">
        <v>1449</v>
      </c>
    </row>
    <row r="1067" spans="2:4">
      <c r="B1067" t="s">
        <v>1453</v>
      </c>
    </row>
    <row r="1068" spans="2:4">
      <c r="C1068" t="s">
        <v>1454</v>
      </c>
    </row>
    <row r="1069" spans="2:4">
      <c r="C1069" t="s">
        <v>1455</v>
      </c>
    </row>
    <row r="1070" spans="2:4">
      <c r="B1070" t="s">
        <v>1456</v>
      </c>
    </row>
    <row r="1071" spans="2:4">
      <c r="C1071" t="s">
        <v>1457</v>
      </c>
    </row>
    <row r="1072" spans="2:4">
      <c r="C1072" t="s">
        <v>1458</v>
      </c>
    </row>
    <row r="1073" spans="2:4">
      <c r="D1073" t="s">
        <v>1459</v>
      </c>
    </row>
    <row r="1074" spans="2:4">
      <c r="D1074" t="s">
        <v>1460</v>
      </c>
    </row>
    <row r="1075" spans="2:4">
      <c r="B1075" t="s">
        <v>1463</v>
      </c>
    </row>
    <row r="1076" spans="2:4">
      <c r="C1076" t="s">
        <v>1464</v>
      </c>
    </row>
    <row r="1077" spans="2:4">
      <c r="C1077" t="s">
        <v>1465</v>
      </c>
    </row>
    <row r="1078" spans="2:4">
      <c r="C1078" t="s">
        <v>1466</v>
      </c>
    </row>
    <row r="1079" spans="2:4">
      <c r="C1079" t="s">
        <v>1467</v>
      </c>
    </row>
    <row r="1080" spans="2:4">
      <c r="C1080" t="s">
        <v>1468</v>
      </c>
    </row>
    <row r="1081" spans="2:4">
      <c r="C1081" t="s">
        <v>1469</v>
      </c>
    </row>
    <row r="1082" spans="2:4">
      <c r="B1082" t="s">
        <v>1461</v>
      </c>
    </row>
    <row r="1083" spans="2:4">
      <c r="B1083" t="s">
        <v>1462</v>
      </c>
    </row>
    <row r="1084" spans="2:4">
      <c r="B1084" s="17" t="s">
        <v>620</v>
      </c>
    </row>
    <row r="1085" spans="2:4">
      <c r="C1085" t="s">
        <v>1470</v>
      </c>
    </row>
    <row r="1086" spans="2:4">
      <c r="C1086" t="s">
        <v>1311</v>
      </c>
      <c r="D1086" s="23">
        <v>0.1</v>
      </c>
    </row>
    <row r="1087" spans="2:4">
      <c r="C1087" t="s">
        <v>16</v>
      </c>
      <c r="D1087" s="23" t="s">
        <v>1391</v>
      </c>
    </row>
    <row r="1088" spans="2:4">
      <c r="D1088" t="s">
        <v>1473</v>
      </c>
    </row>
    <row r="1089" spans="2:4">
      <c r="D1089" t="s">
        <v>1471</v>
      </c>
    </row>
    <row r="1090" spans="2:4">
      <c r="C1090" t="s">
        <v>1472</v>
      </c>
    </row>
    <row r="1092" spans="2:4">
      <c r="B1092" s="77" t="s">
        <v>1480</v>
      </c>
      <c r="C1092" t="s">
        <v>5</v>
      </c>
    </row>
    <row r="1094" spans="2:4">
      <c r="B1094" t="s">
        <v>1479</v>
      </c>
    </row>
    <row r="1095" spans="2:4">
      <c r="C1095" t="s">
        <v>1499</v>
      </c>
    </row>
    <row r="1096" spans="2:4">
      <c r="C1096" t="s">
        <v>1495</v>
      </c>
    </row>
    <row r="1097" spans="2:4">
      <c r="C1097" t="s">
        <v>1496</v>
      </c>
    </row>
    <row r="1098" spans="2:4">
      <c r="C1098" t="s">
        <v>1497</v>
      </c>
    </row>
    <row r="1099" spans="2:4">
      <c r="C1099" t="s">
        <v>1498</v>
      </c>
    </row>
    <row r="1100" spans="2:4">
      <c r="B1100" t="s">
        <v>1481</v>
      </c>
    </row>
    <row r="1101" spans="2:4">
      <c r="C1101" t="s">
        <v>1482</v>
      </c>
    </row>
    <row r="1102" spans="2:4">
      <c r="C1102" t="s">
        <v>1483</v>
      </c>
    </row>
    <row r="1103" spans="2:4">
      <c r="B1103" t="s">
        <v>1484</v>
      </c>
    </row>
    <row r="1104" spans="2:4">
      <c r="B1104" t="s">
        <v>1485</v>
      </c>
    </row>
    <row r="1105" spans="2:4">
      <c r="C1105" t="s">
        <v>1486</v>
      </c>
    </row>
    <row r="1106" spans="2:4">
      <c r="B1106" t="s">
        <v>1487</v>
      </c>
    </row>
    <row r="1107" spans="2:4">
      <c r="C1107" t="s">
        <v>1488</v>
      </c>
    </row>
    <row r="1108" spans="2:4">
      <c r="C1108" t="s">
        <v>1489</v>
      </c>
    </row>
    <row r="1109" spans="2:4">
      <c r="B1109" t="s">
        <v>1490</v>
      </c>
    </row>
    <row r="1110" spans="2:4">
      <c r="C1110" t="s">
        <v>1491</v>
      </c>
    </row>
    <row r="1111" spans="2:4">
      <c r="C1111" t="s">
        <v>1492</v>
      </c>
    </row>
    <row r="1112" spans="2:4">
      <c r="B1112" t="s">
        <v>1493</v>
      </c>
    </row>
    <row r="1113" spans="2:4">
      <c r="B1113" s="59">
        <v>2019</v>
      </c>
    </row>
    <row r="1114" spans="2:4">
      <c r="C1114" s="78" t="s">
        <v>1494</v>
      </c>
    </row>
    <row r="1116" spans="2:4">
      <c r="B1116" t="s">
        <v>605</v>
      </c>
    </row>
    <row r="1117" spans="2:4">
      <c r="C1117" t="s">
        <v>1500</v>
      </c>
    </row>
    <row r="1118" spans="2:4">
      <c r="D1118" t="s">
        <v>1509</v>
      </c>
    </row>
    <row r="1119" spans="2:4">
      <c r="C1119" t="s">
        <v>1501</v>
      </c>
    </row>
    <row r="1120" spans="2:4">
      <c r="C1120" t="s">
        <v>1502</v>
      </c>
    </row>
    <row r="1121" spans="2:4">
      <c r="D1121" t="s">
        <v>1503</v>
      </c>
    </row>
    <row r="1122" spans="2:4">
      <c r="D1122" t="s">
        <v>1504</v>
      </c>
    </row>
    <row r="1123" spans="2:4">
      <c r="C1123" t="s">
        <v>1505</v>
      </c>
    </row>
    <row r="1124" spans="2:4">
      <c r="D1124" t="s">
        <v>1506</v>
      </c>
    </row>
    <row r="1125" spans="2:4">
      <c r="D1125" t="s">
        <v>1507</v>
      </c>
    </row>
    <row r="1126" spans="2:4">
      <c r="C1126" t="s">
        <v>1508</v>
      </c>
    </row>
    <row r="1127" spans="2:4">
      <c r="B1127" t="s">
        <v>1510</v>
      </c>
    </row>
    <row r="1128" spans="2:4">
      <c r="C1128" t="s">
        <v>1511</v>
      </c>
    </row>
    <row r="1129" spans="2:4">
      <c r="D1129" t="s">
        <v>1512</v>
      </c>
    </row>
    <row r="1130" spans="2:4">
      <c r="C1130" t="s">
        <v>1513</v>
      </c>
    </row>
    <row r="1131" spans="2:4">
      <c r="C1131" t="s">
        <v>1514</v>
      </c>
    </row>
    <row r="1132" spans="2:4">
      <c r="D1132" t="s">
        <v>1515</v>
      </c>
    </row>
    <row r="1133" spans="2:4">
      <c r="B1133" t="s">
        <v>1516</v>
      </c>
    </row>
    <row r="1134" spans="2:4">
      <c r="C1134" t="s">
        <v>1517</v>
      </c>
    </row>
    <row r="1135" spans="2:4">
      <c r="C1135" t="s">
        <v>1518</v>
      </c>
    </row>
    <row r="1136" spans="2:4">
      <c r="D1136" t="s">
        <v>1519</v>
      </c>
    </row>
    <row r="1137" spans="2:5">
      <c r="D1137" t="s">
        <v>1520</v>
      </c>
    </row>
    <row r="1138" spans="2:5">
      <c r="B1138" t="s">
        <v>1521</v>
      </c>
    </row>
    <row r="1139" spans="2:5">
      <c r="C1139" t="s">
        <v>1522</v>
      </c>
    </row>
    <row r="1140" spans="2:5">
      <c r="C1140" t="s">
        <v>1524</v>
      </c>
    </row>
    <row r="1141" spans="2:5">
      <c r="D1141" t="s">
        <v>1525</v>
      </c>
    </row>
    <row r="1142" spans="2:5">
      <c r="D1142" t="s">
        <v>1526</v>
      </c>
    </row>
    <row r="1143" spans="2:5">
      <c r="E1143" t="s">
        <v>1527</v>
      </c>
    </row>
    <row r="1144" spans="2:5">
      <c r="C1144" t="s">
        <v>1528</v>
      </c>
    </row>
    <row r="1145" spans="2:5">
      <c r="D1145" t="s">
        <v>1529</v>
      </c>
    </row>
    <row r="1146" spans="2:5">
      <c r="D1146" t="s">
        <v>1530</v>
      </c>
    </row>
    <row r="1147" spans="2:5">
      <c r="B1147" t="s">
        <v>1523</v>
      </c>
    </row>
    <row r="1148" spans="2:5">
      <c r="C1148" t="s">
        <v>1542</v>
      </c>
    </row>
    <row r="1149" spans="2:5">
      <c r="C1149" t="s">
        <v>1531</v>
      </c>
    </row>
    <row r="1150" spans="2:5">
      <c r="D1150" t="s">
        <v>1532</v>
      </c>
    </row>
    <row r="1151" spans="2:5">
      <c r="D1151" t="s">
        <v>1533</v>
      </c>
    </row>
    <row r="1152" spans="2:5">
      <c r="D1152" t="s">
        <v>1534</v>
      </c>
    </row>
    <row r="1153" spans="2:5">
      <c r="E1153" t="s">
        <v>1535</v>
      </c>
    </row>
    <row r="1154" spans="2:5">
      <c r="D1154" t="s">
        <v>1536</v>
      </c>
    </row>
    <row r="1155" spans="2:5">
      <c r="D1155" t="s">
        <v>1537</v>
      </c>
    </row>
    <row r="1156" spans="2:5">
      <c r="D1156" t="s">
        <v>1538</v>
      </c>
    </row>
    <row r="1157" spans="2:5">
      <c r="E1157" t="s">
        <v>1539</v>
      </c>
    </row>
    <row r="1158" spans="2:5">
      <c r="E1158" t="s">
        <v>1541</v>
      </c>
    </row>
    <row r="1159" spans="2:5">
      <c r="D1159" t="s">
        <v>1540</v>
      </c>
    </row>
    <row r="1160" spans="2:5">
      <c r="C1160" t="s">
        <v>1543</v>
      </c>
    </row>
    <row r="1161" spans="2:5">
      <c r="B1161" t="s">
        <v>1544</v>
      </c>
    </row>
    <row r="1162" spans="2:5">
      <c r="C1162" t="s">
        <v>1548</v>
      </c>
    </row>
    <row r="1163" spans="2:5">
      <c r="C1163" t="s">
        <v>1545</v>
      </c>
    </row>
    <row r="1164" spans="2:5">
      <c r="C1164" t="s">
        <v>1546</v>
      </c>
    </row>
    <row r="1165" spans="2:5">
      <c r="C1165" t="s">
        <v>1547</v>
      </c>
    </row>
    <row r="1166" spans="2:5">
      <c r="C1166" t="s">
        <v>1549</v>
      </c>
    </row>
    <row r="1167" spans="2:5">
      <c r="B1167" t="s">
        <v>22</v>
      </c>
    </row>
    <row r="1168" spans="2:5">
      <c r="C1168" t="s">
        <v>1550</v>
      </c>
    </row>
    <row r="1170" spans="3:6">
      <c r="C1170" s="17" t="s">
        <v>1551</v>
      </c>
    </row>
    <row r="1171" spans="3:6">
      <c r="C1171" t="s">
        <v>1552</v>
      </c>
    </row>
    <row r="1172" spans="3:6">
      <c r="D1172" t="s">
        <v>1553</v>
      </c>
    </row>
    <row r="1173" spans="3:6">
      <c r="D1173" t="s">
        <v>1554</v>
      </c>
    </row>
    <row r="1174" spans="3:6">
      <c r="E1174" t="s">
        <v>1556</v>
      </c>
    </row>
    <row r="1175" spans="3:6">
      <c r="E1175" t="s">
        <v>1557</v>
      </c>
    </row>
    <row r="1176" spans="3:6">
      <c r="F1176" t="s">
        <v>1572</v>
      </c>
    </row>
    <row r="1177" spans="3:6">
      <c r="F1177" t="s">
        <v>1573</v>
      </c>
    </row>
    <row r="1178" spans="3:6">
      <c r="E1178" t="s">
        <v>1558</v>
      </c>
    </row>
    <row r="1179" spans="3:6">
      <c r="E1179" t="s">
        <v>1559</v>
      </c>
    </row>
    <row r="1180" spans="3:6">
      <c r="D1180" t="s">
        <v>1555</v>
      </c>
    </row>
    <row r="1181" spans="3:6">
      <c r="C1181" t="s">
        <v>1560</v>
      </c>
    </row>
    <row r="1182" spans="3:6">
      <c r="D1182" t="s">
        <v>1561</v>
      </c>
    </row>
    <row r="1183" spans="3:6">
      <c r="E1183" t="s">
        <v>1564</v>
      </c>
    </row>
    <row r="1184" spans="3:6">
      <c r="E1184" t="s">
        <v>1565</v>
      </c>
    </row>
    <row r="1185" spans="2:7">
      <c r="D1185" t="s">
        <v>1562</v>
      </c>
    </row>
    <row r="1186" spans="2:7">
      <c r="E1186" t="s">
        <v>1563</v>
      </c>
    </row>
    <row r="1187" spans="2:7">
      <c r="C1187" t="s">
        <v>1566</v>
      </c>
    </row>
    <row r="1188" spans="2:7">
      <c r="C1188" t="s">
        <v>1567</v>
      </c>
    </row>
    <row r="1189" spans="2:7">
      <c r="D1189" t="s">
        <v>1568</v>
      </c>
    </row>
    <row r="1190" spans="2:7">
      <c r="D1190" t="s">
        <v>1569</v>
      </c>
    </row>
    <row r="1191" spans="2:7">
      <c r="C1191" t="s">
        <v>1570</v>
      </c>
      <c r="D1191" t="s">
        <v>1571</v>
      </c>
    </row>
    <row r="1192" spans="2:7">
      <c r="B1192" t="s">
        <v>1574</v>
      </c>
    </row>
    <row r="1194" spans="2:7">
      <c r="B1194" t="s">
        <v>25</v>
      </c>
    </row>
    <row r="1195" spans="2:7">
      <c r="C1195" t="s">
        <v>1575</v>
      </c>
    </row>
    <row r="1196" spans="2:7">
      <c r="C1196" t="s">
        <v>1576</v>
      </c>
      <c r="G1196" t="s">
        <v>1577</v>
      </c>
    </row>
    <row r="1197" spans="2:7">
      <c r="C1197" t="s">
        <v>1578</v>
      </c>
    </row>
    <row r="1198" spans="2:7">
      <c r="D1198" t="s">
        <v>1579</v>
      </c>
    </row>
    <row r="1199" spans="2:7">
      <c r="C1199" t="s">
        <v>1580</v>
      </c>
    </row>
    <row r="1200" spans="2:7">
      <c r="D1200" t="s">
        <v>1581</v>
      </c>
    </row>
    <row r="1201" spans="2:4">
      <c r="D1201" t="s">
        <v>1582</v>
      </c>
    </row>
    <row r="1203" spans="2:4">
      <c r="C1203" t="s">
        <v>1583</v>
      </c>
    </row>
    <row r="1204" spans="2:4">
      <c r="B1204" t="s">
        <v>1584</v>
      </c>
    </row>
    <row r="1205" spans="2:4">
      <c r="C1205" t="s">
        <v>1585</v>
      </c>
    </row>
    <row r="1206" spans="2:4">
      <c r="C1206" t="s">
        <v>1586</v>
      </c>
    </row>
    <row r="1208" spans="2:4">
      <c r="B1208" s="17" t="s">
        <v>1424</v>
      </c>
    </row>
    <row r="1210" spans="2:4">
      <c r="B1210" t="s">
        <v>22</v>
      </c>
    </row>
    <row r="1211" spans="2:4">
      <c r="C1211" t="s">
        <v>1596</v>
      </c>
    </row>
    <row r="1212" spans="2:4">
      <c r="C1212" t="s">
        <v>1599</v>
      </c>
    </row>
    <row r="1213" spans="2:4">
      <c r="D1213" t="s">
        <v>1602</v>
      </c>
    </row>
    <row r="1214" spans="2:4">
      <c r="D1214" t="s">
        <v>1635</v>
      </c>
    </row>
    <row r="1215" spans="2:4">
      <c r="D1215" t="s">
        <v>1636</v>
      </c>
    </row>
    <row r="1217" spans="3:5">
      <c r="C1217" t="s">
        <v>1597</v>
      </c>
    </row>
    <row r="1218" spans="3:5">
      <c r="D1218" t="s">
        <v>1598</v>
      </c>
    </row>
    <row r="1219" spans="3:5">
      <c r="D1219" t="s">
        <v>1600</v>
      </c>
    </row>
    <row r="1220" spans="3:5">
      <c r="D1220" t="s">
        <v>1601</v>
      </c>
    </row>
    <row r="1221" spans="3:5">
      <c r="C1221" t="s">
        <v>1627</v>
      </c>
    </row>
    <row r="1222" spans="3:5">
      <c r="C1222" t="s">
        <v>1628</v>
      </c>
    </row>
    <row r="1223" spans="3:5">
      <c r="D1223" t="s">
        <v>1643</v>
      </c>
    </row>
    <row r="1224" spans="3:5">
      <c r="E1224" t="s">
        <v>1644</v>
      </c>
    </row>
    <row r="1225" spans="3:5">
      <c r="D1225" t="s">
        <v>1645</v>
      </c>
    </row>
    <row r="1226" spans="3:5">
      <c r="D1226" t="s">
        <v>1646</v>
      </c>
    </row>
    <row r="1227" spans="3:5">
      <c r="E1227" t="s">
        <v>1647</v>
      </c>
    </row>
    <row r="1228" spans="3:5">
      <c r="D1228" t="s">
        <v>1648</v>
      </c>
    </row>
    <row r="1229" spans="3:5">
      <c r="D1229" t="s">
        <v>1629</v>
      </c>
    </row>
    <row r="1230" spans="3:5">
      <c r="D1230" t="s">
        <v>1630</v>
      </c>
    </row>
    <row r="1231" spans="3:5">
      <c r="C1231" t="s">
        <v>1631</v>
      </c>
    </row>
    <row r="1232" spans="3:5">
      <c r="C1232" t="s">
        <v>1632</v>
      </c>
    </row>
    <row r="1233" spans="3:8">
      <c r="D1233" t="s">
        <v>1633</v>
      </c>
    </row>
    <row r="1234" spans="3:8">
      <c r="D1234" t="s">
        <v>1634</v>
      </c>
    </row>
    <row r="1236" spans="3:8">
      <c r="C1236" t="s">
        <v>1603</v>
      </c>
    </row>
    <row r="1237" spans="3:8">
      <c r="D1237" t="s">
        <v>1604</v>
      </c>
    </row>
    <row r="1238" spans="3:8">
      <c r="C1238" t="s">
        <v>1605</v>
      </c>
    </row>
    <row r="1239" spans="3:8">
      <c r="C1239" t="s">
        <v>1606</v>
      </c>
    </row>
    <row r="1240" spans="3:8">
      <c r="D1240">
        <v>2017</v>
      </c>
      <c r="E1240" t="s">
        <v>1608</v>
      </c>
    </row>
    <row r="1241" spans="3:8">
      <c r="E1241" t="s">
        <v>1609</v>
      </c>
    </row>
    <row r="1242" spans="3:8">
      <c r="D1242">
        <v>2019</v>
      </c>
      <c r="E1242" t="s">
        <v>1610</v>
      </c>
    </row>
    <row r="1243" spans="3:8">
      <c r="E1243" t="s">
        <v>1611</v>
      </c>
    </row>
    <row r="1244" spans="3:8">
      <c r="C1244" t="s">
        <v>1607</v>
      </c>
    </row>
    <row r="1245" spans="3:8">
      <c r="C1245" t="s">
        <v>1612</v>
      </c>
    </row>
    <row r="1247" spans="3:8">
      <c r="C1247" t="s">
        <v>1613</v>
      </c>
      <c r="D1247" t="s">
        <v>1614</v>
      </c>
      <c r="F1247" t="s">
        <v>1616</v>
      </c>
      <c r="H1247" s="23">
        <v>0.33</v>
      </c>
    </row>
    <row r="1248" spans="3:8">
      <c r="C1248" s="59">
        <v>2021</v>
      </c>
      <c r="D1248" t="s">
        <v>1615</v>
      </c>
      <c r="F1248" t="s">
        <v>1617</v>
      </c>
      <c r="H1248" s="23">
        <v>0.32</v>
      </c>
    </row>
    <row r="1250" spans="2:6">
      <c r="B1250" s="59" t="s">
        <v>1621</v>
      </c>
      <c r="C1250" t="s">
        <v>1618</v>
      </c>
      <c r="F1250" t="s">
        <v>1619</v>
      </c>
    </row>
    <row r="1251" spans="2:6">
      <c r="C1251" t="s">
        <v>1620</v>
      </c>
    </row>
    <row r="1252" spans="2:6">
      <c r="C1252" t="s">
        <v>1622</v>
      </c>
    </row>
    <row r="1253" spans="2:6">
      <c r="C1253" t="s">
        <v>1625</v>
      </c>
    </row>
    <row r="1255" spans="2:6">
      <c r="B1255" t="s">
        <v>1623</v>
      </c>
      <c r="C1255" t="s">
        <v>1624</v>
      </c>
    </row>
    <row r="1256" spans="2:6">
      <c r="C1256" t="s">
        <v>1626</v>
      </c>
    </row>
    <row r="1258" spans="2:6">
      <c r="C1258" t="s">
        <v>1637</v>
      </c>
    </row>
    <row r="1259" spans="2:6">
      <c r="D1259" t="s">
        <v>1638</v>
      </c>
    </row>
    <row r="1260" spans="2:6">
      <c r="D1260" t="s">
        <v>1688</v>
      </c>
    </row>
    <row r="1261" spans="2:6">
      <c r="B1261" t="s">
        <v>1639</v>
      </c>
    </row>
    <row r="1262" spans="2:6">
      <c r="C1262" t="s">
        <v>1640</v>
      </c>
    </row>
    <row r="1263" spans="2:6">
      <c r="C1263" t="s">
        <v>1641</v>
      </c>
    </row>
    <row r="1264" spans="2:6">
      <c r="D1264" t="s">
        <v>1642</v>
      </c>
    </row>
    <row r="1265" spans="2:4">
      <c r="B1265" t="s">
        <v>605</v>
      </c>
    </row>
    <row r="1266" spans="2:4">
      <c r="C1266" t="s">
        <v>1649</v>
      </c>
    </row>
    <row r="1267" spans="2:4">
      <c r="C1267" t="s">
        <v>1650</v>
      </c>
    </row>
    <row r="1268" spans="2:4">
      <c r="C1268" t="s">
        <v>1651</v>
      </c>
    </row>
    <row r="1270" spans="2:4">
      <c r="B1270" t="s">
        <v>1652</v>
      </c>
    </row>
    <row r="1271" spans="2:4">
      <c r="C1271" t="s">
        <v>1653</v>
      </c>
    </row>
    <row r="1272" spans="2:4">
      <c r="C1272" t="s">
        <v>1654</v>
      </c>
    </row>
    <row r="1273" spans="2:4">
      <c r="D1273" t="s">
        <v>1655</v>
      </c>
    </row>
    <row r="1274" spans="2:4">
      <c r="D1274" t="s">
        <v>1656</v>
      </c>
    </row>
    <row r="1275" spans="2:4">
      <c r="C1275" t="s">
        <v>1657</v>
      </c>
    </row>
    <row r="1276" spans="2:4">
      <c r="C1276" t="s">
        <v>1658</v>
      </c>
    </row>
    <row r="1277" spans="2:4">
      <c r="D1277" t="s">
        <v>1659</v>
      </c>
    </row>
    <row r="1278" spans="2:4">
      <c r="C1278" t="s">
        <v>1660</v>
      </c>
    </row>
    <row r="1279" spans="2:4">
      <c r="D1279" t="s">
        <v>1661</v>
      </c>
    </row>
    <row r="1281" spans="2:4">
      <c r="B1281" t="s">
        <v>1523</v>
      </c>
    </row>
    <row r="1282" spans="2:4">
      <c r="C1282" t="s">
        <v>1662</v>
      </c>
    </row>
    <row r="1283" spans="2:4">
      <c r="C1283" t="s">
        <v>1663</v>
      </c>
    </row>
    <row r="1284" spans="2:4">
      <c r="D1284" t="s">
        <v>1664</v>
      </c>
    </row>
    <row r="1285" spans="2:4">
      <c r="C1285" t="s">
        <v>1665</v>
      </c>
    </row>
    <row r="1286" spans="2:4">
      <c r="D1286" t="s">
        <v>1666</v>
      </c>
    </row>
    <row r="1287" spans="2:4">
      <c r="C1287" t="s">
        <v>1667</v>
      </c>
    </row>
    <row r="1288" spans="2:4">
      <c r="D1288" t="s">
        <v>1668</v>
      </c>
    </row>
    <row r="1289" spans="2:4">
      <c r="C1289" t="s">
        <v>1669</v>
      </c>
    </row>
    <row r="1290" spans="2:4">
      <c r="C1290" t="s">
        <v>1670</v>
      </c>
    </row>
    <row r="1291" spans="2:4">
      <c r="C1291" t="s">
        <v>1671</v>
      </c>
    </row>
    <row r="1292" spans="2:4">
      <c r="B1292" t="s">
        <v>1672</v>
      </c>
    </row>
    <row r="1293" spans="2:4">
      <c r="C1293" t="s">
        <v>1673</v>
      </c>
    </row>
    <row r="1294" spans="2:4">
      <c r="C1294" t="s">
        <v>1674</v>
      </c>
    </row>
    <row r="1295" spans="2:4">
      <c r="C1295" t="s">
        <v>1675</v>
      </c>
    </row>
    <row r="1296" spans="2:4">
      <c r="D1296" t="s">
        <v>1212</v>
      </c>
    </row>
    <row r="1297" spans="2:4">
      <c r="D1297" t="s">
        <v>1676</v>
      </c>
    </row>
    <row r="1299" spans="2:4">
      <c r="B1299" t="s">
        <v>1704</v>
      </c>
    </row>
    <row r="1301" spans="2:4">
      <c r="B1301" t="s">
        <v>1705</v>
      </c>
    </row>
    <row r="1302" spans="2:4">
      <c r="C1302" t="s">
        <v>1706</v>
      </c>
      <c r="D1302" t="s">
        <v>1707</v>
      </c>
    </row>
    <row r="1303" spans="2:4">
      <c r="C1303" t="s">
        <v>1708</v>
      </c>
    </row>
    <row r="1304" spans="2:4">
      <c r="D1304" t="s">
        <v>1709</v>
      </c>
    </row>
    <row r="1305" spans="2:4">
      <c r="C1305">
        <v>2019</v>
      </c>
      <c r="D1305" t="s">
        <v>1710</v>
      </c>
    </row>
    <row r="1306" spans="2:4">
      <c r="C1306">
        <v>1</v>
      </c>
      <c r="D1306" t="s">
        <v>1711</v>
      </c>
    </row>
    <row r="1307" spans="2:4">
      <c r="C1307">
        <v>2</v>
      </c>
    </row>
    <row r="1308" spans="2:4">
      <c r="C1308">
        <v>3</v>
      </c>
      <c r="D1308" t="s">
        <v>1712</v>
      </c>
    </row>
    <row r="1309" spans="2:4">
      <c r="B1309" t="s">
        <v>1713</v>
      </c>
    </row>
    <row r="1310" spans="2:4">
      <c r="B1310" t="s">
        <v>1714</v>
      </c>
    </row>
    <row r="1312" spans="2:4">
      <c r="B1312" t="s">
        <v>1715</v>
      </c>
    </row>
    <row r="1313" spans="2:4">
      <c r="C1313" t="s">
        <v>1716</v>
      </c>
    </row>
    <row r="1314" spans="2:4">
      <c r="C1314" t="s">
        <v>1717</v>
      </c>
    </row>
    <row r="1315" spans="2:4">
      <c r="C1315" t="s">
        <v>1718</v>
      </c>
    </row>
    <row r="1317" spans="2:4">
      <c r="B1317" t="s">
        <v>1719</v>
      </c>
      <c r="C1317" t="s">
        <v>1720</v>
      </c>
    </row>
    <row r="1318" spans="2:4">
      <c r="B1318" t="s">
        <v>16</v>
      </c>
      <c r="C1318" t="s">
        <v>1721</v>
      </c>
    </row>
    <row r="1319" spans="2:4">
      <c r="B1319" t="s">
        <v>232</v>
      </c>
      <c r="C1319" t="s">
        <v>752</v>
      </c>
      <c r="D1319" t="s">
        <v>1722</v>
      </c>
    </row>
    <row r="1320" spans="2:4">
      <c r="C1320" t="s">
        <v>754</v>
      </c>
      <c r="D1320" t="s">
        <v>1723</v>
      </c>
    </row>
    <row r="1321" spans="2:4">
      <c r="C1321" t="s">
        <v>933</v>
      </c>
      <c r="D1321" t="s">
        <v>1724</v>
      </c>
    </row>
    <row r="1323" spans="2:4">
      <c r="B1323" s="17" t="s">
        <v>1729</v>
      </c>
    </row>
    <row r="1325" spans="2:4">
      <c r="B1325" t="s">
        <v>1702</v>
      </c>
    </row>
    <row r="1326" spans="2:4">
      <c r="C1326" t="s">
        <v>1733</v>
      </c>
    </row>
    <row r="1327" spans="2:4">
      <c r="C1327" t="s">
        <v>1734</v>
      </c>
    </row>
    <row r="1328" spans="2:4">
      <c r="B1328" t="s">
        <v>1735</v>
      </c>
    </row>
    <row r="1329" spans="2:4">
      <c r="C1329" t="s">
        <v>1736</v>
      </c>
    </row>
    <row r="1330" spans="2:4">
      <c r="C1330" t="s">
        <v>1737</v>
      </c>
    </row>
    <row r="1331" spans="2:4">
      <c r="D1331" t="s">
        <v>1738</v>
      </c>
    </row>
    <row r="1332" spans="2:4">
      <c r="B1332" t="s">
        <v>1739</v>
      </c>
    </row>
    <row r="1333" spans="2:4">
      <c r="C1333" t="s">
        <v>1740</v>
      </c>
    </row>
    <row r="1334" spans="2:4">
      <c r="C1334" t="s">
        <v>1741</v>
      </c>
    </row>
    <row r="1335" spans="2:4">
      <c r="B1335" t="s">
        <v>665</v>
      </c>
    </row>
    <row r="1336" spans="2:4">
      <c r="C1336" t="s">
        <v>1742</v>
      </c>
    </row>
    <row r="1337" spans="2:4">
      <c r="B1337" s="17" t="s">
        <v>363</v>
      </c>
    </row>
    <row r="1338" spans="2:4">
      <c r="B1338" t="s">
        <v>1743</v>
      </c>
    </row>
    <row r="1339" spans="2:4">
      <c r="C1339" t="s">
        <v>1745</v>
      </c>
    </row>
    <row r="1340" spans="2:4">
      <c r="C1340" t="s">
        <v>1746</v>
      </c>
    </row>
    <row r="1341" spans="2:4">
      <c r="B1341" t="s">
        <v>1744</v>
      </c>
    </row>
    <row r="1342" spans="2:4">
      <c r="C1342" t="s">
        <v>1747</v>
      </c>
    </row>
    <row r="1343" spans="2:4">
      <c r="C1343" t="s">
        <v>1748</v>
      </c>
    </row>
    <row r="1345" spans="2:5">
      <c r="C1345" t="s">
        <v>1749</v>
      </c>
    </row>
    <row r="1346" spans="2:5">
      <c r="C1346" t="s">
        <v>1750</v>
      </c>
    </row>
    <row r="1348" spans="2:5">
      <c r="C1348" t="s">
        <v>532</v>
      </c>
      <c r="E1348" t="s">
        <v>1751</v>
      </c>
    </row>
    <row r="1349" spans="2:5">
      <c r="E1349" t="s">
        <v>1752</v>
      </c>
    </row>
    <row r="1350" spans="2:5">
      <c r="C1350" t="s">
        <v>665</v>
      </c>
      <c r="E1350" t="s">
        <v>1753</v>
      </c>
    </row>
    <row r="1351" spans="2:5">
      <c r="B1351" t="s">
        <v>1754</v>
      </c>
    </row>
    <row r="1352" spans="2:5">
      <c r="C1352" t="s">
        <v>1755</v>
      </c>
    </row>
    <row r="1353" spans="2:5">
      <c r="D1353" t="s">
        <v>1756</v>
      </c>
    </row>
    <row r="1354" spans="2:5">
      <c r="B1354" t="s">
        <v>1757</v>
      </c>
    </row>
    <row r="1355" spans="2:5">
      <c r="C1355" t="s">
        <v>1758</v>
      </c>
    </row>
    <row r="1356" spans="2:5">
      <c r="C1356" t="s">
        <v>1759</v>
      </c>
    </row>
    <row r="1357" spans="2:5">
      <c r="B1357" t="s">
        <v>1760</v>
      </c>
    </row>
    <row r="1358" spans="2:5">
      <c r="C1358" t="s">
        <v>1761</v>
      </c>
    </row>
    <row r="1359" spans="2:5">
      <c r="D1359" t="s">
        <v>1763</v>
      </c>
    </row>
    <row r="1360" spans="2:5">
      <c r="C1360" t="s">
        <v>1762</v>
      </c>
    </row>
    <row r="1361" spans="2:5">
      <c r="D1361" t="s">
        <v>1764</v>
      </c>
    </row>
    <row r="1362" spans="2:5">
      <c r="D1362" t="s">
        <v>1765</v>
      </c>
    </row>
    <row r="1363" spans="2:5">
      <c r="D1363" t="s">
        <v>1766</v>
      </c>
    </row>
    <row r="1364" spans="2:5">
      <c r="E1364" t="s">
        <v>1767</v>
      </c>
    </row>
    <row r="1365" spans="2:5">
      <c r="E1365" t="s">
        <v>1768</v>
      </c>
    </row>
    <row r="1366" spans="2:5">
      <c r="B1366" t="s">
        <v>1769</v>
      </c>
    </row>
    <row r="1367" spans="2:5">
      <c r="C1367" t="s">
        <v>1770</v>
      </c>
    </row>
    <row r="1368" spans="2:5">
      <c r="D1368" t="s">
        <v>1771</v>
      </c>
    </row>
    <row r="1369" spans="2:5">
      <c r="B1369" t="s">
        <v>1087</v>
      </c>
    </row>
    <row r="1370" spans="2:5">
      <c r="C1370" t="s">
        <v>1772</v>
      </c>
    </row>
    <row r="1371" spans="2:5">
      <c r="C1371" t="s">
        <v>1773</v>
      </c>
    </row>
    <row r="1373" spans="2:5">
      <c r="B1373" t="s">
        <v>1774</v>
      </c>
    </row>
    <row r="1374" spans="2:5">
      <c r="C1374" t="s">
        <v>1775</v>
      </c>
    </row>
    <row r="1375" spans="2:5">
      <c r="D1375" t="s">
        <v>1776</v>
      </c>
    </row>
    <row r="1376" spans="2:5">
      <c r="D1376" t="s">
        <v>1777</v>
      </c>
    </row>
    <row r="1377" spans="2:4">
      <c r="C1377" t="s">
        <v>1778</v>
      </c>
    </row>
    <row r="1378" spans="2:4">
      <c r="C1378" t="s">
        <v>1779</v>
      </c>
    </row>
    <row r="1379" spans="2:4">
      <c r="C1379" t="s">
        <v>1780</v>
      </c>
    </row>
    <row r="1380" spans="2:4">
      <c r="B1380" t="s">
        <v>1781</v>
      </c>
    </row>
    <row r="1381" spans="2:4">
      <c r="C1381" t="s">
        <v>1782</v>
      </c>
    </row>
    <row r="1382" spans="2:4">
      <c r="B1382" t="s">
        <v>1783</v>
      </c>
    </row>
    <row r="1383" spans="2:4">
      <c r="C1383" t="s">
        <v>1784</v>
      </c>
    </row>
    <row r="1384" spans="2:4">
      <c r="C1384" t="s">
        <v>1785</v>
      </c>
    </row>
    <row r="1385" spans="2:4">
      <c r="B1385" t="s">
        <v>1786</v>
      </c>
    </row>
    <row r="1387" spans="2:4">
      <c r="B1387" s="17" t="s">
        <v>1788</v>
      </c>
    </row>
    <row r="1389" spans="2:4">
      <c r="B1389" s="17" t="s">
        <v>230</v>
      </c>
    </row>
    <row r="1390" spans="2:4">
      <c r="B1390" t="s">
        <v>823</v>
      </c>
      <c r="C1390" s="83">
        <v>43556</v>
      </c>
      <c r="D1390" s="59" t="s">
        <v>1802</v>
      </c>
    </row>
    <row r="1391" spans="2:4">
      <c r="C1391" s="83">
        <v>43770</v>
      </c>
      <c r="D1391" s="59" t="s">
        <v>1802</v>
      </c>
    </row>
    <row r="1392" spans="2:4">
      <c r="B1392" t="s">
        <v>1789</v>
      </c>
    </row>
    <row r="1393" spans="2:5">
      <c r="B1393" t="s">
        <v>1790</v>
      </c>
    </row>
    <row r="1394" spans="2:5">
      <c r="B1394" t="s">
        <v>1791</v>
      </c>
    </row>
    <row r="1395" spans="2:5">
      <c r="C1395" t="s">
        <v>1792</v>
      </c>
    </row>
    <row r="1396" spans="2:5">
      <c r="D1396" t="s">
        <v>1798</v>
      </c>
    </row>
    <row r="1397" spans="2:5">
      <c r="C1397" t="s">
        <v>1793</v>
      </c>
    </row>
    <row r="1398" spans="2:5">
      <c r="C1398" t="s">
        <v>1794</v>
      </c>
    </row>
    <row r="1399" spans="2:5">
      <c r="D1399" t="s">
        <v>1799</v>
      </c>
    </row>
    <row r="1400" spans="2:5">
      <c r="D1400" t="s">
        <v>1804</v>
      </c>
      <c r="E1400" t="s">
        <v>1805</v>
      </c>
    </row>
    <row r="1401" spans="2:5">
      <c r="C1401" t="s">
        <v>1800</v>
      </c>
    </row>
    <row r="1402" spans="2:5">
      <c r="C1402" t="s">
        <v>1801</v>
      </c>
    </row>
    <row r="1403" spans="2:5">
      <c r="B1403" s="17" t="s">
        <v>1827</v>
      </c>
    </row>
    <row r="1404" spans="2:5">
      <c r="B1404" s="17"/>
      <c r="C1404" t="s">
        <v>1828</v>
      </c>
    </row>
    <row r="1405" spans="2:5">
      <c r="B1405" s="17"/>
      <c r="C1405" t="s">
        <v>1829</v>
      </c>
    </row>
    <row r="1406" spans="2:5">
      <c r="B1406" s="17"/>
      <c r="D1406" t="s">
        <v>1831</v>
      </c>
    </row>
    <row r="1407" spans="2:5">
      <c r="B1407" s="17"/>
      <c r="C1407" t="s">
        <v>1830</v>
      </c>
    </row>
    <row r="1408" spans="2:5">
      <c r="B1408" s="17"/>
      <c r="C1408" t="s">
        <v>1832</v>
      </c>
    </row>
    <row r="1409" spans="2:4">
      <c r="B1409" s="17"/>
      <c r="D1409" t="s">
        <v>1833</v>
      </c>
    </row>
    <row r="1410" spans="2:4">
      <c r="D1410" t="s">
        <v>1834</v>
      </c>
    </row>
    <row r="1411" spans="2:4">
      <c r="B1411" s="17" t="s">
        <v>1797</v>
      </c>
    </row>
    <row r="1412" spans="2:4">
      <c r="B1412" t="s">
        <v>1795</v>
      </c>
    </row>
    <row r="1413" spans="2:4">
      <c r="B1413" t="s">
        <v>1796</v>
      </c>
    </row>
    <row r="1415" spans="2:4">
      <c r="B1415" s="17" t="s">
        <v>1803</v>
      </c>
    </row>
    <row r="1416" spans="2:4">
      <c r="B1416" s="17" t="s">
        <v>532</v>
      </c>
    </row>
    <row r="1417" spans="2:4">
      <c r="B1417" t="s">
        <v>1806</v>
      </c>
      <c r="C1417" t="s">
        <v>1808</v>
      </c>
    </row>
    <row r="1418" spans="2:4">
      <c r="D1418" t="s">
        <v>1807</v>
      </c>
    </row>
    <row r="1419" spans="2:4">
      <c r="D1419" t="s">
        <v>1809</v>
      </c>
    </row>
    <row r="1420" spans="2:4">
      <c r="C1420" t="s">
        <v>1872</v>
      </c>
    </row>
    <row r="1422" spans="2:4">
      <c r="B1422" t="s">
        <v>1812</v>
      </c>
      <c r="C1422" t="s">
        <v>1810</v>
      </c>
    </row>
    <row r="1423" spans="2:4">
      <c r="D1423" t="s">
        <v>1811</v>
      </c>
    </row>
    <row r="1425" spans="2:5">
      <c r="B1425" t="s">
        <v>1813</v>
      </c>
    </row>
    <row r="1426" spans="2:5">
      <c r="C1426" t="s">
        <v>1815</v>
      </c>
    </row>
    <row r="1427" spans="2:5">
      <c r="C1427" t="s">
        <v>1816</v>
      </c>
    </row>
    <row r="1428" spans="2:5">
      <c r="B1428" t="s">
        <v>1814</v>
      </c>
    </row>
    <row r="1430" spans="2:5">
      <c r="B1430" s="17" t="s">
        <v>22</v>
      </c>
    </row>
    <row r="1431" spans="2:5">
      <c r="B1431" t="s">
        <v>1817</v>
      </c>
      <c r="C1431" t="s">
        <v>1711</v>
      </c>
    </row>
    <row r="1432" spans="2:5">
      <c r="C1432" t="s">
        <v>1818</v>
      </c>
    </row>
    <row r="1433" spans="2:5">
      <c r="D1433" t="s">
        <v>1819</v>
      </c>
    </row>
    <row r="1434" spans="2:5">
      <c r="D1434" t="s">
        <v>1706</v>
      </c>
      <c r="E1434" t="s">
        <v>1821</v>
      </c>
    </row>
    <row r="1435" spans="2:5">
      <c r="C1435" t="s">
        <v>1820</v>
      </c>
    </row>
    <row r="1436" spans="2:5">
      <c r="B1436" t="s">
        <v>1822</v>
      </c>
    </row>
    <row r="1437" spans="2:5">
      <c r="C1437" t="s">
        <v>1823</v>
      </c>
    </row>
    <row r="1438" spans="2:5">
      <c r="C1438" t="s">
        <v>1824</v>
      </c>
    </row>
    <row r="1439" spans="2:5">
      <c r="C1439" t="s">
        <v>1825</v>
      </c>
    </row>
    <row r="1440" spans="2:5">
      <c r="C1440" t="s">
        <v>1826</v>
      </c>
    </row>
    <row r="1442" spans="2:4">
      <c r="B1442" s="17" t="s">
        <v>1835</v>
      </c>
    </row>
    <row r="1443" spans="2:4">
      <c r="C1443" t="s">
        <v>1836</v>
      </c>
    </row>
    <row r="1444" spans="2:4">
      <c r="C1444" t="s">
        <v>1837</v>
      </c>
    </row>
    <row r="1445" spans="2:4">
      <c r="D1445" t="s">
        <v>1838</v>
      </c>
    </row>
    <row r="1446" spans="2:4">
      <c r="C1446" t="s">
        <v>1839</v>
      </c>
    </row>
    <row r="1447" spans="2:4">
      <c r="C1447" t="s">
        <v>1840</v>
      </c>
    </row>
    <row r="1449" spans="2:4">
      <c r="B1449" s="17" t="s">
        <v>1864</v>
      </c>
    </row>
    <row r="1451" spans="2:4">
      <c r="B1451" t="s">
        <v>1842</v>
      </c>
    </row>
    <row r="1452" spans="2:4">
      <c r="C1452" t="s">
        <v>1843</v>
      </c>
    </row>
    <row r="1453" spans="2:4">
      <c r="C1453" t="s">
        <v>1844</v>
      </c>
    </row>
    <row r="1454" spans="2:4">
      <c r="D1454" t="s">
        <v>1845</v>
      </c>
    </row>
    <row r="1455" spans="2:4">
      <c r="C1455" t="s">
        <v>1846</v>
      </c>
    </row>
    <row r="1456" spans="2:4">
      <c r="D1456" t="s">
        <v>1860</v>
      </c>
    </row>
    <row r="1457" spans="2:5">
      <c r="E1457" t="s">
        <v>1847</v>
      </c>
    </row>
    <row r="1458" spans="2:5">
      <c r="E1458" t="s">
        <v>1848</v>
      </c>
    </row>
    <row r="1459" spans="2:5">
      <c r="C1459" t="s">
        <v>1849</v>
      </c>
    </row>
    <row r="1460" spans="2:5">
      <c r="C1460" t="s">
        <v>1850</v>
      </c>
    </row>
    <row r="1461" spans="2:5">
      <c r="D1461" t="s">
        <v>1851</v>
      </c>
    </row>
    <row r="1462" spans="2:5">
      <c r="C1462" t="s">
        <v>1852</v>
      </c>
    </row>
    <row r="1463" spans="2:5">
      <c r="D1463" t="s">
        <v>1853</v>
      </c>
    </row>
    <row r="1464" spans="2:5">
      <c r="D1464" t="s">
        <v>1854</v>
      </c>
    </row>
    <row r="1465" spans="2:5">
      <c r="C1465" t="s">
        <v>1855</v>
      </c>
    </row>
    <row r="1466" spans="2:5">
      <c r="D1466" t="s">
        <v>1856</v>
      </c>
    </row>
    <row r="1467" spans="2:5">
      <c r="C1467" t="s">
        <v>1857</v>
      </c>
    </row>
    <row r="1468" spans="2:5">
      <c r="D1468" t="s">
        <v>1858</v>
      </c>
    </row>
    <row r="1469" spans="2:5">
      <c r="D1469" t="s">
        <v>1859</v>
      </c>
    </row>
    <row r="1471" spans="2:5">
      <c r="B1471" s="84" t="s">
        <v>232</v>
      </c>
    </row>
    <row r="1472" spans="2:5">
      <c r="C1472" t="s">
        <v>1861</v>
      </c>
    </row>
    <row r="1473" spans="2:3">
      <c r="B1473" t="s">
        <v>1862</v>
      </c>
    </row>
    <row r="1474" spans="2:3">
      <c r="C1474" t="s">
        <v>1863</v>
      </c>
    </row>
    <row r="1475" spans="2:3">
      <c r="C1475" t="s">
        <v>1865</v>
      </c>
    </row>
    <row r="1476" spans="2:3">
      <c r="B1476" t="s">
        <v>1866</v>
      </c>
    </row>
    <row r="1477" spans="2:3">
      <c r="C1477" s="85">
        <v>44136</v>
      </c>
    </row>
    <row r="1478" spans="2:3">
      <c r="C1478" t="s">
        <v>1867</v>
      </c>
    </row>
    <row r="1479" spans="2:3">
      <c r="B1479" t="s">
        <v>1868</v>
      </c>
    </row>
    <row r="1480" spans="2:3">
      <c r="B1480" t="s">
        <v>1869</v>
      </c>
    </row>
    <row r="1481" spans="2:3">
      <c r="C1481" t="s">
        <v>1870</v>
      </c>
    </row>
    <row r="1483" spans="2:3">
      <c r="B1483" s="17" t="s">
        <v>1871</v>
      </c>
    </row>
    <row r="1485" spans="2:3">
      <c r="B1485" t="s">
        <v>1873</v>
      </c>
    </row>
    <row r="1486" spans="2:3">
      <c r="C1486" t="s">
        <v>1874</v>
      </c>
    </row>
    <row r="1487" spans="2:3">
      <c r="B1487" t="s">
        <v>1134</v>
      </c>
    </row>
    <row r="1488" spans="2:3">
      <c r="C1488" t="s">
        <v>1875</v>
      </c>
    </row>
    <row r="1489" spans="2:4">
      <c r="B1489" t="s">
        <v>1876</v>
      </c>
    </row>
    <row r="1491" spans="2:4">
      <c r="B1491" t="s">
        <v>1877</v>
      </c>
    </row>
    <row r="1492" spans="2:4">
      <c r="C1492" s="78" t="s">
        <v>1878</v>
      </c>
    </row>
    <row r="1493" spans="2:4">
      <c r="D1493" t="s">
        <v>1879</v>
      </c>
    </row>
    <row r="1494" spans="2:4">
      <c r="D1494" t="s">
        <v>1880</v>
      </c>
    </row>
    <row r="1495" spans="2:4">
      <c r="B1495" t="s">
        <v>1881</v>
      </c>
    </row>
    <row r="1496" spans="2:4">
      <c r="C1496" t="s">
        <v>1882</v>
      </c>
    </row>
    <row r="1497" spans="2:4">
      <c r="C1497" t="s">
        <v>1883</v>
      </c>
    </row>
    <row r="1498" spans="2:4">
      <c r="C1498" t="s">
        <v>1884</v>
      </c>
    </row>
    <row r="1499" spans="2:4">
      <c r="C1499" t="s">
        <v>1885</v>
      </c>
    </row>
    <row r="1500" spans="2:4">
      <c r="C1500" t="s">
        <v>1886</v>
      </c>
    </row>
    <row r="1502" spans="2:4">
      <c r="C1502" t="s">
        <v>1887</v>
      </c>
    </row>
    <row r="1503" spans="2:4">
      <c r="C1503" t="s">
        <v>1888</v>
      </c>
    </row>
    <row r="1504" spans="2:4">
      <c r="D1504" t="s">
        <v>1889</v>
      </c>
    </row>
    <row r="1505" spans="2:5">
      <c r="D1505" t="s">
        <v>1890</v>
      </c>
    </row>
    <row r="1506" spans="2:5">
      <c r="C1506" t="s">
        <v>1891</v>
      </c>
    </row>
    <row r="1507" spans="2:5">
      <c r="B1507" t="s">
        <v>1892</v>
      </c>
    </row>
    <row r="1508" spans="2:5">
      <c r="C1508" t="s">
        <v>1895</v>
      </c>
    </row>
    <row r="1509" spans="2:5">
      <c r="C1509" t="s">
        <v>1893</v>
      </c>
    </row>
    <row r="1510" spans="2:5">
      <c r="D1510" t="s">
        <v>1894</v>
      </c>
    </row>
    <row r="1511" spans="2:5">
      <c r="B1511" t="s">
        <v>1896</v>
      </c>
    </row>
    <row r="1512" spans="2:5">
      <c r="C1512" t="s">
        <v>1924</v>
      </c>
    </row>
    <row r="1513" spans="2:5">
      <c r="C1513" t="s">
        <v>1897</v>
      </c>
    </row>
    <row r="1514" spans="2:5">
      <c r="D1514" t="s">
        <v>1899</v>
      </c>
    </row>
    <row r="1515" spans="2:5">
      <c r="D1515" t="s">
        <v>1898</v>
      </c>
    </row>
    <row r="1516" spans="2:5">
      <c r="C1516" t="s">
        <v>1920</v>
      </c>
    </row>
    <row r="1517" spans="2:5">
      <c r="D1517" t="s">
        <v>1921</v>
      </c>
    </row>
    <row r="1518" spans="2:5">
      <c r="D1518" t="s">
        <v>1922</v>
      </c>
    </row>
    <row r="1519" spans="2:5">
      <c r="E1519" t="s">
        <v>1923</v>
      </c>
    </row>
    <row r="1520" spans="2:5">
      <c r="B1520" t="s">
        <v>22</v>
      </c>
    </row>
    <row r="1521" spans="2:5">
      <c r="C1521" t="s">
        <v>1900</v>
      </c>
    </row>
    <row r="1522" spans="2:5">
      <c r="C1522" t="s">
        <v>1901</v>
      </c>
    </row>
    <row r="1523" spans="2:5">
      <c r="D1523" t="s">
        <v>1902</v>
      </c>
    </row>
    <row r="1524" spans="2:5">
      <c r="D1524" t="s">
        <v>1903</v>
      </c>
    </row>
    <row r="1525" spans="2:5">
      <c r="E1525" t="s">
        <v>1904</v>
      </c>
    </row>
    <row r="1526" spans="2:5">
      <c r="B1526" t="s">
        <v>1905</v>
      </c>
    </row>
    <row r="1527" spans="2:5">
      <c r="C1527" t="s">
        <v>1907</v>
      </c>
    </row>
    <row r="1528" spans="2:5">
      <c r="D1528" t="s">
        <v>1908</v>
      </c>
    </row>
    <row r="1529" spans="2:5">
      <c r="D1529" t="s">
        <v>1910</v>
      </c>
    </row>
    <row r="1530" spans="2:5">
      <c r="C1530" t="s">
        <v>1909</v>
      </c>
    </row>
    <row r="1531" spans="2:5">
      <c r="B1531" t="s">
        <v>1915</v>
      </c>
    </row>
    <row r="1532" spans="2:5">
      <c r="C1532" t="s">
        <v>1916</v>
      </c>
    </row>
    <row r="1533" spans="2:5">
      <c r="C1533" t="s">
        <v>1917</v>
      </c>
    </row>
    <row r="1534" spans="2:5">
      <c r="C1534" t="s">
        <v>1918</v>
      </c>
    </row>
    <row r="1535" spans="2:5">
      <c r="C1535" t="s">
        <v>1919</v>
      </c>
    </row>
    <row r="1536" spans="2:5">
      <c r="B1536" t="s">
        <v>1906</v>
      </c>
    </row>
    <row r="1537" spans="2:5">
      <c r="C1537" t="s">
        <v>1925</v>
      </c>
    </row>
    <row r="1538" spans="2:5">
      <c r="C1538" t="s">
        <v>1926</v>
      </c>
    </row>
    <row r="1539" spans="2:5">
      <c r="C1539" t="s">
        <v>1927</v>
      </c>
    </row>
    <row r="1540" spans="2:5">
      <c r="C1540" t="s">
        <v>1928</v>
      </c>
    </row>
    <row r="1541" spans="2:5">
      <c r="B1541" t="s">
        <v>1702</v>
      </c>
    </row>
    <row r="1542" spans="2:5">
      <c r="C1542" t="s">
        <v>1911</v>
      </c>
    </row>
    <row r="1543" spans="2:5">
      <c r="D1543" t="s">
        <v>1912</v>
      </c>
    </row>
    <row r="1544" spans="2:5">
      <c r="D1544" t="s">
        <v>1913</v>
      </c>
    </row>
    <row r="1545" spans="2:5">
      <c r="E1545" t="s">
        <v>1914</v>
      </c>
    </row>
    <row r="1547" spans="2:5">
      <c r="B1547" s="17" t="s">
        <v>1929</v>
      </c>
    </row>
    <row r="1549" spans="2:5">
      <c r="B1549" t="s">
        <v>1930</v>
      </c>
      <c r="C1549" t="s">
        <v>1931</v>
      </c>
    </row>
    <row r="1550" spans="2:5">
      <c r="C1550" t="s">
        <v>1932</v>
      </c>
    </row>
    <row r="1551" spans="2:5">
      <c r="B1551" t="s">
        <v>230</v>
      </c>
    </row>
    <row r="1552" spans="2:5">
      <c r="C1552" t="s">
        <v>1933</v>
      </c>
    </row>
    <row r="1553" spans="2:5">
      <c r="D1553" t="s">
        <v>1934</v>
      </c>
    </row>
    <row r="1554" spans="2:5">
      <c r="C1554" t="s">
        <v>1935</v>
      </c>
    </row>
    <row r="1555" spans="2:5">
      <c r="C1555" t="s">
        <v>1936</v>
      </c>
    </row>
    <row r="1556" spans="2:5">
      <c r="D1556" t="s">
        <v>1937</v>
      </c>
    </row>
    <row r="1557" spans="2:5">
      <c r="B1557" t="s">
        <v>1938</v>
      </c>
    </row>
    <row r="1558" spans="2:5">
      <c r="C1558" t="s">
        <v>1939</v>
      </c>
    </row>
    <row r="1559" spans="2:5">
      <c r="D1559" t="s">
        <v>1941</v>
      </c>
    </row>
    <row r="1560" spans="2:5">
      <c r="D1560" t="s">
        <v>1942</v>
      </c>
    </row>
    <row r="1561" spans="2:5">
      <c r="D1561" t="s">
        <v>1943</v>
      </c>
    </row>
    <row r="1562" spans="2:5">
      <c r="E1562" t="s">
        <v>1944</v>
      </c>
    </row>
    <row r="1563" spans="2:5">
      <c r="C1563" t="s">
        <v>1940</v>
      </c>
    </row>
    <row r="1564" spans="2:5">
      <c r="C1564" t="s">
        <v>1946</v>
      </c>
    </row>
    <row r="1565" spans="2:5">
      <c r="C1565" t="s">
        <v>1945</v>
      </c>
    </row>
    <row r="1566" spans="2:5">
      <c r="C1566" t="s">
        <v>1947</v>
      </c>
    </row>
    <row r="1567" spans="2:5">
      <c r="B1567" t="s">
        <v>1948</v>
      </c>
      <c r="C1567" t="s">
        <v>1949</v>
      </c>
    </row>
    <row r="1569" spans="2:4">
      <c r="B1569" t="s">
        <v>1950</v>
      </c>
    </row>
    <row r="1570" spans="2:4">
      <c r="C1570" t="s">
        <v>1951</v>
      </c>
    </row>
    <row r="1571" spans="2:4">
      <c r="C1571" t="s">
        <v>1952</v>
      </c>
    </row>
    <row r="1572" spans="2:4">
      <c r="D1572" t="s">
        <v>1953</v>
      </c>
    </row>
    <row r="1573" spans="2:4">
      <c r="D1573" t="s">
        <v>1954</v>
      </c>
    </row>
    <row r="1574" spans="2:4">
      <c r="B1574" t="s">
        <v>1134</v>
      </c>
    </row>
    <row r="1575" spans="2:4">
      <c r="C1575" t="s">
        <v>1955</v>
      </c>
    </row>
    <row r="1576" spans="2:4">
      <c r="D1576" t="s">
        <v>1956</v>
      </c>
    </row>
    <row r="1577" spans="2:4">
      <c r="D1577" t="s">
        <v>1957</v>
      </c>
    </row>
    <row r="1578" spans="2:4">
      <c r="C1578" t="s">
        <v>1958</v>
      </c>
    </row>
    <row r="1579" spans="2:4">
      <c r="D1579" t="s">
        <v>1959</v>
      </c>
    </row>
    <row r="1580" spans="2:4">
      <c r="D1580" t="s">
        <v>1960</v>
      </c>
    </row>
    <row r="1581" spans="2:4">
      <c r="D1581" t="s">
        <v>1961</v>
      </c>
    </row>
    <row r="1582" spans="2:4">
      <c r="C1582" t="s">
        <v>1881</v>
      </c>
    </row>
    <row r="1583" spans="2:4">
      <c r="D1583" t="s">
        <v>1962</v>
      </c>
    </row>
    <row r="1584" spans="2:4">
      <c r="C1584" t="s">
        <v>1963</v>
      </c>
    </row>
    <row r="1585" spans="2:4">
      <c r="D1585" t="s">
        <v>1964</v>
      </c>
    </row>
    <row r="1586" spans="2:4">
      <c r="C1586" t="s">
        <v>605</v>
      </c>
    </row>
    <row r="1587" spans="2:4">
      <c r="B1587" t="s">
        <v>1965</v>
      </c>
    </row>
    <row r="1588" spans="2:4">
      <c r="C1588" t="s">
        <v>1966</v>
      </c>
    </row>
    <row r="1589" spans="2:4">
      <c r="C1589" t="s">
        <v>1967</v>
      </c>
    </row>
    <row r="1590" spans="2:4">
      <c r="C1590" t="s">
        <v>1968</v>
      </c>
    </row>
    <row r="1591" spans="2:4">
      <c r="C1591" t="s">
        <v>1969</v>
      </c>
    </row>
    <row r="1592" spans="2:4">
      <c r="B1592" t="s">
        <v>1970</v>
      </c>
    </row>
    <row r="1593" spans="2:4">
      <c r="B1593" t="s">
        <v>1974</v>
      </c>
      <c r="C1593" t="s">
        <v>1971</v>
      </c>
    </row>
    <row r="1594" spans="2:4">
      <c r="B1594" t="s">
        <v>1975</v>
      </c>
      <c r="D1594" t="s">
        <v>1972</v>
      </c>
    </row>
    <row r="1595" spans="2:4">
      <c r="D1595" t="s">
        <v>1973</v>
      </c>
    </row>
    <row r="1596" spans="2:4">
      <c r="B1596" t="s">
        <v>1702</v>
      </c>
    </row>
    <row r="1597" spans="2:4">
      <c r="C1597" t="s">
        <v>1976</v>
      </c>
    </row>
    <row r="1598" spans="2:4">
      <c r="C1598" t="s">
        <v>1977</v>
      </c>
    </row>
    <row r="1599" spans="2:4">
      <c r="D1599" t="s">
        <v>1978</v>
      </c>
    </row>
    <row r="1600" spans="2:4">
      <c r="C1600" t="s">
        <v>665</v>
      </c>
    </row>
    <row r="1601" spans="2:4">
      <c r="D1601" t="s">
        <v>1979</v>
      </c>
    </row>
    <row r="1602" spans="2:4">
      <c r="D1602" t="s">
        <v>1980</v>
      </c>
    </row>
    <row r="1604" spans="2:4">
      <c r="D1604" t="s">
        <v>1981</v>
      </c>
    </row>
    <row r="1605" spans="2:4">
      <c r="B1605" t="s">
        <v>22</v>
      </c>
    </row>
    <row r="1606" spans="2:4">
      <c r="C1606" t="s">
        <v>1982</v>
      </c>
    </row>
    <row r="1607" spans="2:4">
      <c r="C1607" t="s">
        <v>1983</v>
      </c>
    </row>
    <row r="1609" spans="2:4">
      <c r="C1609" t="s">
        <v>1984</v>
      </c>
    </row>
    <row r="1610" spans="2:4">
      <c r="D1610" t="s">
        <v>1986</v>
      </c>
    </row>
    <row r="1611" spans="2:4">
      <c r="D1611" t="s">
        <v>1821</v>
      </c>
    </row>
    <row r="1612" spans="2:4">
      <c r="D1612" t="s">
        <v>1987</v>
      </c>
    </row>
    <row r="1613" spans="2:4">
      <c r="D1613" t="s">
        <v>1988</v>
      </c>
    </row>
    <row r="1614" spans="2:4">
      <c r="C1614" t="s">
        <v>1985</v>
      </c>
    </row>
    <row r="1615" spans="2:4">
      <c r="D1615" t="s">
        <v>1989</v>
      </c>
    </row>
    <row r="1616" spans="2:4">
      <c r="C1616" t="s">
        <v>1990</v>
      </c>
    </row>
    <row r="1617" spans="2:5">
      <c r="D1617" t="s">
        <v>1991</v>
      </c>
    </row>
    <row r="1618" spans="2:5">
      <c r="D1618" t="s">
        <v>1992</v>
      </c>
    </row>
    <row r="1619" spans="2:5">
      <c r="B1619" t="s">
        <v>279</v>
      </c>
    </row>
    <row r="1620" spans="2:5">
      <c r="C1620" t="s">
        <v>1993</v>
      </c>
    </row>
    <row r="1621" spans="2:5">
      <c r="C1621" t="s">
        <v>1994</v>
      </c>
    </row>
    <row r="1623" spans="2:5">
      <c r="C1623" t="s">
        <v>1995</v>
      </c>
    </row>
    <row r="1624" spans="2:5">
      <c r="D1624" t="s">
        <v>1996</v>
      </c>
    </row>
    <row r="1625" spans="2:5">
      <c r="C1625" t="s">
        <v>1997</v>
      </c>
    </row>
    <row r="1626" spans="2:5">
      <c r="B1626" t="s">
        <v>1998</v>
      </c>
    </row>
    <row r="1627" spans="2:5">
      <c r="C1627" t="s">
        <v>1999</v>
      </c>
    </row>
    <row r="1628" spans="2:5">
      <c r="D1628" t="s">
        <v>2000</v>
      </c>
    </row>
    <row r="1629" spans="2:5">
      <c r="D1629" t="s">
        <v>2001</v>
      </c>
    </row>
    <row r="1630" spans="2:5">
      <c r="E1630" t="s">
        <v>2002</v>
      </c>
    </row>
    <row r="1631" spans="2:5">
      <c r="C1631" t="s">
        <v>2003</v>
      </c>
    </row>
    <row r="1632" spans="2:5">
      <c r="C1632" t="s">
        <v>2004</v>
      </c>
    </row>
    <row r="1634" spans="2:8">
      <c r="B1634" s="17" t="s">
        <v>2080</v>
      </c>
    </row>
    <row r="1636" spans="2:8">
      <c r="B1636" t="s">
        <v>2081</v>
      </c>
    </row>
    <row r="1637" spans="2:8">
      <c r="C1637" t="s">
        <v>2083</v>
      </c>
    </row>
    <row r="1638" spans="2:8">
      <c r="D1638" t="s">
        <v>2084</v>
      </c>
    </row>
    <row r="1639" spans="2:8">
      <c r="D1639" t="s">
        <v>2085</v>
      </c>
      <c r="F1639" t="s">
        <v>2086</v>
      </c>
      <c r="G1639" t="s">
        <v>2087</v>
      </c>
      <c r="H1639" t="s">
        <v>2088</v>
      </c>
    </row>
    <row r="1640" spans="2:8">
      <c r="F1640" t="s">
        <v>2089</v>
      </c>
      <c r="G1640" t="s">
        <v>2090</v>
      </c>
    </row>
    <row r="1641" spans="2:8">
      <c r="C1641" t="s">
        <v>2082</v>
      </c>
    </row>
    <row r="1642" spans="2:8">
      <c r="B1642" t="s">
        <v>2091</v>
      </c>
    </row>
    <row r="1643" spans="2:8">
      <c r="C1643" t="s">
        <v>2092</v>
      </c>
    </row>
    <row r="1644" spans="2:8">
      <c r="C1644" t="s">
        <v>2093</v>
      </c>
    </row>
    <row r="1645" spans="2:8">
      <c r="D1645" t="s">
        <v>2094</v>
      </c>
    </row>
    <row r="1646" spans="2:8">
      <c r="D1646" t="s">
        <v>2095</v>
      </c>
    </row>
    <row r="1647" spans="2:8">
      <c r="C1647" t="s">
        <v>2096</v>
      </c>
    </row>
    <row r="1648" spans="2:8">
      <c r="B1648" t="s">
        <v>2097</v>
      </c>
    </row>
    <row r="1649" spans="2:5">
      <c r="C1649" t="s">
        <v>2098</v>
      </c>
    </row>
    <row r="1650" spans="2:5">
      <c r="D1650" t="s">
        <v>2099</v>
      </c>
    </row>
    <row r="1651" spans="2:5">
      <c r="C1651" t="s">
        <v>350</v>
      </c>
    </row>
    <row r="1652" spans="2:5">
      <c r="D1652" t="s">
        <v>2100</v>
      </c>
    </row>
    <row r="1653" spans="2:5">
      <c r="B1653" t="s">
        <v>2101</v>
      </c>
    </row>
    <row r="1654" spans="2:5">
      <c r="C1654" t="s">
        <v>2102</v>
      </c>
    </row>
    <row r="1655" spans="2:5">
      <c r="C1655" t="s">
        <v>2103</v>
      </c>
    </row>
    <row r="1656" spans="2:5">
      <c r="B1656" t="s">
        <v>1938</v>
      </c>
    </row>
    <row r="1657" spans="2:5">
      <c r="C1657" t="s">
        <v>2106</v>
      </c>
    </row>
    <row r="1658" spans="2:5">
      <c r="D1658" t="s">
        <v>1938</v>
      </c>
      <c r="E1658" s="89">
        <v>0.03</v>
      </c>
    </row>
    <row r="1659" spans="2:5">
      <c r="C1659" t="s">
        <v>2104</v>
      </c>
      <c r="E1659" t="s">
        <v>2107</v>
      </c>
    </row>
    <row r="1660" spans="2:5">
      <c r="E1660" s="20" t="s">
        <v>2105</v>
      </c>
    </row>
    <row r="1661" spans="2:5">
      <c r="B1661" t="s">
        <v>1134</v>
      </c>
    </row>
    <row r="1662" spans="2:5">
      <c r="C1662" t="s">
        <v>2108</v>
      </c>
    </row>
    <row r="1663" spans="2:5">
      <c r="C1663" t="s">
        <v>2109</v>
      </c>
    </row>
    <row r="1664" spans="2:5">
      <c r="D1664" t="s">
        <v>2110</v>
      </c>
    </row>
    <row r="1665" spans="2:4">
      <c r="D1665" t="s">
        <v>2111</v>
      </c>
    </row>
    <row r="1666" spans="2:4">
      <c r="C1666" t="s">
        <v>2112</v>
      </c>
    </row>
    <row r="1667" spans="2:4">
      <c r="D1667" t="s">
        <v>2113</v>
      </c>
    </row>
    <row r="1668" spans="2:4">
      <c r="B1668" t="s">
        <v>2114</v>
      </c>
    </row>
    <row r="1669" spans="2:4">
      <c r="C1669" t="s">
        <v>2115</v>
      </c>
    </row>
    <row r="1670" spans="2:4">
      <c r="C1670" t="s">
        <v>2118</v>
      </c>
    </row>
    <row r="1671" spans="2:4">
      <c r="C1671" t="s">
        <v>2116</v>
      </c>
    </row>
    <row r="1672" spans="2:4">
      <c r="D1672" t="s">
        <v>2117</v>
      </c>
    </row>
    <row r="1673" spans="2:4">
      <c r="C1673" t="s">
        <v>2119</v>
      </c>
    </row>
    <row r="1674" spans="2:4">
      <c r="B1674" t="s">
        <v>1998</v>
      </c>
    </row>
    <row r="1675" spans="2:4">
      <c r="C1675" t="s">
        <v>2124</v>
      </c>
    </row>
    <row r="1677" spans="2:4">
      <c r="C1677" t="s">
        <v>2120</v>
      </c>
    </row>
    <row r="1678" spans="2:4">
      <c r="C1678" t="s">
        <v>1702</v>
      </c>
      <c r="D1678" t="s">
        <v>2121</v>
      </c>
    </row>
    <row r="1679" spans="2:4">
      <c r="D1679" t="s">
        <v>2122</v>
      </c>
    </row>
    <row r="1680" spans="2:4">
      <c r="C1680" t="s">
        <v>2123</v>
      </c>
    </row>
    <row r="1682" spans="2:4">
      <c r="C1682" t="s">
        <v>2125</v>
      </c>
    </row>
    <row r="1683" spans="2:4">
      <c r="B1683" t="s">
        <v>25</v>
      </c>
    </row>
    <row r="1684" spans="2:4">
      <c r="C1684" t="s">
        <v>2126</v>
      </c>
    </row>
    <row r="1685" spans="2:4">
      <c r="C1685" t="s">
        <v>2127</v>
      </c>
    </row>
    <row r="1686" spans="2:4">
      <c r="B1686" t="s">
        <v>22</v>
      </c>
    </row>
    <row r="1687" spans="2:4">
      <c r="C1687" t="s">
        <v>2128</v>
      </c>
    </row>
    <row r="1688" spans="2:4">
      <c r="C1688" t="s">
        <v>2129</v>
      </c>
    </row>
    <row r="1689" spans="2:4">
      <c r="B1689" t="s">
        <v>2130</v>
      </c>
    </row>
    <row r="1690" spans="2:4">
      <c r="C1690" t="s">
        <v>2131</v>
      </c>
    </row>
    <row r="1691" spans="2:4">
      <c r="C1691" t="s">
        <v>2132</v>
      </c>
    </row>
    <row r="1692" spans="2:4">
      <c r="D1692" t="s">
        <v>2133</v>
      </c>
    </row>
    <row r="1693" spans="2:4">
      <c r="C1693" t="s">
        <v>2134</v>
      </c>
    </row>
    <row r="1694" spans="2:4">
      <c r="D1694" t="s">
        <v>2135</v>
      </c>
    </row>
    <row r="1695" spans="2:4">
      <c r="D1695" t="s">
        <v>2136</v>
      </c>
    </row>
    <row r="1696" spans="2:4">
      <c r="B1696" t="s">
        <v>279</v>
      </c>
    </row>
    <row r="1697" spans="2:4">
      <c r="C1697" t="s">
        <v>2137</v>
      </c>
    </row>
    <row r="1698" spans="2:4">
      <c r="C1698" t="s">
        <v>2138</v>
      </c>
    </row>
    <row r="1699" spans="2:4">
      <c r="D1699" t="s">
        <v>893</v>
      </c>
    </row>
    <row r="1700" spans="2:4">
      <c r="D1700" t="s">
        <v>2139</v>
      </c>
    </row>
    <row r="1701" spans="2:4">
      <c r="D1701" t="s">
        <v>2140</v>
      </c>
    </row>
    <row r="1702" spans="2:4">
      <c r="C1702" t="s">
        <v>2141</v>
      </c>
    </row>
    <row r="1703" spans="2:4">
      <c r="C1703" t="s">
        <v>2142</v>
      </c>
    </row>
    <row r="1704" spans="2:4">
      <c r="B1704" t="s">
        <v>1869</v>
      </c>
    </row>
    <row r="1705" spans="2:4">
      <c r="C1705" t="s">
        <v>2143</v>
      </c>
    </row>
    <row r="1706" spans="2:4">
      <c r="C1706" t="s">
        <v>2144</v>
      </c>
    </row>
    <row r="1707" spans="2:4">
      <c r="D1707" t="s">
        <v>2145</v>
      </c>
    </row>
    <row r="1708" spans="2:4">
      <c r="D1708" t="s">
        <v>2146</v>
      </c>
    </row>
    <row r="1709" spans="2:4">
      <c r="B1709" t="s">
        <v>2148</v>
      </c>
    </row>
    <row r="1710" spans="2:4">
      <c r="C1710" t="s">
        <v>2147</v>
      </c>
    </row>
    <row r="1711" spans="2:4">
      <c r="C1711" t="s">
        <v>2149</v>
      </c>
    </row>
    <row r="1712" spans="2:4">
      <c r="C1712" t="s">
        <v>2150</v>
      </c>
      <c r="D1712" t="s">
        <v>2151</v>
      </c>
    </row>
    <row r="1713" spans="2:5">
      <c r="C1713" t="s">
        <v>2152</v>
      </c>
      <c r="D1713" t="s">
        <v>2153</v>
      </c>
    </row>
    <row r="1714" spans="2:5">
      <c r="C1714" t="s">
        <v>2154</v>
      </c>
    </row>
    <row r="1715" spans="2:5">
      <c r="D1715" t="s">
        <v>2155</v>
      </c>
    </row>
    <row r="1716" spans="2:5">
      <c r="D1716" t="s">
        <v>2156</v>
      </c>
    </row>
    <row r="1718" spans="2:5">
      <c r="B1718" s="57" t="s">
        <v>2158</v>
      </c>
    </row>
    <row r="1720" spans="2:5">
      <c r="B1720" t="s">
        <v>2159</v>
      </c>
      <c r="C1720" t="s">
        <v>2160</v>
      </c>
    </row>
    <row r="1721" spans="2:5">
      <c r="C1721" t="s">
        <v>2166</v>
      </c>
    </row>
    <row r="1722" spans="2:5">
      <c r="B1722" t="s">
        <v>1984</v>
      </c>
      <c r="C1722" t="s">
        <v>2162</v>
      </c>
    </row>
    <row r="1723" spans="2:5">
      <c r="C1723" t="s">
        <v>2164</v>
      </c>
    </row>
    <row r="1724" spans="2:5">
      <c r="C1724" t="s">
        <v>2163</v>
      </c>
    </row>
    <row r="1725" spans="2:5">
      <c r="C1725" t="s">
        <v>2165</v>
      </c>
    </row>
    <row r="1726" spans="2:5">
      <c r="B1726" t="s">
        <v>2161</v>
      </c>
      <c r="C1726" t="s">
        <v>2167</v>
      </c>
      <c r="E1726">
        <v>70</v>
      </c>
    </row>
    <row r="1727" spans="2:5">
      <c r="C1727" t="s">
        <v>2169</v>
      </c>
      <c r="E1727">
        <v>30</v>
      </c>
    </row>
    <row r="1728" spans="2:5">
      <c r="E1728" s="20" t="s">
        <v>2168</v>
      </c>
    </row>
    <row r="1729" spans="2:5">
      <c r="C1729" t="s">
        <v>2170</v>
      </c>
    </row>
    <row r="1730" spans="2:5">
      <c r="C1730" t="s">
        <v>2171</v>
      </c>
    </row>
    <row r="1731" spans="2:5">
      <c r="B1731" t="s">
        <v>2172</v>
      </c>
      <c r="C1731" t="s">
        <v>2173</v>
      </c>
    </row>
    <row r="1732" spans="2:5">
      <c r="C1732" t="s">
        <v>2174</v>
      </c>
    </row>
    <row r="1733" spans="2:5">
      <c r="C1733" t="s">
        <v>2175</v>
      </c>
    </row>
    <row r="1734" spans="2:5">
      <c r="D1734" t="s">
        <v>2176</v>
      </c>
    </row>
    <row r="1735" spans="2:5">
      <c r="C1735" t="s">
        <v>2177</v>
      </c>
    </row>
    <row r="1736" spans="2:5">
      <c r="B1736" s="59" t="s">
        <v>2178</v>
      </c>
    </row>
    <row r="1737" spans="2:5">
      <c r="C1737" t="s">
        <v>2179</v>
      </c>
    </row>
    <row r="1738" spans="2:5">
      <c r="D1738" t="s">
        <v>2180</v>
      </c>
    </row>
    <row r="1739" spans="2:5">
      <c r="D1739" t="s">
        <v>2181</v>
      </c>
    </row>
    <row r="1740" spans="2:5">
      <c r="E1740" t="s">
        <v>2183</v>
      </c>
    </row>
    <row r="1741" spans="2:5">
      <c r="E1741" t="s">
        <v>2184</v>
      </c>
    </row>
    <row r="1742" spans="2:5">
      <c r="D1742" t="s">
        <v>2182</v>
      </c>
    </row>
    <row r="1743" spans="2:5">
      <c r="B1743" t="s">
        <v>2185</v>
      </c>
    </row>
    <row r="1744" spans="2:5">
      <c r="C1744" t="s">
        <v>2186</v>
      </c>
    </row>
    <row r="1745" spans="2:4">
      <c r="C1745" t="s">
        <v>2189</v>
      </c>
    </row>
    <row r="1746" spans="2:4">
      <c r="D1746" t="s">
        <v>2188</v>
      </c>
    </row>
    <row r="1747" spans="2:4">
      <c r="D1747" t="s">
        <v>2187</v>
      </c>
    </row>
    <row r="1748" spans="2:4">
      <c r="B1748" t="s">
        <v>44</v>
      </c>
    </row>
    <row r="1750" spans="2:4">
      <c r="B1750" s="57" t="s">
        <v>2190</v>
      </c>
    </row>
    <row r="1752" spans="2:4">
      <c r="B1752" t="s">
        <v>2209</v>
      </c>
    </row>
    <row r="1753" spans="2:4">
      <c r="C1753" t="s">
        <v>2211</v>
      </c>
    </row>
    <row r="1754" spans="2:4">
      <c r="C1754" t="s">
        <v>2210</v>
      </c>
    </row>
    <row r="1755" spans="2:4">
      <c r="C1755" t="s">
        <v>2226</v>
      </c>
    </row>
    <row r="1756" spans="2:4">
      <c r="C1756" t="s">
        <v>2227</v>
      </c>
    </row>
    <row r="1757" spans="2:4">
      <c r="B1757" t="s">
        <v>2212</v>
      </c>
    </row>
    <row r="1758" spans="2:4">
      <c r="C1758" t="s">
        <v>2213</v>
      </c>
    </row>
    <row r="1759" spans="2:4">
      <c r="C1759" t="s">
        <v>2214</v>
      </c>
    </row>
    <row r="1760" spans="2:4">
      <c r="C1760" t="s">
        <v>2215</v>
      </c>
    </row>
    <row r="1761" spans="2:4">
      <c r="D1761" t="s">
        <v>2216</v>
      </c>
    </row>
    <row r="1762" spans="2:4">
      <c r="D1762" t="s">
        <v>2217</v>
      </c>
    </row>
    <row r="1763" spans="2:4">
      <c r="C1763" t="s">
        <v>2218</v>
      </c>
    </row>
    <row r="1764" spans="2:4">
      <c r="B1764" t="s">
        <v>1134</v>
      </c>
    </row>
    <row r="1765" spans="2:4">
      <c r="C1765" t="s">
        <v>2220</v>
      </c>
    </row>
    <row r="1766" spans="2:4">
      <c r="C1766" t="s">
        <v>2221</v>
      </c>
    </row>
    <row r="1767" spans="2:4">
      <c r="B1767" t="s">
        <v>2219</v>
      </c>
    </row>
    <row r="1769" spans="2:4">
      <c r="B1769" t="s">
        <v>2194</v>
      </c>
    </row>
    <row r="1770" spans="2:4">
      <c r="C1770" t="s">
        <v>2222</v>
      </c>
    </row>
    <row r="1771" spans="2:4">
      <c r="D1771" t="s">
        <v>2223</v>
      </c>
    </row>
    <row r="1772" spans="2:4">
      <c r="C1772" t="s">
        <v>2191</v>
      </c>
    </row>
    <row r="1773" spans="2:4">
      <c r="C1773" t="s">
        <v>2192</v>
      </c>
    </row>
    <row r="1774" spans="2:4">
      <c r="C1774" t="s">
        <v>2193</v>
      </c>
    </row>
    <row r="1775" spans="2:4">
      <c r="B1775" t="s">
        <v>2224</v>
      </c>
    </row>
    <row r="1776" spans="2:4">
      <c r="C1776" t="s">
        <v>2225</v>
      </c>
    </row>
    <row r="1777" spans="2:4">
      <c r="D1777" t="s">
        <v>532</v>
      </c>
    </row>
    <row r="1778" spans="2:4">
      <c r="B1778" t="s">
        <v>1134</v>
      </c>
    </row>
    <row r="1779" spans="2:4">
      <c r="C1779" t="s">
        <v>2197</v>
      </c>
    </row>
    <row r="1780" spans="2:4">
      <c r="B1780" t="s">
        <v>2195</v>
      </c>
    </row>
    <row r="1781" spans="2:4">
      <c r="C1781" t="s">
        <v>2196</v>
      </c>
    </row>
    <row r="1782" spans="2:4">
      <c r="C1782" t="s">
        <v>2198</v>
      </c>
    </row>
    <row r="1783" spans="2:4">
      <c r="D1783" t="s">
        <v>2202</v>
      </c>
    </row>
    <row r="1784" spans="2:4">
      <c r="D1784" t="s">
        <v>2203</v>
      </c>
    </row>
    <row r="1785" spans="2:4">
      <c r="D1785" t="s">
        <v>2204</v>
      </c>
    </row>
    <row r="1786" spans="2:4">
      <c r="C1786" t="s">
        <v>2199</v>
      </c>
    </row>
    <row r="1787" spans="2:4">
      <c r="C1787" t="s">
        <v>2200</v>
      </c>
    </row>
    <row r="1788" spans="2:4">
      <c r="D1788" t="s">
        <v>2201</v>
      </c>
    </row>
    <row r="1789" spans="2:4">
      <c r="B1789" t="s">
        <v>2205</v>
      </c>
    </row>
    <row r="1790" spans="2:4">
      <c r="B1790" t="s">
        <v>2206</v>
      </c>
    </row>
    <row r="1791" spans="2:4">
      <c r="C1791" t="s">
        <v>2207</v>
      </c>
    </row>
    <row r="1792" spans="2:4">
      <c r="B1792" t="s">
        <v>22</v>
      </c>
    </row>
    <row r="1793" spans="2:4">
      <c r="C1793" t="s">
        <v>2228</v>
      </c>
    </row>
    <row r="1794" spans="2:4">
      <c r="C1794" t="s">
        <v>2229</v>
      </c>
    </row>
    <row r="1795" spans="2:4">
      <c r="D1795" t="s">
        <v>2230</v>
      </c>
    </row>
    <row r="1796" spans="2:4">
      <c r="C1796" t="s">
        <v>2208</v>
      </c>
    </row>
    <row r="1798" spans="2:4">
      <c r="B1798" s="57" t="s">
        <v>2231</v>
      </c>
    </row>
    <row r="1800" spans="2:4">
      <c r="B1800" t="s">
        <v>2232</v>
      </c>
    </row>
    <row r="1801" spans="2:4">
      <c r="C1801" t="s">
        <v>2247</v>
      </c>
    </row>
    <row r="1802" spans="2:4">
      <c r="C1802" t="s">
        <v>2248</v>
      </c>
    </row>
    <row r="1803" spans="2:4">
      <c r="B1803" t="s">
        <v>2249</v>
      </c>
    </row>
    <row r="1804" spans="2:4">
      <c r="C1804" t="s">
        <v>2250</v>
      </c>
    </row>
    <row r="1805" spans="2:4">
      <c r="B1805" t="s">
        <v>2246</v>
      </c>
    </row>
    <row r="1806" spans="2:4">
      <c r="C1806" t="s">
        <v>2234</v>
      </c>
    </row>
    <row r="1807" spans="2:4">
      <c r="D1807" t="s">
        <v>2233</v>
      </c>
    </row>
    <row r="1808" spans="2:4">
      <c r="C1808" t="s">
        <v>2235</v>
      </c>
    </row>
    <row r="1809" spans="2:3">
      <c r="C1809" t="s">
        <v>2236</v>
      </c>
    </row>
    <row r="1810" spans="2:3">
      <c r="C1810" t="s">
        <v>2237</v>
      </c>
    </row>
    <row r="1811" spans="2:3">
      <c r="C1811" t="s">
        <v>2238</v>
      </c>
    </row>
    <row r="1812" spans="2:3">
      <c r="C1812" t="s">
        <v>2239</v>
      </c>
    </row>
    <row r="1813" spans="2:3">
      <c r="B1813" t="s">
        <v>2240</v>
      </c>
    </row>
    <row r="1814" spans="2:3">
      <c r="C1814" t="s">
        <v>2241</v>
      </c>
    </row>
    <row r="1815" spans="2:3">
      <c r="B1815" t="s">
        <v>2242</v>
      </c>
    </row>
    <row r="1816" spans="2:3">
      <c r="C1816" t="s">
        <v>2243</v>
      </c>
    </row>
    <row r="1817" spans="2:3">
      <c r="B1817" t="s">
        <v>2244</v>
      </c>
    </row>
    <row r="1818" spans="2:3">
      <c r="C1818" t="s">
        <v>2245</v>
      </c>
    </row>
    <row r="1819" spans="2:3">
      <c r="B1819" t="s">
        <v>2252</v>
      </c>
    </row>
    <row r="1820" spans="2:3">
      <c r="C1820" t="s">
        <v>2251</v>
      </c>
    </row>
    <row r="1821" spans="2:3">
      <c r="B1821" t="s">
        <v>2253</v>
      </c>
    </row>
    <row r="1822" spans="2:3">
      <c r="C1822" t="s">
        <v>2254</v>
      </c>
    </row>
    <row r="1823" spans="2:3">
      <c r="B1823" t="s">
        <v>1219</v>
      </c>
    </row>
    <row r="1824" spans="2:3">
      <c r="C1824" t="s">
        <v>2255</v>
      </c>
    </row>
    <row r="1825" spans="2:5">
      <c r="B1825" t="s">
        <v>2257</v>
      </c>
    </row>
    <row r="1826" spans="2:5">
      <c r="C1826" t="s">
        <v>2259</v>
      </c>
    </row>
    <row r="1827" spans="2:5">
      <c r="C1827" t="s">
        <v>2258</v>
      </c>
    </row>
    <row r="1828" spans="2:5">
      <c r="C1828" t="s">
        <v>2260</v>
      </c>
    </row>
    <row r="1829" spans="2:5">
      <c r="C1829" t="s">
        <v>2261</v>
      </c>
    </row>
    <row r="1830" spans="2:5">
      <c r="C1830" t="s">
        <v>2262</v>
      </c>
    </row>
    <row r="1831" spans="2:5">
      <c r="B1831" t="s">
        <v>2256</v>
      </c>
    </row>
    <row r="1832" spans="2:5">
      <c r="C1832" t="s">
        <v>2263</v>
      </c>
    </row>
    <row r="1833" spans="2:5">
      <c r="D1833" t="s">
        <v>2264</v>
      </c>
    </row>
    <row r="1834" spans="2:5">
      <c r="D1834" t="s">
        <v>2265</v>
      </c>
      <c r="E1834" t="s">
        <v>2267</v>
      </c>
    </row>
    <row r="1835" spans="2:5">
      <c r="C1835" t="s">
        <v>2266</v>
      </c>
    </row>
    <row r="1836" spans="2:5">
      <c r="B1836" t="s">
        <v>2268</v>
      </c>
    </row>
    <row r="1837" spans="2:5">
      <c r="C1837" t="s">
        <v>2269</v>
      </c>
    </row>
    <row r="1838" spans="2:5">
      <c r="B1838" t="s">
        <v>2270</v>
      </c>
    </row>
    <row r="1839" spans="2:5">
      <c r="C1839" t="s">
        <v>2271</v>
      </c>
    </row>
    <row r="1840" spans="2:5">
      <c r="B1840" t="s">
        <v>1639</v>
      </c>
    </row>
    <row r="1841" spans="2:4">
      <c r="C1841" t="s">
        <v>2272</v>
      </c>
    </row>
    <row r="1842" spans="2:4">
      <c r="D1842" t="s">
        <v>2273</v>
      </c>
    </row>
    <row r="1843" spans="2:4">
      <c r="C1843" t="s">
        <v>2274</v>
      </c>
    </row>
    <row r="1844" spans="2:4">
      <c r="B1844" t="s">
        <v>1881</v>
      </c>
    </row>
    <row r="1845" spans="2:4">
      <c r="C1845" t="s">
        <v>2275</v>
      </c>
    </row>
    <row r="1846" spans="2:4">
      <c r="C1846" t="s">
        <v>2277</v>
      </c>
    </row>
    <row r="1847" spans="2:4">
      <c r="C1847" t="s">
        <v>2276</v>
      </c>
    </row>
    <row r="1848" spans="2:4">
      <c r="B1848" t="s">
        <v>605</v>
      </c>
    </row>
    <row r="1849" spans="2:4">
      <c r="C1849" t="s">
        <v>2278</v>
      </c>
    </row>
    <row r="1850" spans="2:4">
      <c r="C1850" t="s">
        <v>2279</v>
      </c>
    </row>
    <row r="1851" spans="2:4">
      <c r="C1851" t="s">
        <v>1706</v>
      </c>
    </row>
    <row r="1852" spans="2:4">
      <c r="B1852" t="s">
        <v>22</v>
      </c>
    </row>
    <row r="1853" spans="2:4">
      <c r="C1853" t="s">
        <v>2153</v>
      </c>
    </row>
    <row r="1854" spans="2:4">
      <c r="C1854" t="s">
        <v>2280</v>
      </c>
    </row>
    <row r="1855" spans="2:4">
      <c r="C1855" t="s">
        <v>2281</v>
      </c>
    </row>
    <row r="1856" spans="2:4">
      <c r="C1856" t="s">
        <v>2282</v>
      </c>
    </row>
    <row r="1857" spans="2:4">
      <c r="C1857" t="s">
        <v>2284</v>
      </c>
    </row>
    <row r="1858" spans="2:4">
      <c r="D1858" t="s">
        <v>2283</v>
      </c>
    </row>
    <row r="1859" spans="2:4">
      <c r="B1859" t="s">
        <v>25</v>
      </c>
    </row>
    <row r="1860" spans="2:4">
      <c r="C1860" t="s">
        <v>2285</v>
      </c>
    </row>
    <row r="1861" spans="2:4">
      <c r="C1861" t="s">
        <v>2286</v>
      </c>
    </row>
    <row r="1862" spans="2:4">
      <c r="C1862" t="s">
        <v>2287</v>
      </c>
    </row>
    <row r="1863" spans="2:4">
      <c r="B1863" t="s">
        <v>1523</v>
      </c>
    </row>
    <row r="1864" spans="2:4">
      <c r="C1864" t="s">
        <v>2288</v>
      </c>
    </row>
    <row r="1865" spans="2:4">
      <c r="C1865" t="s">
        <v>2289</v>
      </c>
    </row>
    <row r="1866" spans="2:4">
      <c r="C1866" t="s">
        <v>2290</v>
      </c>
    </row>
    <row r="1867" spans="2:4">
      <c r="C1867" t="s">
        <v>2291</v>
      </c>
    </row>
    <row r="1868" spans="2:4">
      <c r="D1868" t="s">
        <v>2292</v>
      </c>
    </row>
    <row r="1869" spans="2:4">
      <c r="D1869" t="s">
        <v>359</v>
      </c>
    </row>
    <row r="1871" spans="2:4">
      <c r="B1871" s="17" t="s">
        <v>2307</v>
      </c>
    </row>
    <row r="1873" spans="2:4">
      <c r="B1873" t="s">
        <v>2308</v>
      </c>
    </row>
    <row r="1874" spans="2:4">
      <c r="C1874" t="s">
        <v>2309</v>
      </c>
    </row>
    <row r="1875" spans="2:4">
      <c r="D1875" t="s">
        <v>2310</v>
      </c>
    </row>
    <row r="1876" spans="2:4">
      <c r="C1876" t="s">
        <v>2311</v>
      </c>
    </row>
    <row r="1877" spans="2:4">
      <c r="D1877" t="s">
        <v>2312</v>
      </c>
    </row>
    <row r="1878" spans="2:4">
      <c r="C1878" t="s">
        <v>2315</v>
      </c>
    </row>
    <row r="1879" spans="2:4">
      <c r="D1879" t="s">
        <v>2313</v>
      </c>
    </row>
    <row r="1880" spans="2:4">
      <c r="D1880" t="s">
        <v>2314</v>
      </c>
    </row>
    <row r="1881" spans="2:4">
      <c r="B1881" t="s">
        <v>2316</v>
      </c>
    </row>
    <row r="1882" spans="2:4">
      <c r="C1882" t="s">
        <v>2317</v>
      </c>
    </row>
    <row r="1883" spans="2:4">
      <c r="C1883" t="s">
        <v>2318</v>
      </c>
    </row>
    <row r="1884" spans="2:4">
      <c r="B1884" s="17" t="s">
        <v>2256</v>
      </c>
    </row>
    <row r="1885" spans="2:4">
      <c r="B1885" t="s">
        <v>2322</v>
      </c>
    </row>
    <row r="1886" spans="2:4">
      <c r="C1886" t="s">
        <v>2319</v>
      </c>
    </row>
    <row r="1887" spans="2:4">
      <c r="C1887" t="s">
        <v>2323</v>
      </c>
    </row>
    <row r="1888" spans="2:4">
      <c r="C1888" t="s">
        <v>2324</v>
      </c>
    </row>
    <row r="1889" spans="2:5">
      <c r="C1889" t="s">
        <v>2329</v>
      </c>
    </row>
    <row r="1890" spans="2:5">
      <c r="D1890" t="s">
        <v>2330</v>
      </c>
      <c r="E1890" t="s">
        <v>2331</v>
      </c>
    </row>
    <row r="1891" spans="2:5">
      <c r="E1891" t="s">
        <v>2332</v>
      </c>
    </row>
    <row r="1892" spans="2:5">
      <c r="B1892" t="s">
        <v>2320</v>
      </c>
    </row>
    <row r="1893" spans="2:5">
      <c r="C1893" t="s">
        <v>2321</v>
      </c>
    </row>
    <row r="1894" spans="2:5">
      <c r="D1894" t="s">
        <v>2325</v>
      </c>
    </row>
    <row r="1895" spans="2:5">
      <c r="D1895" t="s">
        <v>2328</v>
      </c>
    </row>
    <row r="1896" spans="2:5">
      <c r="D1896" t="s">
        <v>2327</v>
      </c>
    </row>
    <row r="1897" spans="2:5">
      <c r="C1897" t="s">
        <v>2326</v>
      </c>
    </row>
    <row r="1898" spans="2:5">
      <c r="B1898" t="s">
        <v>2333</v>
      </c>
    </row>
    <row r="1899" spans="2:5">
      <c r="C1899" t="s">
        <v>2334</v>
      </c>
    </row>
    <row r="1900" spans="2:5">
      <c r="C1900" t="s">
        <v>2335</v>
      </c>
    </row>
    <row r="1901" spans="2:5">
      <c r="D1901" t="s">
        <v>2336</v>
      </c>
    </row>
    <row r="1902" spans="2:5">
      <c r="D1902" t="s">
        <v>2337</v>
      </c>
    </row>
    <row r="1903" spans="2:5">
      <c r="C1903" t="s">
        <v>2338</v>
      </c>
    </row>
    <row r="1904" spans="2:5">
      <c r="D1904" t="s">
        <v>2339</v>
      </c>
    </row>
    <row r="1905" spans="2:5">
      <c r="D1905" t="s">
        <v>2340</v>
      </c>
    </row>
    <row r="1906" spans="2:5">
      <c r="C1906" t="s">
        <v>2344</v>
      </c>
    </row>
    <row r="1907" spans="2:5">
      <c r="D1907" t="s">
        <v>2341</v>
      </c>
    </row>
    <row r="1908" spans="2:5">
      <c r="D1908" t="s">
        <v>2342</v>
      </c>
    </row>
    <row r="1909" spans="2:5">
      <c r="D1909" t="s">
        <v>2343</v>
      </c>
    </row>
    <row r="1910" spans="2:5">
      <c r="B1910" t="s">
        <v>2345</v>
      </c>
    </row>
    <row r="1911" spans="2:5">
      <c r="C1911" t="s">
        <v>2346</v>
      </c>
    </row>
    <row r="1912" spans="2:5">
      <c r="C1912" t="s">
        <v>2347</v>
      </c>
    </row>
    <row r="1913" spans="2:5">
      <c r="C1913" t="s">
        <v>2348</v>
      </c>
    </row>
    <row r="1914" spans="2:5">
      <c r="B1914" t="s">
        <v>22</v>
      </c>
    </row>
    <row r="1915" spans="2:5">
      <c r="D1915" t="s">
        <v>2350</v>
      </c>
      <c r="E1915" t="s">
        <v>2351</v>
      </c>
    </row>
    <row r="1916" spans="2:5">
      <c r="C1916" s="59">
        <v>2020</v>
      </c>
      <c r="D1916" s="59">
        <v>400</v>
      </c>
      <c r="E1916">
        <v>380</v>
      </c>
    </row>
    <row r="1917" spans="2:5">
      <c r="C1917" s="59">
        <v>2021</v>
      </c>
      <c r="D1917" s="59">
        <v>400</v>
      </c>
      <c r="E1917" t="s">
        <v>2349</v>
      </c>
    </row>
    <row r="1918" spans="2:5">
      <c r="C1918" s="59"/>
    </row>
    <row r="1919" spans="2:5">
      <c r="C1919" s="59">
        <v>2022</v>
      </c>
      <c r="D1919" s="59">
        <v>400</v>
      </c>
    </row>
    <row r="1920" spans="2:5">
      <c r="D1920" t="s">
        <v>2352</v>
      </c>
    </row>
    <row r="1921" spans="2:4">
      <c r="B1921" t="s">
        <v>1085</v>
      </c>
    </row>
    <row r="1922" spans="2:4">
      <c r="C1922" t="s">
        <v>2353</v>
      </c>
    </row>
    <row r="1923" spans="2:4">
      <c r="B1923" t="s">
        <v>2354</v>
      </c>
    </row>
    <row r="1924" spans="2:4">
      <c r="C1924" t="s">
        <v>2355</v>
      </c>
    </row>
    <row r="1925" spans="2:4">
      <c r="C1925" t="s">
        <v>2356</v>
      </c>
    </row>
    <row r="1927" spans="2:4">
      <c r="B1927" s="57" t="s">
        <v>2361</v>
      </c>
    </row>
    <row r="1929" spans="2:4">
      <c r="B1929" t="s">
        <v>2367</v>
      </c>
    </row>
    <row r="1930" spans="2:4">
      <c r="C1930" t="s">
        <v>2362</v>
      </c>
    </row>
    <row r="1931" spans="2:4">
      <c r="C1931" t="s">
        <v>2363</v>
      </c>
    </row>
    <row r="1932" spans="2:4">
      <c r="D1932" t="s">
        <v>2364</v>
      </c>
    </row>
    <row r="1933" spans="2:4">
      <c r="D1933" t="s">
        <v>2365</v>
      </c>
    </row>
    <row r="1934" spans="2:4">
      <c r="B1934" t="s">
        <v>2366</v>
      </c>
    </row>
    <row r="1935" spans="2:4">
      <c r="B1935" t="s">
        <v>2368</v>
      </c>
    </row>
    <row r="1936" spans="2:4">
      <c r="B1936" t="s">
        <v>2369</v>
      </c>
    </row>
    <row r="1937" spans="2:4">
      <c r="B1937" t="s">
        <v>2370</v>
      </c>
    </row>
    <row r="1938" spans="2:4">
      <c r="B1938" t="s">
        <v>2371</v>
      </c>
    </row>
    <row r="1940" spans="2:4">
      <c r="B1940" s="17" t="s">
        <v>363</v>
      </c>
      <c r="D1940" t="s">
        <v>5</v>
      </c>
    </row>
    <row r="1942" spans="2:4">
      <c r="B1942" t="s">
        <v>2372</v>
      </c>
    </row>
    <row r="1943" spans="2:4">
      <c r="C1943" t="s">
        <v>2375</v>
      </c>
    </row>
    <row r="1944" spans="2:4">
      <c r="C1944" t="s">
        <v>2373</v>
      </c>
    </row>
    <row r="1945" spans="2:4">
      <c r="C1945" t="s">
        <v>2374</v>
      </c>
    </row>
    <row r="1946" spans="2:4">
      <c r="C1946" t="s">
        <v>2376</v>
      </c>
    </row>
    <row r="1947" spans="2:4">
      <c r="B1947" t="s">
        <v>2377</v>
      </c>
    </row>
    <row r="1948" spans="2:4">
      <c r="C1948" t="s">
        <v>2378</v>
      </c>
    </row>
    <row r="1949" spans="2:4">
      <c r="C1949" t="s">
        <v>2379</v>
      </c>
    </row>
    <row r="1950" spans="2:4">
      <c r="C1950" t="s">
        <v>2380</v>
      </c>
    </row>
    <row r="1951" spans="2:4">
      <c r="C1951" t="s">
        <v>2381</v>
      </c>
    </row>
    <row r="1952" spans="2:4">
      <c r="D1952" t="s">
        <v>2382</v>
      </c>
    </row>
    <row r="1953" spans="2:4">
      <c r="D1953" t="s">
        <v>2383</v>
      </c>
    </row>
    <row r="1954" spans="2:4">
      <c r="B1954" t="s">
        <v>22</v>
      </c>
    </row>
    <row r="1955" spans="2:4">
      <c r="C1955" t="s">
        <v>2384</v>
      </c>
    </row>
    <row r="1956" spans="2:4">
      <c r="B1956" t="s">
        <v>2385</v>
      </c>
    </row>
    <row r="1957" spans="2:4">
      <c r="C1957" t="s">
        <v>2386</v>
      </c>
    </row>
    <row r="1958" spans="2:4">
      <c r="C1958" t="s">
        <v>2387</v>
      </c>
    </row>
    <row r="1959" spans="2:4">
      <c r="C1959" t="s">
        <v>2388</v>
      </c>
    </row>
    <row r="1960" spans="2:4">
      <c r="B1960" t="s">
        <v>620</v>
      </c>
    </row>
    <row r="1961" spans="2:4">
      <c r="C1961" t="s">
        <v>2389</v>
      </c>
    </row>
    <row r="1962" spans="2:4">
      <c r="C1962" t="s">
        <v>2390</v>
      </c>
    </row>
    <row r="1963" spans="2:4">
      <c r="B1963" t="s">
        <v>2391</v>
      </c>
    </row>
    <row r="1964" spans="2:4">
      <c r="B1964" t="s">
        <v>2392</v>
      </c>
    </row>
    <row r="1965" spans="2:4">
      <c r="B1965" t="s">
        <v>2393</v>
      </c>
    </row>
    <row r="1967" spans="2:4">
      <c r="B1967" t="s">
        <v>665</v>
      </c>
    </row>
    <row r="1968" spans="2:4">
      <c r="C1968" t="s">
        <v>2394</v>
      </c>
    </row>
    <row r="1970" spans="2:4">
      <c r="B1970" s="57" t="s">
        <v>2398</v>
      </c>
    </row>
    <row r="1972" spans="2:4">
      <c r="B1972" t="s">
        <v>367</v>
      </c>
    </row>
    <row r="1973" spans="2:4">
      <c r="C1973" t="s">
        <v>2399</v>
      </c>
    </row>
    <row r="1974" spans="2:4">
      <c r="D1974" t="s">
        <v>2403</v>
      </c>
    </row>
    <row r="1975" spans="2:4">
      <c r="C1975" t="s">
        <v>2400</v>
      </c>
    </row>
    <row r="1976" spans="2:4">
      <c r="D1976" t="s">
        <v>2404</v>
      </c>
    </row>
    <row r="1977" spans="2:4">
      <c r="C1977" t="s">
        <v>2401</v>
      </c>
    </row>
    <row r="1978" spans="2:4">
      <c r="B1978" t="s">
        <v>2402</v>
      </c>
    </row>
    <row r="1979" spans="2:4">
      <c r="C1979" t="s">
        <v>2412</v>
      </c>
    </row>
    <row r="1980" spans="2:4">
      <c r="C1980" t="s">
        <v>2409</v>
      </c>
    </row>
    <row r="1981" spans="2:4">
      <c r="C1981" t="s">
        <v>2411</v>
      </c>
    </row>
    <row r="1982" spans="2:4">
      <c r="C1982" t="s">
        <v>2410</v>
      </c>
    </row>
    <row r="1983" spans="2:4">
      <c r="C1983" t="s">
        <v>2413</v>
      </c>
    </row>
    <row r="1984" spans="2:4">
      <c r="C1984" t="s">
        <v>5</v>
      </c>
      <c r="D1984" t="s">
        <v>2414</v>
      </c>
    </row>
    <row r="1985" spans="2:4">
      <c r="C1985" t="s">
        <v>2415</v>
      </c>
    </row>
    <row r="1986" spans="2:4">
      <c r="C1986" t="s">
        <v>2416</v>
      </c>
    </row>
    <row r="1987" spans="2:4">
      <c r="D1987" t="s">
        <v>2417</v>
      </c>
    </row>
    <row r="1988" spans="2:4">
      <c r="D1988" t="s">
        <v>2418</v>
      </c>
    </row>
    <row r="1989" spans="2:4">
      <c r="C1989" t="s">
        <v>2419</v>
      </c>
    </row>
    <row r="1990" spans="2:4">
      <c r="D1990" t="s">
        <v>2420</v>
      </c>
    </row>
    <row r="1991" spans="2:4">
      <c r="D1991" t="s">
        <v>2421</v>
      </c>
    </row>
    <row r="1992" spans="2:4">
      <c r="D1992" t="s">
        <v>2422</v>
      </c>
    </row>
    <row r="1993" spans="2:4">
      <c r="C1993" t="s">
        <v>2423</v>
      </c>
    </row>
    <row r="1994" spans="2:4">
      <c r="B1994" t="s">
        <v>1584</v>
      </c>
    </row>
    <row r="1995" spans="2:4">
      <c r="C1995" t="s">
        <v>2405</v>
      </c>
    </row>
    <row r="1996" spans="2:4">
      <c r="D1996" t="s">
        <v>2407</v>
      </c>
    </row>
    <row r="1997" spans="2:4">
      <c r="D1997" t="s">
        <v>2408</v>
      </c>
    </row>
    <row r="1998" spans="2:4">
      <c r="C1998" t="s">
        <v>2406</v>
      </c>
    </row>
    <row r="1999" spans="2:4">
      <c r="B1999" t="s">
        <v>22</v>
      </c>
    </row>
    <row r="2000" spans="2:4">
      <c r="C2000" t="s">
        <v>2424</v>
      </c>
    </row>
    <row r="2001" spans="2:7">
      <c r="C2001" t="s">
        <v>2425</v>
      </c>
      <c r="E2001" s="3">
        <v>2022</v>
      </c>
      <c r="F2001" s="21" t="s">
        <v>2429</v>
      </c>
    </row>
    <row r="2002" spans="2:7">
      <c r="D2002" t="s">
        <v>2426</v>
      </c>
      <c r="E2002">
        <v>200</v>
      </c>
      <c r="F2002">
        <v>200</v>
      </c>
      <c r="G2002" t="s">
        <v>2427</v>
      </c>
    </row>
    <row r="2003" spans="2:7">
      <c r="D2003" t="s">
        <v>866</v>
      </c>
      <c r="E2003">
        <v>75</v>
      </c>
    </row>
    <row r="2004" spans="2:7">
      <c r="D2004" t="s">
        <v>69</v>
      </c>
      <c r="E2004">
        <v>25</v>
      </c>
    </row>
    <row r="2005" spans="2:7">
      <c r="D2005" t="s">
        <v>517</v>
      </c>
      <c r="E2005">
        <f>E2006-E2002-E2003-E2004</f>
        <v>700</v>
      </c>
      <c r="F2005">
        <v>600</v>
      </c>
    </row>
    <row r="2006" spans="2:7">
      <c r="E2006">
        <v>1000</v>
      </c>
      <c r="F2006" t="s">
        <v>2428</v>
      </c>
    </row>
    <row r="2007" spans="2:7">
      <c r="B2007" t="s">
        <v>2430</v>
      </c>
    </row>
    <row r="2008" spans="2:7">
      <c r="C2008" t="s">
        <v>2431</v>
      </c>
    </row>
    <row r="2009" spans="2:7">
      <c r="C2009" s="59">
        <v>2022</v>
      </c>
    </row>
    <row r="2010" spans="2:7">
      <c r="C2010" t="s">
        <v>2432</v>
      </c>
    </row>
    <row r="2011" spans="2:7">
      <c r="B2011" t="s">
        <v>2433</v>
      </c>
    </row>
    <row r="2012" spans="2:7">
      <c r="C2012" t="s">
        <v>2434</v>
      </c>
    </row>
    <row r="2013" spans="2:7">
      <c r="C2013" t="s">
        <v>2437</v>
      </c>
    </row>
    <row r="2014" spans="2:7">
      <c r="C2014" t="s">
        <v>2435</v>
      </c>
    </row>
    <row r="2015" spans="2:7">
      <c r="C2015" t="s">
        <v>2436</v>
      </c>
    </row>
    <row r="2016" spans="2:7">
      <c r="B2016" t="s">
        <v>2438</v>
      </c>
    </row>
    <row r="2017" spans="2:4">
      <c r="C2017" t="s">
        <v>2439</v>
      </c>
    </row>
    <row r="2018" spans="2:4">
      <c r="B2018" t="s">
        <v>2440</v>
      </c>
    </row>
    <row r="2019" spans="2:4">
      <c r="C2019" t="s">
        <v>2441</v>
      </c>
      <c r="D2019" t="s">
        <v>2442</v>
      </c>
    </row>
    <row r="2020" spans="2:4">
      <c r="D2020" t="s">
        <v>2443</v>
      </c>
    </row>
    <row r="2021" spans="2:4">
      <c r="C2021" t="s">
        <v>2444</v>
      </c>
    </row>
    <row r="2022" spans="2:4">
      <c r="D2022" t="s">
        <v>2445</v>
      </c>
    </row>
    <row r="2023" spans="2:4">
      <c r="D2023" t="s">
        <v>2446</v>
      </c>
    </row>
    <row r="2024" spans="2:4">
      <c r="B2024" t="s">
        <v>2447</v>
      </c>
    </row>
    <row r="2025" spans="2:4">
      <c r="B2025">
        <v>201</v>
      </c>
      <c r="C2025" s="23">
        <v>0.04</v>
      </c>
    </row>
    <row r="2026" spans="2:4">
      <c r="C2026" s="23">
        <v>0.06</v>
      </c>
    </row>
    <row r="2028" spans="2:4">
      <c r="B2028" s="17" t="s">
        <v>2448</v>
      </c>
    </row>
    <row r="2030" spans="2:4">
      <c r="B2030" t="s">
        <v>2449</v>
      </c>
    </row>
    <row r="2031" spans="2:4">
      <c r="C2031" t="s">
        <v>2450</v>
      </c>
    </row>
    <row r="2032" spans="2:4">
      <c r="C2032" t="s">
        <v>2451</v>
      </c>
    </row>
    <row r="2033" spans="2:4">
      <c r="C2033" t="s">
        <v>2452</v>
      </c>
    </row>
    <row r="2034" spans="2:4">
      <c r="C2034" t="s">
        <v>2453</v>
      </c>
    </row>
    <row r="2035" spans="2:4">
      <c r="C2035" t="s">
        <v>2454</v>
      </c>
    </row>
    <row r="2036" spans="2:4">
      <c r="B2036" t="s">
        <v>22</v>
      </c>
    </row>
    <row r="2037" spans="2:4">
      <c r="C2037" s="59" t="s">
        <v>2455</v>
      </c>
    </row>
    <row r="2038" spans="2:4">
      <c r="C2038" s="59">
        <v>2023</v>
      </c>
      <c r="D2038" t="s">
        <v>2456</v>
      </c>
    </row>
    <row r="2039" spans="2:4">
      <c r="C2039" s="59">
        <v>2024</v>
      </c>
      <c r="D2039" t="s">
        <v>2457</v>
      </c>
    </row>
    <row r="2040" spans="2:4">
      <c r="C2040" t="s">
        <v>2458</v>
      </c>
      <c r="D2040" t="s">
        <v>2459</v>
      </c>
    </row>
    <row r="2041" spans="2:4">
      <c r="B2041" t="s">
        <v>2460</v>
      </c>
    </row>
    <row r="2042" spans="2:4">
      <c r="C2042" t="s">
        <v>2461</v>
      </c>
    </row>
    <row r="2043" spans="2:4">
      <c r="C2043" t="s">
        <v>2462</v>
      </c>
    </row>
    <row r="2044" spans="2:4">
      <c r="B2044" t="s">
        <v>2463</v>
      </c>
    </row>
    <row r="2045" spans="2:4">
      <c r="C2045" t="s">
        <v>2464</v>
      </c>
    </row>
    <row r="2046" spans="2:4">
      <c r="C2046" t="s">
        <v>2465</v>
      </c>
    </row>
    <row r="2047" spans="2:4">
      <c r="C2047" t="s">
        <v>2466</v>
      </c>
    </row>
    <row r="2048" spans="2:4">
      <c r="B2048" t="s">
        <v>2468</v>
      </c>
    </row>
    <row r="2049" spans="2:4">
      <c r="C2049" t="s">
        <v>2467</v>
      </c>
    </row>
    <row r="2050" spans="2:4">
      <c r="C2050" t="s">
        <v>2469</v>
      </c>
    </row>
    <row r="2051" spans="2:4">
      <c r="B2051" t="s">
        <v>2471</v>
      </c>
    </row>
    <row r="2052" spans="2:4">
      <c r="C2052" t="s">
        <v>2470</v>
      </c>
    </row>
    <row r="2053" spans="2:4">
      <c r="B2053" t="s">
        <v>271</v>
      </c>
    </row>
    <row r="2054" spans="2:4">
      <c r="C2054" t="s">
        <v>2472</v>
      </c>
    </row>
    <row r="2055" spans="2:4">
      <c r="D2055" t="s">
        <v>2474</v>
      </c>
    </row>
    <row r="2056" spans="2:4">
      <c r="D2056" t="s">
        <v>2475</v>
      </c>
    </row>
    <row r="2057" spans="2:4">
      <c r="C2057" t="s">
        <v>2473</v>
      </c>
    </row>
    <row r="2058" spans="2:4">
      <c r="B2058" t="s">
        <v>2476</v>
      </c>
    </row>
    <row r="2059" spans="2:4">
      <c r="C2059" t="s">
        <v>2477</v>
      </c>
    </row>
    <row r="2060" spans="2:4">
      <c r="C2060" t="s">
        <v>2478</v>
      </c>
    </row>
    <row r="2061" spans="2:4">
      <c r="B2061" t="s">
        <v>2479</v>
      </c>
    </row>
    <row r="2062" spans="2:4">
      <c r="C2062" t="s">
        <v>2480</v>
      </c>
    </row>
    <row r="2063" spans="2:4">
      <c r="C2063" t="s">
        <v>2481</v>
      </c>
    </row>
    <row r="2064" spans="2:4">
      <c r="C2064" t="s">
        <v>2482</v>
      </c>
    </row>
    <row r="2065" spans="2:4">
      <c r="D2065" s="17" t="s">
        <v>2484</v>
      </c>
    </row>
    <row r="2066" spans="2:4">
      <c r="D2066" t="s">
        <v>2485</v>
      </c>
    </row>
    <row r="2067" spans="2:4">
      <c r="D2067" t="s">
        <v>2483</v>
      </c>
    </row>
    <row r="2068" spans="2:4">
      <c r="C2068" t="s">
        <v>2486</v>
      </c>
    </row>
    <row r="2069" spans="2:4">
      <c r="D2069" t="s">
        <v>2487</v>
      </c>
    </row>
    <row r="2070" spans="2:4">
      <c r="B2070" t="s">
        <v>2488</v>
      </c>
    </row>
    <row r="2072" spans="2:4">
      <c r="B2072" t="s">
        <v>2501</v>
      </c>
    </row>
    <row r="2073" spans="2:4">
      <c r="C2073" t="s">
        <v>2489</v>
      </c>
    </row>
    <row r="2074" spans="2:4">
      <c r="C2074" t="s">
        <v>2490</v>
      </c>
    </row>
    <row r="2075" spans="2:4">
      <c r="D2075" t="s">
        <v>2491</v>
      </c>
    </row>
    <row r="2076" spans="2:4">
      <c r="C2076" t="s">
        <v>2492</v>
      </c>
    </row>
    <row r="2077" spans="2:4">
      <c r="C2077" t="s">
        <v>2493</v>
      </c>
    </row>
    <row r="2078" spans="2:4">
      <c r="B2078" t="s">
        <v>2494</v>
      </c>
    </row>
    <row r="2079" spans="2:4">
      <c r="C2079" t="s">
        <v>2496</v>
      </c>
    </row>
    <row r="2080" spans="2:4">
      <c r="C2080" t="s">
        <v>2495</v>
      </c>
    </row>
    <row r="2081" spans="2:3">
      <c r="B2081" t="s">
        <v>2497</v>
      </c>
    </row>
    <row r="2082" spans="2:3">
      <c r="C2082" t="s">
        <v>2498</v>
      </c>
    </row>
    <row r="2083" spans="2:3">
      <c r="C2083" t="s">
        <v>2499</v>
      </c>
    </row>
    <row r="2084" spans="2:3">
      <c r="C2084" t="s">
        <v>2500</v>
      </c>
    </row>
    <row r="2085" spans="2:3">
      <c r="B2085" t="s">
        <v>2502</v>
      </c>
    </row>
    <row r="2086" spans="2:3">
      <c r="C2086" t="s">
        <v>2503</v>
      </c>
    </row>
    <row r="2087" spans="2:3">
      <c r="C2087" t="s">
        <v>2504</v>
      </c>
    </row>
    <row r="2088" spans="2:3">
      <c r="C2088" t="s">
        <v>2505</v>
      </c>
    </row>
    <row r="2089" spans="2:3">
      <c r="C2089" t="s">
        <v>2506</v>
      </c>
    </row>
    <row r="2090" spans="2:3">
      <c r="B2090" t="s">
        <v>2507</v>
      </c>
    </row>
    <row r="2091" spans="2:3">
      <c r="C2091" t="s">
        <v>2508</v>
      </c>
    </row>
    <row r="2092" spans="2:3">
      <c r="C2092" t="s">
        <v>2509</v>
      </c>
    </row>
    <row r="2093" spans="2:3">
      <c r="C2093" t="s">
        <v>2511</v>
      </c>
    </row>
    <row r="2094" spans="2:3">
      <c r="B2094" t="s">
        <v>436</v>
      </c>
    </row>
    <row r="2095" spans="2:3">
      <c r="C2095" t="s">
        <v>2510</v>
      </c>
    </row>
    <row r="2096" spans="2:3">
      <c r="B2096" t="s">
        <v>2512</v>
      </c>
    </row>
    <row r="2097" spans="2:4">
      <c r="C2097" t="s">
        <v>2513</v>
      </c>
    </row>
    <row r="2098" spans="2:4">
      <c r="C2098" t="s">
        <v>2514</v>
      </c>
    </row>
    <row r="2099" spans="2:4">
      <c r="C2099" t="s">
        <v>2515</v>
      </c>
    </row>
    <row r="2100" spans="2:4">
      <c r="C2100" t="s">
        <v>2516</v>
      </c>
    </row>
    <row r="2101" spans="2:4">
      <c r="C2101" t="s">
        <v>2517</v>
      </c>
    </row>
    <row r="2102" spans="2:4">
      <c r="D2102" t="s">
        <v>2518</v>
      </c>
    </row>
    <row r="2104" spans="2:4">
      <c r="B2104" s="57" t="s">
        <v>2549</v>
      </c>
    </row>
    <row r="2105" spans="2:4">
      <c r="B2105" t="s">
        <v>2547</v>
      </c>
    </row>
    <row r="2106" spans="2:4">
      <c r="C2106" t="s">
        <v>2548</v>
      </c>
    </row>
    <row r="2107" spans="2:4">
      <c r="B2107" s="59" t="s">
        <v>22</v>
      </c>
    </row>
    <row r="2108" spans="2:4">
      <c r="C2108" t="s">
        <v>2550</v>
      </c>
    </row>
    <row r="2109" spans="2:4">
      <c r="B2109" t="s">
        <v>363</v>
      </c>
    </row>
    <row r="2111" spans="2:4">
      <c r="B2111" t="s">
        <v>2551</v>
      </c>
    </row>
    <row r="2112" spans="2:4">
      <c r="C2112" t="s">
        <v>2552</v>
      </c>
    </row>
    <row r="2113" spans="2:3">
      <c r="C2113" t="s">
        <v>2553</v>
      </c>
    </row>
    <row r="2114" spans="2:3">
      <c r="C2114" t="s">
        <v>2554</v>
      </c>
    </row>
    <row r="2115" spans="2:3">
      <c r="B2115" t="s">
        <v>22</v>
      </c>
    </row>
    <row r="2116" spans="2:3">
      <c r="C2116" t="s">
        <v>2555</v>
      </c>
    </row>
    <row r="2117" spans="2:3">
      <c r="C2117" t="s">
        <v>2561</v>
      </c>
    </row>
    <row r="2118" spans="2:3">
      <c r="B2118" t="s">
        <v>620</v>
      </c>
    </row>
    <row r="2119" spans="2:3">
      <c r="C2119" t="s">
        <v>2556</v>
      </c>
    </row>
    <row r="2120" spans="2:3">
      <c r="C2120" t="s">
        <v>2557</v>
      </c>
    </row>
    <row r="2121" spans="2:3">
      <c r="C2121" t="s">
        <v>2558</v>
      </c>
    </row>
    <row r="2122" spans="2:3">
      <c r="C2122" t="s">
        <v>2562</v>
      </c>
    </row>
    <row r="2123" spans="2:3">
      <c r="B2123" t="s">
        <v>2559</v>
      </c>
    </row>
    <row r="2124" spans="2:3">
      <c r="C2124" t="s">
        <v>2560</v>
      </c>
    </row>
    <row r="2125" spans="2:3">
      <c r="B2125" t="s">
        <v>22</v>
      </c>
    </row>
    <row r="2126" spans="2:3">
      <c r="C2126" t="s">
        <v>2563</v>
      </c>
    </row>
    <row r="2127" spans="2:3">
      <c r="C2127" t="s">
        <v>2564</v>
      </c>
    </row>
    <row r="2128" spans="2:3">
      <c r="C2128" t="s">
        <v>2565</v>
      </c>
    </row>
    <row r="2129" spans="2:4">
      <c r="D2129" t="s">
        <v>2566</v>
      </c>
    </row>
    <row r="2130" spans="2:4">
      <c r="B2130" t="s">
        <v>1702</v>
      </c>
    </row>
    <row r="2131" spans="2:4">
      <c r="C2131" t="s">
        <v>2567</v>
      </c>
    </row>
    <row r="2132" spans="2:4">
      <c r="D2132" t="s">
        <v>2568</v>
      </c>
    </row>
    <row r="2133" spans="2:4">
      <c r="D2133" t="s">
        <v>2569</v>
      </c>
    </row>
    <row r="2134" spans="2:4">
      <c r="D2134" t="s">
        <v>2570</v>
      </c>
    </row>
    <row r="2135" spans="2:4">
      <c r="B2135" t="s">
        <v>2571</v>
      </c>
    </row>
    <row r="2136" spans="2:4">
      <c r="C2136" t="s">
        <v>2573</v>
      </c>
    </row>
    <row r="2137" spans="2:4">
      <c r="C2137" t="s">
        <v>2572</v>
      </c>
    </row>
    <row r="2138" spans="2:4">
      <c r="B2138" t="s">
        <v>2574</v>
      </c>
    </row>
    <row r="2139" spans="2:4">
      <c r="C2139" t="s">
        <v>2577</v>
      </c>
    </row>
    <row r="2140" spans="2:4">
      <c r="C2140" t="s">
        <v>2575</v>
      </c>
    </row>
    <row r="2141" spans="2:4">
      <c r="C2141" t="s">
        <v>2576</v>
      </c>
    </row>
    <row r="2142" spans="2:4">
      <c r="B2142" t="s">
        <v>2578</v>
      </c>
    </row>
    <row r="2143" spans="2:4">
      <c r="C2143" t="s">
        <v>2579</v>
      </c>
    </row>
    <row r="2144" spans="2:4">
      <c r="B2144" t="s">
        <v>2580</v>
      </c>
    </row>
    <row r="2145" spans="2:5">
      <c r="C2145" t="s">
        <v>2581</v>
      </c>
    </row>
    <row r="2146" spans="2:5">
      <c r="D2146" t="s">
        <v>2582</v>
      </c>
      <c r="E2146" t="s">
        <v>2584</v>
      </c>
    </row>
    <row r="2147" spans="2:5">
      <c r="D2147" t="s">
        <v>2583</v>
      </c>
      <c r="E2147" t="s">
        <v>2585</v>
      </c>
    </row>
    <row r="2148" spans="2:5">
      <c r="D2148" s="59">
        <f>50+150</f>
        <v>200</v>
      </c>
    </row>
    <row r="2149" spans="2:5">
      <c r="B2149" t="s">
        <v>2586</v>
      </c>
    </row>
    <row r="2150" spans="2:5">
      <c r="C2150" t="s">
        <v>2587</v>
      </c>
    </row>
    <row r="2151" spans="2:5">
      <c r="C2151" t="s">
        <v>2588</v>
      </c>
    </row>
    <row r="2153" spans="2:5">
      <c r="B2153" s="291">
        <v>44927</v>
      </c>
    </row>
    <row r="2155" spans="2:5">
      <c r="B2155" t="s">
        <v>2751</v>
      </c>
    </row>
    <row r="2156" spans="2:5">
      <c r="B2156" t="s">
        <v>2752</v>
      </c>
    </row>
    <row r="2157" spans="2:5">
      <c r="C2157" t="s">
        <v>2753</v>
      </c>
    </row>
    <row r="2158" spans="2:5">
      <c r="C2158" t="s">
        <v>2754</v>
      </c>
    </row>
    <row r="2159" spans="2:5">
      <c r="C2159" t="s">
        <v>2755</v>
      </c>
    </row>
    <row r="2160" spans="2:5">
      <c r="D2160" t="s">
        <v>2756</v>
      </c>
    </row>
    <row r="2161" spans="2:5">
      <c r="D2161" t="s">
        <v>2757</v>
      </c>
    </row>
    <row r="2162" spans="2:5">
      <c r="B2162" t="s">
        <v>2586</v>
      </c>
    </row>
    <row r="2163" spans="2:5">
      <c r="C2163" t="s">
        <v>2761</v>
      </c>
    </row>
    <row r="2164" spans="2:5">
      <c r="D2164" t="s">
        <v>2762</v>
      </c>
    </row>
    <row r="2165" spans="2:5">
      <c r="C2165" t="s">
        <v>2758</v>
      </c>
    </row>
    <row r="2166" spans="2:5">
      <c r="C2166" t="s">
        <v>2759</v>
      </c>
    </row>
    <row r="2167" spans="2:5">
      <c r="B2167" t="s">
        <v>2760</v>
      </c>
    </row>
    <row r="2168" spans="2:5">
      <c r="C2168" t="s">
        <v>2763</v>
      </c>
    </row>
    <row r="2169" spans="2:5">
      <c r="C2169" t="s">
        <v>2764</v>
      </c>
    </row>
    <row r="2170" spans="2:5">
      <c r="D2170" t="s">
        <v>2765</v>
      </c>
    </row>
    <row r="2171" spans="2:5">
      <c r="E2171" t="s">
        <v>2766</v>
      </c>
    </row>
    <row r="2172" spans="2:5">
      <c r="E2172" t="s">
        <v>2767</v>
      </c>
    </row>
    <row r="2173" spans="2:5">
      <c r="D2173" t="s">
        <v>2768</v>
      </c>
    </row>
    <row r="2174" spans="2:5">
      <c r="E2174" t="s">
        <v>2769</v>
      </c>
    </row>
    <row r="2175" spans="2:5">
      <c r="E2175" t="s">
        <v>2770</v>
      </c>
    </row>
    <row r="2176" spans="2:5">
      <c r="D2176" t="s">
        <v>2771</v>
      </c>
    </row>
    <row r="2177" spans="2:7">
      <c r="E2177" t="s">
        <v>2772</v>
      </c>
      <c r="G2177" t="s">
        <v>2775</v>
      </c>
    </row>
    <row r="2178" spans="2:7">
      <c r="E2178" t="s">
        <v>2773</v>
      </c>
      <c r="F2178" t="s">
        <v>2774</v>
      </c>
      <c r="G2178" t="s">
        <v>2775</v>
      </c>
    </row>
    <row r="2179" spans="2:7">
      <c r="C2179" t="s">
        <v>2776</v>
      </c>
    </row>
    <row r="2180" spans="2:7">
      <c r="C2180" t="s">
        <v>2783</v>
      </c>
    </row>
    <row r="2181" spans="2:7">
      <c r="C2181" t="s">
        <v>2784</v>
      </c>
    </row>
    <row r="2182" spans="2:7">
      <c r="D2182" t="s">
        <v>2785</v>
      </c>
    </row>
    <row r="2183" spans="2:7">
      <c r="B2183" s="59">
        <v>2022</v>
      </c>
    </row>
    <row r="2184" spans="2:7">
      <c r="C2184" t="s">
        <v>2777</v>
      </c>
    </row>
    <row r="2185" spans="2:7">
      <c r="C2185" t="s">
        <v>2778</v>
      </c>
    </row>
    <row r="2186" spans="2:7">
      <c r="C2186" t="s">
        <v>2779</v>
      </c>
    </row>
    <row r="2187" spans="2:7">
      <c r="D2187" t="s">
        <v>2780</v>
      </c>
    </row>
    <row r="2188" spans="2:7">
      <c r="D2188" t="s">
        <v>2781</v>
      </c>
    </row>
    <row r="2189" spans="2:7">
      <c r="D2189" t="s">
        <v>2782</v>
      </c>
    </row>
    <row r="2190" spans="2:7">
      <c r="B2190" t="s">
        <v>22</v>
      </c>
    </row>
    <row r="2191" spans="2:7">
      <c r="C2191" t="s">
        <v>2786</v>
      </c>
    </row>
    <row r="2192" spans="2:7">
      <c r="C2192" t="s">
        <v>2787</v>
      </c>
    </row>
    <row r="2193" spans="2:3">
      <c r="B2193" t="s">
        <v>629</v>
      </c>
    </row>
    <row r="2194" spans="2:3">
      <c r="C2194" t="s">
        <v>2788</v>
      </c>
    </row>
    <row r="2195" spans="2:3">
      <c r="B2195" t="s">
        <v>664</v>
      </c>
    </row>
    <row r="2196" spans="2:3">
      <c r="C2196" t="s">
        <v>2789</v>
      </c>
    </row>
    <row r="2197" spans="2:3">
      <c r="B2197" t="s">
        <v>532</v>
      </c>
    </row>
    <row r="2198" spans="2:3">
      <c r="C2198" t="s">
        <v>2791</v>
      </c>
    </row>
    <row r="2199" spans="2:3">
      <c r="C2199" t="s">
        <v>2792</v>
      </c>
    </row>
    <row r="2200" spans="2:3">
      <c r="B2200" t="s">
        <v>665</v>
      </c>
    </row>
    <row r="2201" spans="2:3">
      <c r="C2201" t="s">
        <v>2790</v>
      </c>
    </row>
    <row r="2202" spans="2:3">
      <c r="B2202" t="s">
        <v>2793</v>
      </c>
    </row>
    <row r="2203" spans="2:3">
      <c r="C2203" t="s">
        <v>2794</v>
      </c>
    </row>
    <row r="2205" spans="2:3">
      <c r="B2205" s="17" t="s">
        <v>2795</v>
      </c>
    </row>
    <row r="2206" spans="2:3">
      <c r="C2206" t="s">
        <v>2796</v>
      </c>
    </row>
    <row r="2207" spans="2:3">
      <c r="C2207" t="s">
        <v>2797</v>
      </c>
    </row>
    <row r="2208" spans="2:3">
      <c r="C2208" t="s">
        <v>2798</v>
      </c>
    </row>
    <row r="2210" spans="2:4">
      <c r="C2210" t="s">
        <v>2799</v>
      </c>
    </row>
    <row r="2211" spans="2:4">
      <c r="C2211" t="s">
        <v>2800</v>
      </c>
    </row>
    <row r="2212" spans="2:4">
      <c r="C2212" t="s">
        <v>2801</v>
      </c>
    </row>
    <row r="2213" spans="2:4">
      <c r="C2213" t="s">
        <v>2802</v>
      </c>
    </row>
    <row r="2215" spans="2:4">
      <c r="C2215" t="s">
        <v>2803</v>
      </c>
    </row>
    <row r="2217" spans="2:4">
      <c r="C2217" t="s">
        <v>2804</v>
      </c>
    </row>
    <row r="2218" spans="2:4">
      <c r="D2218" t="s">
        <v>2805</v>
      </c>
    </row>
    <row r="2219" spans="2:4">
      <c r="D2219" t="s">
        <v>2806</v>
      </c>
    </row>
    <row r="2220" spans="2:4">
      <c r="D2220" t="s">
        <v>2807</v>
      </c>
    </row>
    <row r="2221" spans="2:4">
      <c r="C2221" t="s">
        <v>2808</v>
      </c>
    </row>
    <row r="2222" spans="2:4">
      <c r="D2222" t="s">
        <v>2809</v>
      </c>
    </row>
    <row r="2223" spans="2:4">
      <c r="B2223" t="s">
        <v>2810</v>
      </c>
    </row>
    <row r="2224" spans="2:4">
      <c r="C2224" t="s">
        <v>2811</v>
      </c>
    </row>
    <row r="2225" spans="2:3">
      <c r="C2225" t="s">
        <v>2812</v>
      </c>
    </row>
    <row r="2226" spans="2:3">
      <c r="C2226" t="s">
        <v>2813</v>
      </c>
    </row>
    <row r="2227" spans="2:3">
      <c r="B2227" t="s">
        <v>2814</v>
      </c>
    </row>
    <row r="2229" spans="2:3">
      <c r="B2229" t="s">
        <v>2815</v>
      </c>
    </row>
    <row r="2231" spans="2:3">
      <c r="B2231" t="s">
        <v>2816</v>
      </c>
    </row>
    <row r="2232" spans="2:3">
      <c r="B2232" t="s">
        <v>2817</v>
      </c>
    </row>
    <row r="2233" spans="2:3">
      <c r="B2233" t="s">
        <v>2818</v>
      </c>
    </row>
    <row r="2234" spans="2:3">
      <c r="B2234" t="s">
        <v>2819</v>
      </c>
    </row>
    <row r="2235" spans="2:3">
      <c r="B2235" t="s">
        <v>2820</v>
      </c>
    </row>
    <row r="2236" spans="2:3">
      <c r="B2236" t="s">
        <v>2821</v>
      </c>
    </row>
    <row r="2238" spans="2:3">
      <c r="B2238" t="s">
        <v>2822</v>
      </c>
    </row>
    <row r="2242" spans="2:8">
      <c r="D2242">
        <f>55/19</f>
        <v>2.8947368421052633</v>
      </c>
      <c r="F2242">
        <f>43/10</f>
        <v>4.3</v>
      </c>
      <c r="G2242">
        <v>2.9</v>
      </c>
      <c r="H2242">
        <f>F2242+G2242</f>
        <v>7.1999999999999993</v>
      </c>
    </row>
    <row r="2244" spans="2:8">
      <c r="B2244" s="54" t="s">
        <v>2881</v>
      </c>
    </row>
    <row r="2286" spans="2:2">
      <c r="B2286" s="54" t="s">
        <v>2887</v>
      </c>
    </row>
    <row r="2308" spans="2:2">
      <c r="B2308" s="54" t="s">
        <v>2903</v>
      </c>
    </row>
    <row r="2340" spans="2:4">
      <c r="B2340" s="57" t="s">
        <v>2905</v>
      </c>
    </row>
    <row r="2342" spans="2:4">
      <c r="B2342" t="s">
        <v>2913</v>
      </c>
    </row>
    <row r="2343" spans="2:4">
      <c r="C2343" t="s">
        <v>2965</v>
      </c>
    </row>
    <row r="2344" spans="2:4">
      <c r="C2344" t="s">
        <v>2966</v>
      </c>
    </row>
    <row r="2345" spans="2:4">
      <c r="C2345" t="s">
        <v>2967</v>
      </c>
    </row>
    <row r="2346" spans="2:4">
      <c r="D2346" t="s">
        <v>2968</v>
      </c>
    </row>
    <row r="2347" spans="2:4">
      <c r="D2347" t="s">
        <v>2969</v>
      </c>
    </row>
    <row r="2349" spans="2:4">
      <c r="B2349" t="s">
        <v>2906</v>
      </c>
      <c r="C2349" t="s">
        <v>2907</v>
      </c>
    </row>
    <row r="2350" spans="2:4">
      <c r="C2350" t="s">
        <v>2908</v>
      </c>
    </row>
    <row r="2351" spans="2:4">
      <c r="C2351" t="s">
        <v>2909</v>
      </c>
    </row>
    <row r="2352" spans="2:4">
      <c r="C2352" t="s">
        <v>2910</v>
      </c>
    </row>
    <row r="2353" spans="2:4">
      <c r="C2353" t="s">
        <v>2911</v>
      </c>
    </row>
    <row r="2354" spans="2:4">
      <c r="C2354" t="s">
        <v>2912</v>
      </c>
    </row>
    <row r="2355" spans="2:4">
      <c r="B2355" t="s">
        <v>2914</v>
      </c>
    </row>
    <row r="2356" spans="2:4">
      <c r="C2356" t="s">
        <v>2915</v>
      </c>
    </row>
    <row r="2357" spans="2:4">
      <c r="C2357" t="s">
        <v>2916</v>
      </c>
    </row>
    <row r="2358" spans="2:4">
      <c r="B2358" t="s">
        <v>2917</v>
      </c>
    </row>
    <row r="2359" spans="2:4">
      <c r="C2359" t="s">
        <v>2918</v>
      </c>
    </row>
    <row r="2360" spans="2:4">
      <c r="B2360" t="s">
        <v>2919</v>
      </c>
    </row>
    <row r="2361" spans="2:4">
      <c r="C2361" t="s">
        <v>2920</v>
      </c>
    </row>
    <row r="2362" spans="2:4">
      <c r="D2362" t="s">
        <v>2925</v>
      </c>
    </row>
    <row r="2363" spans="2:4">
      <c r="C2363" t="s">
        <v>2921</v>
      </c>
    </row>
    <row r="2364" spans="2:4">
      <c r="C2364" t="s">
        <v>2922</v>
      </c>
    </row>
    <row r="2365" spans="2:4">
      <c r="D2365" t="s">
        <v>2924</v>
      </c>
    </row>
    <row r="2366" spans="2:4">
      <c r="C2366" t="s">
        <v>2923</v>
      </c>
    </row>
    <row r="2367" spans="2:4">
      <c r="B2367" t="s">
        <v>2114</v>
      </c>
    </row>
    <row r="2368" spans="2:4">
      <c r="C2368" t="s">
        <v>2926</v>
      </c>
    </row>
    <row r="2369" spans="2:6">
      <c r="C2369" t="s">
        <v>2927</v>
      </c>
    </row>
    <row r="2370" spans="2:6">
      <c r="C2370" t="s">
        <v>2928</v>
      </c>
    </row>
    <row r="2371" spans="2:6">
      <c r="C2371" t="s">
        <v>2929</v>
      </c>
    </row>
    <row r="2372" spans="2:6">
      <c r="B2372" t="s">
        <v>1134</v>
      </c>
    </row>
    <row r="2373" spans="2:6">
      <c r="C2373" t="s">
        <v>2970</v>
      </c>
    </row>
    <row r="2374" spans="2:6">
      <c r="C2374" t="s">
        <v>2971</v>
      </c>
    </row>
    <row r="2375" spans="2:6">
      <c r="C2375" t="s">
        <v>2973</v>
      </c>
    </row>
    <row r="2376" spans="2:6">
      <c r="D2376" t="s">
        <v>2974</v>
      </c>
    </row>
    <row r="2377" spans="2:6">
      <c r="D2377" t="s">
        <v>2972</v>
      </c>
    </row>
    <row r="2378" spans="2:6">
      <c r="C2378" t="s">
        <v>2643</v>
      </c>
    </row>
    <row r="2379" spans="2:6">
      <c r="D2379" t="s">
        <v>2975</v>
      </c>
    </row>
    <row r="2380" spans="2:6">
      <c r="C2380" t="s">
        <v>2979</v>
      </c>
    </row>
    <row r="2381" spans="2:6">
      <c r="C2381" t="s">
        <v>2980</v>
      </c>
    </row>
    <row r="2382" spans="2:6">
      <c r="B2382" t="s">
        <v>2930</v>
      </c>
    </row>
    <row r="2383" spans="2:6">
      <c r="C2383" t="s">
        <v>2931</v>
      </c>
    </row>
    <row r="2384" spans="2:6">
      <c r="D2384" t="s">
        <v>2932</v>
      </c>
      <c r="E2384" t="s">
        <v>2933</v>
      </c>
      <c r="F2384" t="s">
        <v>2937</v>
      </c>
    </row>
    <row r="2385" spans="2:6">
      <c r="F2385" t="s">
        <v>2938</v>
      </c>
    </row>
    <row r="2386" spans="2:6">
      <c r="D2386" t="s">
        <v>2934</v>
      </c>
      <c r="E2386" t="s">
        <v>2935</v>
      </c>
    </row>
    <row r="2387" spans="2:6">
      <c r="C2387" t="s">
        <v>2936</v>
      </c>
    </row>
    <row r="2388" spans="2:6">
      <c r="B2388" t="s">
        <v>22</v>
      </c>
    </row>
    <row r="2389" spans="2:6">
      <c r="C2389" t="s">
        <v>2939</v>
      </c>
    </row>
    <row r="2390" spans="2:6">
      <c r="C2390" t="s">
        <v>2940</v>
      </c>
    </row>
    <row r="2391" spans="2:6">
      <c r="C2391" t="s">
        <v>2941</v>
      </c>
    </row>
    <row r="2392" spans="2:6">
      <c r="C2392" t="s">
        <v>2942</v>
      </c>
    </row>
    <row r="2393" spans="2:6">
      <c r="C2393" t="s">
        <v>2943</v>
      </c>
    </row>
    <row r="2394" spans="2:6">
      <c r="C2394" s="59">
        <v>2024</v>
      </c>
    </row>
    <row r="2395" spans="2:6">
      <c r="D2395" t="s">
        <v>2956</v>
      </c>
    </row>
    <row r="2396" spans="2:6">
      <c r="C2396" t="s">
        <v>2944</v>
      </c>
    </row>
    <row r="2397" spans="2:6">
      <c r="C2397" t="s">
        <v>2945</v>
      </c>
    </row>
    <row r="2398" spans="2:6">
      <c r="D2398" t="s">
        <v>2946</v>
      </c>
    </row>
    <row r="2399" spans="2:6">
      <c r="D2399" t="s">
        <v>2947</v>
      </c>
    </row>
    <row r="2400" spans="2:6">
      <c r="D2400" t="s">
        <v>2948</v>
      </c>
    </row>
    <row r="2401" spans="2:4">
      <c r="D2401" t="s">
        <v>2949</v>
      </c>
    </row>
    <row r="2402" spans="2:4">
      <c r="D2402" t="s">
        <v>2950</v>
      </c>
    </row>
    <row r="2403" spans="2:4">
      <c r="C2403" t="s">
        <v>2951</v>
      </c>
    </row>
    <row r="2404" spans="2:4">
      <c r="D2404" t="s">
        <v>2952</v>
      </c>
    </row>
    <row r="2405" spans="2:4">
      <c r="D2405" t="s">
        <v>2953</v>
      </c>
    </row>
    <row r="2406" spans="2:4">
      <c r="D2406" t="s">
        <v>2954</v>
      </c>
    </row>
    <row r="2407" spans="2:4">
      <c r="D2407" t="s">
        <v>2955</v>
      </c>
    </row>
    <row r="2408" spans="2:4">
      <c r="B2408" t="s">
        <v>2536</v>
      </c>
    </row>
    <row r="2409" spans="2:4">
      <c r="C2409" t="s">
        <v>2957</v>
      </c>
    </row>
    <row r="2410" spans="2:4">
      <c r="C2410" t="s">
        <v>2958</v>
      </c>
    </row>
    <row r="2411" spans="2:4">
      <c r="D2411" t="s">
        <v>2959</v>
      </c>
    </row>
    <row r="2412" spans="2:4">
      <c r="D2412" t="s">
        <v>2960</v>
      </c>
    </row>
    <row r="2413" spans="2:4">
      <c r="C2413" t="s">
        <v>2963</v>
      </c>
    </row>
    <row r="2414" spans="2:4">
      <c r="D2414" t="s">
        <v>2961</v>
      </c>
    </row>
    <row r="2415" spans="2:4">
      <c r="D2415" t="s">
        <v>2962</v>
      </c>
    </row>
    <row r="2416" spans="2:4">
      <c r="C2416" t="s">
        <v>2964</v>
      </c>
    </row>
    <row r="2417" spans="2:4">
      <c r="B2417" t="s">
        <v>2976</v>
      </c>
    </row>
    <row r="2418" spans="2:4">
      <c r="C2418" t="s">
        <v>2977</v>
      </c>
    </row>
    <row r="2419" spans="2:4">
      <c r="D2419" t="s">
        <v>2978</v>
      </c>
    </row>
    <row r="2421" spans="2:4">
      <c r="B2421" s="17" t="s">
        <v>3010</v>
      </c>
    </row>
    <row r="2423" spans="2:4">
      <c r="B2423" t="s">
        <v>3011</v>
      </c>
      <c r="C2423" t="s">
        <v>3012</v>
      </c>
    </row>
    <row r="2424" spans="2:4">
      <c r="C2424" t="s">
        <v>3013</v>
      </c>
    </row>
    <row r="2425" spans="2:4">
      <c r="C2425" t="s">
        <v>3014</v>
      </c>
    </row>
    <row r="2426" spans="2:4">
      <c r="B2426" t="s">
        <v>3015</v>
      </c>
    </row>
    <row r="2427" spans="2:4">
      <c r="C2427" t="s">
        <v>3016</v>
      </c>
    </row>
    <row r="2428" spans="2:4">
      <c r="C2428" t="s">
        <v>3017</v>
      </c>
    </row>
    <row r="2429" spans="2:4">
      <c r="C2429" t="s">
        <v>3026</v>
      </c>
    </row>
    <row r="2430" spans="2:4">
      <c r="B2430" t="s">
        <v>1719</v>
      </c>
    </row>
    <row r="2431" spans="2:4">
      <c r="C2431" t="s">
        <v>3018</v>
      </c>
    </row>
    <row r="2432" spans="2:4">
      <c r="B2432" t="s">
        <v>3019</v>
      </c>
    </row>
    <row r="2433" spans="2:4">
      <c r="C2433" t="s">
        <v>3021</v>
      </c>
    </row>
    <row r="2434" spans="2:4">
      <c r="C2434" t="s">
        <v>3020</v>
      </c>
    </row>
    <row r="2435" spans="2:4">
      <c r="B2435" t="s">
        <v>1134</v>
      </c>
    </row>
    <row r="2436" spans="2:4">
      <c r="C2436" t="s">
        <v>3022</v>
      </c>
    </row>
    <row r="2437" spans="2:4">
      <c r="C2437" t="s">
        <v>3023</v>
      </c>
    </row>
    <row r="2438" spans="2:4">
      <c r="C2438" t="s">
        <v>3024</v>
      </c>
    </row>
    <row r="2439" spans="2:4">
      <c r="D2439" t="s">
        <v>3025</v>
      </c>
    </row>
    <row r="2440" spans="2:4">
      <c r="B2440" t="s">
        <v>2930</v>
      </c>
    </row>
    <row r="2441" spans="2:4">
      <c r="C2441" t="s">
        <v>3028</v>
      </c>
    </row>
    <row r="2442" spans="2:4">
      <c r="C2442" t="s">
        <v>3027</v>
      </c>
    </row>
    <row r="2443" spans="2:4">
      <c r="C2443" t="s">
        <v>3029</v>
      </c>
    </row>
    <row r="2444" spans="2:4">
      <c r="B2444" t="s">
        <v>2130</v>
      </c>
    </row>
    <row r="2445" spans="2:4">
      <c r="C2445" t="s">
        <v>3030</v>
      </c>
    </row>
    <row r="2446" spans="2:4">
      <c r="C2446" t="s">
        <v>3031</v>
      </c>
    </row>
    <row r="2447" spans="2:4">
      <c r="C2447" t="s">
        <v>3032</v>
      </c>
    </row>
    <row r="2448" spans="2:4">
      <c r="C2448" t="s">
        <v>3033</v>
      </c>
    </row>
    <row r="2449" spans="2:4">
      <c r="B2449" t="s">
        <v>3034</v>
      </c>
    </row>
    <row r="2450" spans="2:4">
      <c r="C2450" t="s">
        <v>3035</v>
      </c>
    </row>
    <row r="2451" spans="2:4">
      <c r="C2451" t="s">
        <v>3036</v>
      </c>
    </row>
    <row r="2452" spans="2:4">
      <c r="B2452" t="s">
        <v>1950</v>
      </c>
    </row>
    <row r="2453" spans="2:4">
      <c r="C2453" t="s">
        <v>3037</v>
      </c>
    </row>
    <row r="2454" spans="2:4">
      <c r="C2454" t="s">
        <v>3038</v>
      </c>
    </row>
    <row r="2455" spans="2:4">
      <c r="C2455" t="s">
        <v>3039</v>
      </c>
    </row>
    <row r="2456" spans="2:4">
      <c r="D2456" t="s">
        <v>3040</v>
      </c>
    </row>
    <row r="2514" spans="2:2">
      <c r="B2514" s="17" t="s">
        <v>3066</v>
      </c>
    </row>
    <row r="2516" spans="2:2">
      <c r="B2516" s="533" t="s">
        <v>3067</v>
      </c>
    </row>
    <row r="2517" spans="2:2">
      <c r="B2517" s="533"/>
    </row>
    <row r="2518" spans="2:2">
      <c r="B2518" s="533" t="s">
        <v>3068</v>
      </c>
    </row>
    <row r="2519" spans="2:2">
      <c r="B2519" s="533"/>
    </row>
    <row r="2520" spans="2:2">
      <c r="B2520" s="533" t="s">
        <v>3069</v>
      </c>
    </row>
    <row r="2522" spans="2:2">
      <c r="B2522" s="85">
        <v>45292</v>
      </c>
    </row>
    <row r="2524" spans="2:2">
      <c r="B2524" t="s">
        <v>3082</v>
      </c>
    </row>
    <row r="2525" spans="2:2">
      <c r="B2525" t="s">
        <v>3083</v>
      </c>
    </row>
    <row r="2526" spans="2:2">
      <c r="B2526" t="s">
        <v>3084</v>
      </c>
    </row>
    <row r="2528" spans="2:2">
      <c r="B2528" s="17" t="s">
        <v>2773</v>
      </c>
    </row>
    <row r="2529" spans="2:3">
      <c r="B2529" t="s">
        <v>3085</v>
      </c>
    </row>
    <row r="2530" spans="2:3">
      <c r="B2530" t="s">
        <v>3086</v>
      </c>
    </row>
    <row r="2531" spans="2:3">
      <c r="B2531" t="s">
        <v>3087</v>
      </c>
    </row>
    <row r="2532" spans="2:3">
      <c r="B2532" t="s">
        <v>3088</v>
      </c>
    </row>
    <row r="2533" spans="2:3">
      <c r="B2533" t="s">
        <v>3089</v>
      </c>
    </row>
    <row r="2534" spans="2:3">
      <c r="C2534" t="s">
        <v>3091</v>
      </c>
    </row>
    <row r="2535" spans="2:3">
      <c r="C2535" t="s">
        <v>3092</v>
      </c>
    </row>
    <row r="2536" spans="2:3">
      <c r="B2536" t="s">
        <v>3090</v>
      </c>
    </row>
    <row r="2537" spans="2:3">
      <c r="C2537" t="s">
        <v>3093</v>
      </c>
    </row>
    <row r="2538" spans="2:3">
      <c r="B2538" t="s">
        <v>3094</v>
      </c>
    </row>
    <row r="2539" spans="2:3">
      <c r="B2539" t="s">
        <v>3095</v>
      </c>
    </row>
    <row r="2540" spans="2:3">
      <c r="C2540" t="s">
        <v>3096</v>
      </c>
    </row>
    <row r="2541" spans="2:3">
      <c r="C2541" t="s">
        <v>3097</v>
      </c>
    </row>
    <row r="2542" spans="2:3">
      <c r="C2542" t="s">
        <v>3098</v>
      </c>
    </row>
    <row r="2543" spans="2:3">
      <c r="C2543" t="s">
        <v>3099</v>
      </c>
    </row>
    <row r="2544" spans="2:3">
      <c r="B2544" t="s">
        <v>3100</v>
      </c>
    </row>
    <row r="2545" spans="2:5">
      <c r="C2545" t="s">
        <v>3101</v>
      </c>
    </row>
    <row r="2546" spans="2:5">
      <c r="C2546" t="s">
        <v>3102</v>
      </c>
    </row>
    <row r="2547" spans="2:5">
      <c r="B2547" t="s">
        <v>3103</v>
      </c>
    </row>
    <row r="2548" spans="2:5">
      <c r="C2548" t="s">
        <v>3104</v>
      </c>
    </row>
    <row r="2549" spans="2:5">
      <c r="C2549" t="s">
        <v>3105</v>
      </c>
    </row>
    <row r="2550" spans="2:5">
      <c r="E2550" t="s">
        <v>3106</v>
      </c>
    </row>
    <row r="2551" spans="2:5">
      <c r="E2551" t="s">
        <v>3107</v>
      </c>
    </row>
    <row r="2552" spans="2:5">
      <c r="C2552" t="s">
        <v>3108</v>
      </c>
      <c r="E2552" s="24">
        <f>2.5/5</f>
        <v>0.5</v>
      </c>
    </row>
    <row r="2553" spans="2:5">
      <c r="C2553" t="s">
        <v>3109</v>
      </c>
    </row>
    <row r="2554" spans="2:5">
      <c r="B2554" t="s">
        <v>3110</v>
      </c>
    </row>
    <row r="2555" spans="2:5">
      <c r="C2555" t="s">
        <v>3111</v>
      </c>
    </row>
    <row r="2556" spans="2:5">
      <c r="C2556" t="s">
        <v>3112</v>
      </c>
      <c r="D2556" t="s">
        <v>3113</v>
      </c>
    </row>
    <row r="2557" spans="2:5">
      <c r="D2557" t="s">
        <v>3114</v>
      </c>
    </row>
    <row r="2558" spans="2:5">
      <c r="C2558" t="s">
        <v>3115</v>
      </c>
    </row>
    <row r="2559" spans="2:5">
      <c r="B2559" t="s">
        <v>3116</v>
      </c>
    </row>
    <row r="2560" spans="2:5">
      <c r="C2560" t="s">
        <v>3117</v>
      </c>
    </row>
    <row r="2561" spans="2:4">
      <c r="B2561" t="s">
        <v>3118</v>
      </c>
    </row>
    <row r="2562" spans="2:4">
      <c r="C2562" t="s">
        <v>3119</v>
      </c>
    </row>
    <row r="2563" spans="2:4">
      <c r="C2563" t="s">
        <v>3120</v>
      </c>
    </row>
    <row r="2564" spans="2:4">
      <c r="B2564" t="s">
        <v>3121</v>
      </c>
    </row>
    <row r="2565" spans="2:4">
      <c r="C2565" t="s">
        <v>3122</v>
      </c>
    </row>
    <row r="2566" spans="2:4">
      <c r="C2566" t="s">
        <v>3123</v>
      </c>
    </row>
    <row r="2567" spans="2:4">
      <c r="B2567" t="s">
        <v>3124</v>
      </c>
    </row>
    <row r="2568" spans="2:4">
      <c r="B2568" t="s">
        <v>3125</v>
      </c>
    </row>
    <row r="2569" spans="2:4">
      <c r="B2569" t="s">
        <v>944</v>
      </c>
    </row>
    <row r="2570" spans="2:4">
      <c r="C2570" t="s">
        <v>3126</v>
      </c>
    </row>
    <row r="2571" spans="2:4">
      <c r="C2571" t="s">
        <v>3127</v>
      </c>
    </row>
    <row r="2572" spans="2:4">
      <c r="D2572" s="25">
        <f>SUM(Quarts!BG8:BM8)</f>
        <v>4983.9979999999996</v>
      </c>
    </row>
    <row r="2573" spans="2:4">
      <c r="C2573" t="s">
        <v>3128</v>
      </c>
    </row>
    <row r="2574" spans="2:4">
      <c r="D2574" s="20" t="s">
        <v>3129</v>
      </c>
    </row>
    <row r="2575" spans="2:4">
      <c r="B2575" t="s">
        <v>3130</v>
      </c>
    </row>
    <row r="2576" spans="2:4">
      <c r="C2576" t="s">
        <v>3131</v>
      </c>
    </row>
    <row r="2578" spans="2:3">
      <c r="B2578" s="57" t="s">
        <v>3211</v>
      </c>
    </row>
    <row r="2580" spans="2:3">
      <c r="B2580" t="s">
        <v>3212</v>
      </c>
    </row>
    <row r="2581" spans="2:3">
      <c r="B2581" t="s">
        <v>3213</v>
      </c>
    </row>
    <row r="2582" spans="2:3">
      <c r="B2582" t="s">
        <v>3214</v>
      </c>
    </row>
    <row r="2583" spans="2:3">
      <c r="B2583" t="s">
        <v>3215</v>
      </c>
    </row>
    <row r="2584" spans="2:3">
      <c r="B2584" t="s">
        <v>3216</v>
      </c>
      <c r="C2584" t="s">
        <v>3217</v>
      </c>
    </row>
    <row r="2585" spans="2:3">
      <c r="C2585" t="s">
        <v>3218</v>
      </c>
    </row>
    <row r="2586" spans="2:3">
      <c r="B2586" t="s">
        <v>3219</v>
      </c>
    </row>
    <row r="2587" spans="2:3">
      <c r="C2587" t="s">
        <v>3220</v>
      </c>
    </row>
    <row r="2588" spans="2:3">
      <c r="B2588" t="s">
        <v>3221</v>
      </c>
    </row>
    <row r="2589" spans="2:3">
      <c r="C2589" t="s">
        <v>3223</v>
      </c>
    </row>
    <row r="2590" spans="2:3">
      <c r="C2590" t="s">
        <v>3224</v>
      </c>
    </row>
    <row r="2591" spans="2:3">
      <c r="C2591" t="s">
        <v>3225</v>
      </c>
    </row>
    <row r="2592" spans="2:3">
      <c r="C2592" t="s">
        <v>3226</v>
      </c>
    </row>
    <row r="2593" spans="2:3">
      <c r="C2593" t="s">
        <v>3227</v>
      </c>
    </row>
    <row r="2594" spans="2:3">
      <c r="B2594" t="s">
        <v>3222</v>
      </c>
    </row>
    <row r="2595" spans="2:3">
      <c r="C2595" t="s">
        <v>3228</v>
      </c>
    </row>
    <row r="2596" spans="2:3">
      <c r="C2596" t="s">
        <v>3229</v>
      </c>
    </row>
    <row r="2597" spans="2:3">
      <c r="C2597" t="s">
        <v>3230</v>
      </c>
    </row>
    <row r="2598" spans="2:3">
      <c r="B2598" t="s">
        <v>665</v>
      </c>
    </row>
    <row r="2599" spans="2:3">
      <c r="C2599" t="s">
        <v>3231</v>
      </c>
    </row>
    <row r="2600" spans="2:3">
      <c r="C2600" t="s">
        <v>3232</v>
      </c>
    </row>
    <row r="2602" spans="2:3">
      <c r="C2602" t="s">
        <v>3233</v>
      </c>
    </row>
    <row r="2603" spans="2:3">
      <c r="B2603" t="s">
        <v>3234</v>
      </c>
    </row>
    <row r="2604" spans="2:3">
      <c r="C2604" t="s">
        <v>3235</v>
      </c>
    </row>
    <row r="2605" spans="2:3">
      <c r="C2605" t="s">
        <v>3236</v>
      </c>
    </row>
    <row r="2606" spans="2:3">
      <c r="C2606" t="s">
        <v>3237</v>
      </c>
    </row>
    <row r="2607" spans="2:3">
      <c r="B2607" t="s">
        <v>3238</v>
      </c>
    </row>
    <row r="2608" spans="2:3">
      <c r="C2608" t="s">
        <v>3241</v>
      </c>
    </row>
    <row r="2609" spans="2:3">
      <c r="B2609" t="s">
        <v>3239</v>
      </c>
    </row>
    <row r="2610" spans="2:3">
      <c r="C2610" t="s">
        <v>3240</v>
      </c>
    </row>
    <row r="2611" spans="2:3">
      <c r="C2611" t="s">
        <v>3242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I182"/>
  <sheetViews>
    <sheetView showGridLines="0" topLeftCell="B13" zoomScale="70" zoomScaleNormal="70" zoomScalePageLayoutView="85" workbookViewId="0">
      <selection activeCell="AE18" sqref="AE18"/>
    </sheetView>
  </sheetViews>
  <sheetFormatPr defaultColWidth="9.140625" defaultRowHeight="15"/>
  <cols>
    <col min="1" max="1" width="2.5703125" style="30" customWidth="1"/>
    <col min="2" max="2" width="43.5703125" style="30" bestFit="1" customWidth="1"/>
    <col min="3" max="4" width="9.42578125" style="30" customWidth="1"/>
    <col min="5" max="5" width="9.140625" style="30" customWidth="1"/>
    <col min="6" max="6" width="9" style="30" customWidth="1"/>
    <col min="7" max="7" width="9.140625" style="30" customWidth="1"/>
    <col min="8" max="8" width="12.140625" style="30" customWidth="1"/>
    <col min="9" max="9" width="12.42578125" style="30" bestFit="1" customWidth="1"/>
    <col min="10" max="19" width="11.5703125" style="30" bestFit="1" customWidth="1"/>
    <col min="20" max="20" width="11.85546875" style="30" bestFit="1" customWidth="1"/>
    <col min="21" max="21" width="9.140625" style="30" bestFit="1" customWidth="1"/>
    <col min="22" max="23" width="9.7109375" style="30" bestFit="1" customWidth="1"/>
    <col min="24" max="16384" width="9.140625" style="30"/>
  </cols>
  <sheetData>
    <row r="2" spans="2:35">
      <c r="B2" s="29" t="s">
        <v>438</v>
      </c>
      <c r="C2" s="29">
        <v>1998</v>
      </c>
      <c r="D2" s="29">
        <v>1999</v>
      </c>
      <c r="E2" s="29">
        <v>2000</v>
      </c>
      <c r="F2" s="29">
        <v>2001</v>
      </c>
      <c r="G2" s="29">
        <v>2002</v>
      </c>
      <c r="H2" s="29">
        <v>2003</v>
      </c>
      <c r="I2" s="29">
        <v>2004</v>
      </c>
      <c r="J2" s="29">
        <v>2005</v>
      </c>
      <c r="K2" s="29">
        <v>2006</v>
      </c>
      <c r="L2" s="29">
        <v>2007</v>
      </c>
      <c r="M2" s="29">
        <v>2008</v>
      </c>
      <c r="N2" s="29">
        <v>2009</v>
      </c>
      <c r="O2" s="29">
        <v>2010</v>
      </c>
      <c r="P2" s="29">
        <v>2011</v>
      </c>
      <c r="Q2" s="29">
        <v>2012</v>
      </c>
      <c r="R2" s="29">
        <v>2013</v>
      </c>
      <c r="S2" s="29">
        <v>2014</v>
      </c>
      <c r="T2" s="29">
        <v>2015</v>
      </c>
      <c r="U2" s="29">
        <v>2016</v>
      </c>
      <c r="V2" s="29">
        <v>2017</v>
      </c>
      <c r="W2" s="29">
        <v>2018</v>
      </c>
      <c r="X2" s="29">
        <v>2019</v>
      </c>
      <c r="Y2" s="29">
        <v>2020</v>
      </c>
      <c r="Z2" s="29">
        <v>2021</v>
      </c>
      <c r="AA2" s="29">
        <v>2022</v>
      </c>
      <c r="AB2" s="29">
        <v>2023</v>
      </c>
      <c r="AC2" s="29">
        <v>2024</v>
      </c>
      <c r="AD2" s="29">
        <v>2025</v>
      </c>
      <c r="AE2" s="29">
        <v>2026</v>
      </c>
      <c r="AF2" s="29">
        <v>2027</v>
      </c>
      <c r="AG2" s="29">
        <v>2028</v>
      </c>
      <c r="AH2" s="29">
        <v>2029</v>
      </c>
      <c r="AI2" s="29">
        <v>2030</v>
      </c>
    </row>
    <row r="3" spans="2:35">
      <c r="B3" s="30" t="s">
        <v>439</v>
      </c>
      <c r="C3" s="31"/>
      <c r="D3" s="31"/>
      <c r="E3" s="31"/>
      <c r="F3" s="31"/>
      <c r="G3" s="31"/>
      <c r="H3" s="31"/>
      <c r="I3" s="31"/>
      <c r="J3" s="31"/>
      <c r="K3" s="31"/>
      <c r="L3" s="31"/>
      <c r="M3" s="31"/>
      <c r="N3" s="31"/>
      <c r="O3" s="31"/>
      <c r="P3" s="31"/>
      <c r="Q3" s="31">
        <f>Valuation!E3</f>
        <v>859.12649999999996</v>
      </c>
      <c r="R3" s="31">
        <f>Valuation!F3</f>
        <v>859.25699999999995</v>
      </c>
      <c r="S3" s="31">
        <f>Valuation!G3</f>
        <v>859.25699999999995</v>
      </c>
      <c r="T3" s="31">
        <f>Valuation!H3</f>
        <v>859.25699999999995</v>
      </c>
      <c r="U3" s="31">
        <f>Valuation!I3</f>
        <v>859.25699999999995</v>
      </c>
      <c r="V3" s="31">
        <f>Valuation!J3</f>
        <v>859.25699999999995</v>
      </c>
      <c r="W3" s="31">
        <f>Valuation!K3</f>
        <v>859.25699999999995</v>
      </c>
      <c r="X3" s="31">
        <f>Valuation!L3</f>
        <v>859.25699999999995</v>
      </c>
      <c r="Y3" s="31">
        <f>Valuation!M3</f>
        <v>860.03800000000001</v>
      </c>
      <c r="Z3" s="31">
        <f>Valuation!N3</f>
        <v>857.476</v>
      </c>
      <c r="AA3" s="31">
        <f>Valuation!O3</f>
        <v>857.61749999999995</v>
      </c>
      <c r="AB3" s="31">
        <f>Valuation!P3</f>
        <v>858.50049999999999</v>
      </c>
      <c r="AC3" s="31">
        <f>Valuation!Q3</f>
        <v>858.50049999999999</v>
      </c>
      <c r="AD3" s="31">
        <f>Valuation!R3</f>
        <v>858.50049999999999</v>
      </c>
      <c r="AE3" s="31">
        <f>Valuation!S3</f>
        <v>858.50049999999999</v>
      </c>
      <c r="AF3" s="31">
        <f>Valuation!T3</f>
        <v>858.50049999999999</v>
      </c>
      <c r="AG3" s="31">
        <f>Valuation!U3</f>
        <v>858.50049999999999</v>
      </c>
      <c r="AH3" s="31">
        <f>Valuation!V3</f>
        <v>858.50049999999999</v>
      </c>
      <c r="AI3" s="31">
        <f>Valuation!W3</f>
        <v>858.50049999999999</v>
      </c>
    </row>
    <row r="4" spans="2:35">
      <c r="B4" s="30" t="s">
        <v>440</v>
      </c>
      <c r="C4" s="31"/>
      <c r="D4" s="31"/>
      <c r="E4" s="31"/>
      <c r="F4" s="31"/>
      <c r="G4" s="31"/>
      <c r="H4" s="31"/>
      <c r="I4" s="31"/>
      <c r="J4" s="31"/>
      <c r="K4" s="31"/>
      <c r="L4" s="31"/>
      <c r="M4" s="31"/>
      <c r="N4" s="31"/>
      <c r="O4" s="31"/>
      <c r="P4" s="31"/>
      <c r="Q4" s="31">
        <f t="shared" ref="Q4:AI4" si="0">AVERAGE(P3:Q3)</f>
        <v>859.12649999999996</v>
      </c>
      <c r="R4" s="31">
        <f t="shared" si="0"/>
        <v>859.19174999999996</v>
      </c>
      <c r="S4" s="31">
        <f t="shared" si="0"/>
        <v>859.25699999999995</v>
      </c>
      <c r="T4" s="31">
        <f t="shared" si="0"/>
        <v>859.25699999999995</v>
      </c>
      <c r="U4" s="31">
        <f t="shared" si="0"/>
        <v>859.25699999999995</v>
      </c>
      <c r="V4" s="31">
        <f t="shared" si="0"/>
        <v>859.25699999999995</v>
      </c>
      <c r="W4" s="31">
        <f t="shared" si="0"/>
        <v>859.25699999999995</v>
      </c>
      <c r="X4" s="31">
        <f t="shared" si="0"/>
        <v>859.25699999999995</v>
      </c>
      <c r="Y4" s="31">
        <f t="shared" si="0"/>
        <v>859.64750000000004</v>
      </c>
      <c r="Z4" s="31">
        <f t="shared" si="0"/>
        <v>858.75700000000006</v>
      </c>
      <c r="AA4" s="31">
        <f t="shared" si="0"/>
        <v>857.54674999999997</v>
      </c>
      <c r="AB4" s="31">
        <f t="shared" si="0"/>
        <v>858.05899999999997</v>
      </c>
      <c r="AC4" s="31">
        <f t="shared" si="0"/>
        <v>858.50049999999999</v>
      </c>
      <c r="AD4" s="31">
        <f t="shared" si="0"/>
        <v>858.50049999999999</v>
      </c>
      <c r="AE4" s="31">
        <f t="shared" si="0"/>
        <v>858.50049999999999</v>
      </c>
      <c r="AF4" s="31">
        <f t="shared" si="0"/>
        <v>858.50049999999999</v>
      </c>
      <c r="AG4" s="31">
        <f t="shared" si="0"/>
        <v>858.50049999999999</v>
      </c>
      <c r="AH4" s="31">
        <f t="shared" si="0"/>
        <v>858.50049999999999</v>
      </c>
      <c r="AI4" s="31">
        <f t="shared" si="0"/>
        <v>858.50049999999999</v>
      </c>
    </row>
    <row r="5" spans="2:35">
      <c r="B5" s="30" t="s">
        <v>441</v>
      </c>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row>
    <row r="6" spans="2:35">
      <c r="B6" s="30" t="s">
        <v>442</v>
      </c>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row>
    <row r="7" spans="2:35">
      <c r="B7" s="30" t="s">
        <v>443</v>
      </c>
      <c r="C7" s="31"/>
      <c r="D7" s="31"/>
      <c r="E7" s="31"/>
      <c r="F7" s="31"/>
      <c r="G7" s="31"/>
      <c r="H7" s="31"/>
      <c r="I7" s="31"/>
      <c r="J7" s="31"/>
      <c r="K7" s="31"/>
      <c r="L7" s="31"/>
      <c r="M7" s="31"/>
      <c r="N7" s="31"/>
      <c r="O7" s="31"/>
      <c r="P7" s="31"/>
      <c r="Q7" s="31">
        <f>Master!L102</f>
        <v>-352</v>
      </c>
      <c r="R7" s="31">
        <f>Master!M102</f>
        <v>-405.69999999999982</v>
      </c>
      <c r="S7" s="31">
        <f>Master!N102</f>
        <v>-1098</v>
      </c>
      <c r="T7" s="31">
        <f>Master!O102</f>
        <v>401</v>
      </c>
      <c r="U7" s="31">
        <f>Master!P102</f>
        <v>2484</v>
      </c>
      <c r="V7" s="31">
        <f>Master!Q102</f>
        <v>936</v>
      </c>
      <c r="W7" s="31">
        <f>Master!R102</f>
        <v>567.90000000000009</v>
      </c>
      <c r="X7" s="31">
        <f>Master!S102</f>
        <v>4794</v>
      </c>
      <c r="Y7" s="31">
        <f>Master!T102</f>
        <v>3622.3360000000002</v>
      </c>
      <c r="Z7" s="31">
        <f>Master!U102</f>
        <v>4668.2510000000002</v>
      </c>
      <c r="AA7" s="31">
        <f>Master!V102</f>
        <v>12842.623</v>
      </c>
      <c r="AB7" s="31">
        <f>Master!W102</f>
        <v>20217.771000000001</v>
      </c>
      <c r="AC7" s="31">
        <f ca="1">Master!X102</f>
        <v>21977.452653119999</v>
      </c>
      <c r="AD7" s="31">
        <f ca="1">Master!Y102</f>
        <v>21977.467402100512</v>
      </c>
      <c r="AE7" s="31">
        <f ca="1">Master!Z102</f>
        <v>20608.634295958305</v>
      </c>
      <c r="AF7" s="31">
        <f ca="1">Master!AA102</f>
        <v>18328.007832177671</v>
      </c>
      <c r="AG7" s="31">
        <f ca="1">Master!AB102</f>
        <v>15968.90484808305</v>
      </c>
      <c r="AH7" s="31">
        <f ca="1">Master!AC102</f>
        <v>13635.718684801112</v>
      </c>
      <c r="AI7" s="31">
        <f ca="1">Master!AD102</f>
        <v>11497.810848536485</v>
      </c>
    </row>
    <row r="8" spans="2:35">
      <c r="B8" s="30" t="s">
        <v>444</v>
      </c>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row>
    <row r="9" spans="2:35">
      <c r="B9" s="30" t="s">
        <v>445</v>
      </c>
      <c r="C9" s="31"/>
      <c r="D9" s="32"/>
      <c r="E9" s="32"/>
      <c r="F9" s="32"/>
      <c r="G9" s="32"/>
      <c r="H9" s="32"/>
      <c r="I9" s="32"/>
      <c r="J9" s="32"/>
      <c r="K9" s="32"/>
      <c r="L9" s="32"/>
      <c r="M9" s="32"/>
      <c r="N9" s="32"/>
      <c r="O9" s="32"/>
      <c r="P9" s="32"/>
      <c r="Q9" s="32">
        <f>-Valuation!E7</f>
        <v>0</v>
      </c>
      <c r="R9" s="32">
        <f>-Valuation!F7</f>
        <v>0</v>
      </c>
      <c r="S9" s="32">
        <f>-Valuation!G7</f>
        <v>0</v>
      </c>
      <c r="T9" s="32">
        <f>-Valuation!H7</f>
        <v>0</v>
      </c>
      <c r="U9" s="32">
        <f>-Valuation!I7</f>
        <v>0</v>
      </c>
      <c r="V9" s="32">
        <f>-Valuation!J7</f>
        <v>0</v>
      </c>
      <c r="W9" s="32">
        <f>-Valuation!K7</f>
        <v>0</v>
      </c>
      <c r="X9" s="32">
        <f>-Valuation!L7</f>
        <v>0</v>
      </c>
      <c r="Y9" s="32">
        <f>-Valuation!M7</f>
        <v>0</v>
      </c>
      <c r="Z9" s="32">
        <f>-Valuation!N7</f>
        <v>0</v>
      </c>
      <c r="AA9" s="32">
        <f>-Valuation!O7</f>
        <v>0</v>
      </c>
      <c r="AB9" s="32">
        <f>-Valuation!P7</f>
        <v>0</v>
      </c>
      <c r="AC9" s="32">
        <f>-Valuation!Q7</f>
        <v>0</v>
      </c>
      <c r="AD9" s="32">
        <f>-Valuation!R7</f>
        <v>0</v>
      </c>
      <c r="AE9" s="32">
        <f>-Valuation!S7</f>
        <v>0</v>
      </c>
      <c r="AF9" s="32">
        <f>-Valuation!T7</f>
        <v>0</v>
      </c>
      <c r="AG9" s="32">
        <f>-Valuation!U7</f>
        <v>0</v>
      </c>
      <c r="AH9" s="32">
        <f>-Valuation!V7</f>
        <v>0</v>
      </c>
      <c r="AI9" s="32">
        <f>-Valuation!W7</f>
        <v>0</v>
      </c>
    </row>
    <row r="10" spans="2:35">
      <c r="B10" s="30" t="s">
        <v>446</v>
      </c>
      <c r="C10" s="31"/>
      <c r="D10" s="32"/>
      <c r="E10" s="32"/>
      <c r="F10" s="32"/>
      <c r="G10" s="32"/>
      <c r="H10" s="32"/>
      <c r="I10" s="32"/>
      <c r="J10" s="32"/>
      <c r="K10" s="32"/>
      <c r="L10" s="32"/>
      <c r="M10" s="32"/>
      <c r="N10" s="32"/>
      <c r="O10" s="32"/>
      <c r="P10" s="32"/>
      <c r="Q10" s="32">
        <f>Valuation!E9</f>
        <v>0</v>
      </c>
      <c r="R10" s="32">
        <f>Valuation!F9</f>
        <v>5020.5321598249429</v>
      </c>
      <c r="S10" s="32">
        <f>Valuation!G9</f>
        <v>5020.5321598249429</v>
      </c>
      <c r="T10" s="32">
        <f>Valuation!H9</f>
        <v>5020.5321598249429</v>
      </c>
      <c r="U10" s="32">
        <f>Valuation!I9</f>
        <v>5020.5321598249429</v>
      </c>
      <c r="V10" s="32">
        <f>Valuation!J9</f>
        <v>5020.5321598249429</v>
      </c>
      <c r="W10" s="32">
        <f>Valuation!K9</f>
        <v>5020.5321598249429</v>
      </c>
      <c r="X10" s="32">
        <f>Valuation!L9</f>
        <v>5020.5321598249429</v>
      </c>
      <c r="Y10" s="32">
        <f>Valuation!M9</f>
        <v>5020.5321598249429</v>
      </c>
      <c r="Z10" s="32">
        <f>Valuation!N9</f>
        <v>5020.5321598249429</v>
      </c>
      <c r="AA10" s="32">
        <f>Valuation!O9</f>
        <v>5020.5321598249429</v>
      </c>
      <c r="AB10" s="32">
        <f>Valuation!P9</f>
        <v>5020.5321598249429</v>
      </c>
      <c r="AC10" s="32">
        <f>Valuation!Q9</f>
        <v>5020.5321598249429</v>
      </c>
      <c r="AD10" s="32">
        <f>Valuation!R9</f>
        <v>5020.5321598249429</v>
      </c>
      <c r="AE10" s="32">
        <f>Valuation!S9</f>
        <v>5020.5321598249429</v>
      </c>
      <c r="AF10" s="32">
        <f>Valuation!T9</f>
        <v>5020.5321598249429</v>
      </c>
      <c r="AG10" s="32">
        <f>Valuation!U9</f>
        <v>5020.5321598249429</v>
      </c>
      <c r="AH10" s="32">
        <f>Valuation!V9</f>
        <v>5020.5321598249429</v>
      </c>
      <c r="AI10" s="32">
        <f>Valuation!W9</f>
        <v>5020.5321598249429</v>
      </c>
    </row>
    <row r="11" spans="2:35">
      <c r="B11" s="30" t="s">
        <v>447</v>
      </c>
      <c r="C11" s="31"/>
      <c r="D11" s="32"/>
      <c r="E11" s="32"/>
      <c r="F11" s="32"/>
      <c r="G11" s="32"/>
      <c r="H11" s="32"/>
      <c r="I11" s="32"/>
      <c r="J11" s="32"/>
      <c r="K11" s="32"/>
      <c r="L11" s="32"/>
      <c r="M11" s="32"/>
      <c r="N11" s="32"/>
      <c r="O11" s="32"/>
      <c r="P11" s="32"/>
      <c r="Q11" s="32">
        <f>-Valuation!E12</f>
        <v>0</v>
      </c>
      <c r="R11" s="32">
        <f>-Valuation!F12</f>
        <v>0</v>
      </c>
      <c r="S11" s="32">
        <f>-Valuation!G12</f>
        <v>0</v>
      </c>
      <c r="T11" s="32">
        <f>-Valuation!H12</f>
        <v>0</v>
      </c>
      <c r="U11" s="32">
        <f>-Valuation!I12</f>
        <v>0</v>
      </c>
      <c r="V11" s="32">
        <f>-Valuation!J12</f>
        <v>0</v>
      </c>
      <c r="W11" s="32">
        <f>-Valuation!K12</f>
        <v>0</v>
      </c>
      <c r="X11" s="32">
        <f>-Valuation!L12</f>
        <v>0</v>
      </c>
      <c r="Y11" s="32">
        <f>-Valuation!M12</f>
        <v>0</v>
      </c>
      <c r="Z11" s="32">
        <f>-Valuation!N12</f>
        <v>0</v>
      </c>
      <c r="AA11" s="32">
        <f>-Valuation!O12</f>
        <v>0</v>
      </c>
      <c r="AB11" s="32">
        <f>-Valuation!P12</f>
        <v>0</v>
      </c>
      <c r="AC11" s="32">
        <f>-Valuation!Q12</f>
        <v>2618.4265249999999</v>
      </c>
      <c r="AD11" s="32">
        <f>-Valuation!R12</f>
        <v>5367.7743762499995</v>
      </c>
      <c r="AE11" s="32">
        <f>-Valuation!S12</f>
        <v>8392.0570126249986</v>
      </c>
      <c r="AF11" s="32">
        <f>-Valuation!T12</f>
        <v>11718.767912637499</v>
      </c>
      <c r="AG11" s="32">
        <f>-Valuation!U12</f>
        <v>15378.14990265125</v>
      </c>
      <c r="AH11" s="32">
        <f>-Valuation!V12</f>
        <v>19403.470091666375</v>
      </c>
      <c r="AI11" s="32">
        <f>-Valuation!W12</f>
        <v>23831.322299583015</v>
      </c>
    </row>
    <row r="12" spans="2:35">
      <c r="B12" s="30" t="s">
        <v>448</v>
      </c>
      <c r="C12" s="31"/>
      <c r="D12" s="31"/>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2:35">
      <c r="B13" s="30" t="s">
        <v>19</v>
      </c>
      <c r="C13" s="31"/>
      <c r="D13" s="31"/>
      <c r="E13" s="31"/>
      <c r="F13" s="31"/>
      <c r="G13" s="31"/>
      <c r="H13" s="31"/>
      <c r="I13" s="31"/>
      <c r="J13" s="31"/>
      <c r="K13" s="31"/>
      <c r="L13" s="31"/>
      <c r="M13" s="31"/>
      <c r="N13" s="33"/>
      <c r="O13" s="33"/>
      <c r="P13" s="33"/>
      <c r="Q13" s="33">
        <f>Valuation!E36</f>
        <v>0.620529</v>
      </c>
      <c r="R13" s="33">
        <f>Valuation!F36</f>
        <v>1.8254410000000001</v>
      </c>
      <c r="S13" s="33">
        <f>Valuation!G36</f>
        <v>1.1399999999999999</v>
      </c>
      <c r="T13" s="33">
        <f>Valuation!H36</f>
        <v>1.36</v>
      </c>
      <c r="U13" s="33">
        <f>Valuation!I36</f>
        <v>1.62</v>
      </c>
      <c r="V13" s="33">
        <f>Valuation!J36</f>
        <v>1.78</v>
      </c>
      <c r="W13" s="33">
        <f>Valuation!K36</f>
        <v>2.1800000000000002</v>
      </c>
      <c r="X13" s="33">
        <f>Valuation!L36</f>
        <v>1.78</v>
      </c>
      <c r="Y13" s="33">
        <f>Valuation!M36</f>
        <v>2.56</v>
      </c>
      <c r="Z13" s="33">
        <f>Valuation!N36</f>
        <v>2.82</v>
      </c>
      <c r="AA13" s="33">
        <f>Valuation!O36</f>
        <v>2.96</v>
      </c>
      <c r="AB13" s="33">
        <f>Valuation!P36</f>
        <v>3.05</v>
      </c>
      <c r="AC13" s="33">
        <f>Valuation!Q36</f>
        <v>3.2025000000000001</v>
      </c>
      <c r="AD13" s="33">
        <f>Valuation!R36</f>
        <v>3.5227500000000003</v>
      </c>
      <c r="AE13" s="33">
        <f>Valuation!S36</f>
        <v>3.8750250000000008</v>
      </c>
      <c r="AF13" s="33">
        <f>Valuation!T36</f>
        <v>4.2625275000000009</v>
      </c>
      <c r="AG13" s="33">
        <f>Valuation!U36</f>
        <v>4.6887802500000015</v>
      </c>
      <c r="AH13" s="33">
        <f>Valuation!V36</f>
        <v>5.157658275000002</v>
      </c>
      <c r="AI13" s="33">
        <f>Valuation!W36</f>
        <v>5.673424102500003</v>
      </c>
    </row>
    <row r="14" spans="2:35">
      <c r="B14" s="30" t="s">
        <v>449</v>
      </c>
      <c r="C14" s="31"/>
      <c r="D14" s="31"/>
      <c r="E14" s="31"/>
      <c r="F14" s="31"/>
      <c r="G14" s="31"/>
      <c r="H14" s="31"/>
      <c r="I14" s="31"/>
      <c r="J14" s="31"/>
      <c r="K14" s="31"/>
      <c r="L14" s="31"/>
      <c r="M14" s="31"/>
      <c r="N14" s="33"/>
      <c r="O14" s="33"/>
      <c r="P14" s="33"/>
      <c r="Q14" s="33">
        <f>Valuation!E35</f>
        <v>2.0073411773469916</v>
      </c>
      <c r="R14" s="33">
        <f>Valuation!F35</f>
        <v>2.2782473695297218</v>
      </c>
      <c r="S14" s="33">
        <f>Valuation!G35</f>
        <v>2.4758370832120429</v>
      </c>
      <c r="T14" s="33">
        <f>Valuation!H35</f>
        <v>3.0683490237744109</v>
      </c>
      <c r="U14" s="33">
        <f>Valuation!I35</f>
        <v>3.7117373076734448</v>
      </c>
      <c r="V14" s="33">
        <f>Valuation!J35</f>
        <v>4.5104922674780328</v>
      </c>
      <c r="W14" s="33">
        <f>Valuation!K35</f>
        <v>5.4448857448973076</v>
      </c>
      <c r="X14" s="33">
        <f>Valuation!L35</f>
        <v>6.1970049786589572</v>
      </c>
      <c r="Y14" s="33">
        <f>Valuation!M35</f>
        <v>6.6040066167942078</v>
      </c>
      <c r="Z14" s="33">
        <f ca="1">Valuation!N35</f>
        <v>6.9581760376342965</v>
      </c>
      <c r="AA14" s="33">
        <f>Valuation!O35</f>
        <v>7.0597864748355335</v>
      </c>
      <c r="AB14" s="33">
        <f>Valuation!P35</f>
        <v>7.6704683956452273</v>
      </c>
      <c r="AC14" s="33">
        <f ca="1">Valuation!Q35</f>
        <v>8.1968432528452801</v>
      </c>
      <c r="AD14" s="33">
        <f ca="1">Valuation!R35</f>
        <v>9.6302235454454461</v>
      </c>
      <c r="AE14" s="33">
        <f ca="1">Valuation!S35</f>
        <v>10.540187774414708</v>
      </c>
      <c r="AF14" s="33">
        <f ca="1">Valuation!T35</f>
        <v>10.818522449610722</v>
      </c>
      <c r="AG14" s="33">
        <f ca="1">Valuation!U35</f>
        <v>11.072660882183882</v>
      </c>
      <c r="AH14" s="33">
        <f ca="1">Valuation!V35</f>
        <v>11.461374466882861</v>
      </c>
      <c r="AI14" s="33">
        <f ca="1">Valuation!W35</f>
        <v>12.152746748863226</v>
      </c>
    </row>
    <row r="15" spans="2:35">
      <c r="B15" s="30" t="s">
        <v>18</v>
      </c>
      <c r="C15" s="31"/>
      <c r="D15" s="31"/>
      <c r="E15" s="31"/>
      <c r="F15" s="31"/>
      <c r="G15" s="31"/>
      <c r="H15" s="31"/>
      <c r="I15" s="31"/>
      <c r="J15" s="31"/>
      <c r="K15" s="31"/>
      <c r="L15" s="31"/>
      <c r="M15" s="31"/>
      <c r="N15" s="33"/>
      <c r="O15" s="33"/>
      <c r="P15" s="33"/>
      <c r="Q15" s="33">
        <f>Valuation!E35</f>
        <v>2.0073411773469916</v>
      </c>
      <c r="R15" s="33">
        <f>Valuation!F35</f>
        <v>2.2782473695297218</v>
      </c>
      <c r="S15" s="33">
        <f>Valuation!G35</f>
        <v>2.4758370832120429</v>
      </c>
      <c r="T15" s="33">
        <f>Valuation!H35</f>
        <v>3.0683490237744109</v>
      </c>
      <c r="U15" s="33">
        <f>Valuation!I35</f>
        <v>3.7117373076734448</v>
      </c>
      <c r="V15" s="33">
        <f>Valuation!J35</f>
        <v>4.5104922674780328</v>
      </c>
      <c r="W15" s="33">
        <f>Valuation!K35</f>
        <v>5.4448857448973076</v>
      </c>
      <c r="X15" s="33">
        <f>Valuation!L35</f>
        <v>6.1970049786589572</v>
      </c>
      <c r="Y15" s="33">
        <f>Valuation!M35</f>
        <v>6.6040066167942078</v>
      </c>
      <c r="Z15" s="33">
        <f ca="1">Valuation!N35</f>
        <v>6.9581760376342965</v>
      </c>
      <c r="AA15" s="33">
        <f>Valuation!O35</f>
        <v>7.0597864748355335</v>
      </c>
      <c r="AB15" s="33">
        <f>Valuation!P35</f>
        <v>7.6704683956452273</v>
      </c>
      <c r="AC15" s="33">
        <f ca="1">Valuation!Q35</f>
        <v>8.1968432528452801</v>
      </c>
      <c r="AD15" s="33">
        <f ca="1">Valuation!R35</f>
        <v>9.6302235454454461</v>
      </c>
      <c r="AE15" s="33">
        <f ca="1">Valuation!S35</f>
        <v>10.540187774414708</v>
      </c>
      <c r="AF15" s="33">
        <f ca="1">Valuation!T35</f>
        <v>10.818522449610722</v>
      </c>
      <c r="AG15" s="33">
        <f ca="1">Valuation!U35</f>
        <v>11.072660882183882</v>
      </c>
      <c r="AH15" s="33">
        <f ca="1">Valuation!V35</f>
        <v>11.461374466882861</v>
      </c>
      <c r="AI15" s="33">
        <f ca="1">Valuation!W35</f>
        <v>12.152746748863226</v>
      </c>
    </row>
    <row r="16" spans="2:35">
      <c r="B16" s="30" t="s">
        <v>525</v>
      </c>
      <c r="C16" s="31"/>
      <c r="D16" s="31"/>
      <c r="E16" s="31"/>
      <c r="F16" s="31"/>
      <c r="G16" s="31"/>
      <c r="H16" s="31"/>
      <c r="I16" s="31"/>
      <c r="J16" s="31"/>
      <c r="K16" s="31"/>
      <c r="L16" s="31"/>
      <c r="M16" s="31"/>
      <c r="N16" s="33"/>
      <c r="O16" s="33"/>
      <c r="P16" s="33"/>
      <c r="Q16" s="31">
        <f>-Master!L97</f>
        <v>533.11290791850001</v>
      </c>
      <c r="R16" s="31">
        <f>-Master!M97</f>
        <v>1568.522957337</v>
      </c>
      <c r="S16" s="31">
        <f>-Master!N97</f>
        <v>0</v>
      </c>
      <c r="T16" s="31">
        <f>-Master!O97</f>
        <v>979.55297999999982</v>
      </c>
      <c r="U16" s="31">
        <f>-Master!P97</f>
        <v>1168.58952</v>
      </c>
      <c r="V16" s="31">
        <f>-Master!Q97</f>
        <v>1391.9963399999999</v>
      </c>
      <c r="W16" s="31">
        <f>-Master!R97</f>
        <v>1529.4774599999998</v>
      </c>
      <c r="X16" s="31">
        <f>-Master!S97</f>
        <v>1873.1802600000001</v>
      </c>
      <c r="Y16" s="31">
        <f>-Master!T97</f>
        <v>1529.4774599999998</v>
      </c>
      <c r="Z16" s="31">
        <f>-Master!U97</f>
        <v>2201.6972799999999</v>
      </c>
      <c r="AA16" s="31">
        <f>-Master!V97</f>
        <v>2418.08232</v>
      </c>
      <c r="AB16" s="31">
        <f>-Master!W97</f>
        <v>2538.5477999999998</v>
      </c>
      <c r="AC16" s="31">
        <f>-Master!X97</f>
        <v>2618.4265249999999</v>
      </c>
      <c r="AD16" s="31">
        <f>-Master!Y97</f>
        <v>2749.3478512500001</v>
      </c>
      <c r="AE16" s="31">
        <f>-Master!Z97</f>
        <v>3024.282636375</v>
      </c>
      <c r="AF16" s="31">
        <f>-Master!AA97</f>
        <v>3326.7109000125006</v>
      </c>
      <c r="AG16" s="31">
        <f>-Master!AB97</f>
        <v>3659.3819900137505</v>
      </c>
      <c r="AH16" s="31">
        <f>-Master!AC97</f>
        <v>4025.3201890151263</v>
      </c>
      <c r="AI16" s="31">
        <f>-Master!AD97</f>
        <v>4427.8522079166387</v>
      </c>
    </row>
    <row r="17" spans="2:35">
      <c r="B17" s="29" t="s">
        <v>450</v>
      </c>
      <c r="C17" s="29">
        <v>1998</v>
      </c>
      <c r="D17" s="34">
        <v>1999</v>
      </c>
      <c r="E17" s="34">
        <v>2000</v>
      </c>
      <c r="F17" s="34">
        <v>2001</v>
      </c>
      <c r="G17" s="34">
        <v>2002</v>
      </c>
      <c r="H17" s="34">
        <v>2003</v>
      </c>
      <c r="I17" s="34">
        <v>2004</v>
      </c>
      <c r="J17" s="34">
        <v>2005</v>
      </c>
      <c r="K17" s="34">
        <v>2006</v>
      </c>
      <c r="L17" s="34">
        <v>2007</v>
      </c>
      <c r="M17" s="34">
        <v>2008</v>
      </c>
      <c r="N17" s="34">
        <v>2009</v>
      </c>
      <c r="O17" s="34">
        <v>2010</v>
      </c>
      <c r="P17" s="34">
        <v>2011</v>
      </c>
      <c r="Q17" s="34">
        <v>2012</v>
      </c>
      <c r="R17" s="29">
        <v>2013</v>
      </c>
      <c r="S17" s="29">
        <v>2014</v>
      </c>
      <c r="T17" s="29">
        <v>2015</v>
      </c>
      <c r="U17" s="29">
        <v>2016</v>
      </c>
      <c r="V17" s="29">
        <v>2017</v>
      </c>
      <c r="W17" s="29">
        <v>2018</v>
      </c>
      <c r="X17" s="29">
        <v>2019</v>
      </c>
      <c r="Y17" s="29">
        <f t="shared" ref="Y17:AI17" si="1">Y$2</f>
        <v>2020</v>
      </c>
      <c r="Z17" s="29">
        <f t="shared" si="1"/>
        <v>2021</v>
      </c>
      <c r="AA17" s="29">
        <f t="shared" si="1"/>
        <v>2022</v>
      </c>
      <c r="AB17" s="29">
        <f t="shared" si="1"/>
        <v>2023</v>
      </c>
      <c r="AC17" s="29">
        <f t="shared" si="1"/>
        <v>2024</v>
      </c>
      <c r="AD17" s="29">
        <f t="shared" si="1"/>
        <v>2025</v>
      </c>
      <c r="AE17" s="29">
        <f t="shared" si="1"/>
        <v>2026</v>
      </c>
      <c r="AF17" s="29">
        <f t="shared" si="1"/>
        <v>2027</v>
      </c>
      <c r="AG17" s="29">
        <f t="shared" si="1"/>
        <v>2028</v>
      </c>
      <c r="AH17" s="29">
        <f t="shared" si="1"/>
        <v>2029</v>
      </c>
      <c r="AI17" s="29">
        <f t="shared" si="1"/>
        <v>2030</v>
      </c>
    </row>
    <row r="18" spans="2:35">
      <c r="B18" s="30" t="s">
        <v>451</v>
      </c>
      <c r="C18" s="31"/>
      <c r="D18" s="31"/>
      <c r="E18" s="31"/>
      <c r="F18" s="31"/>
      <c r="G18" s="31"/>
      <c r="H18" s="31"/>
      <c r="I18" s="31"/>
      <c r="J18" s="31"/>
      <c r="K18" s="31"/>
      <c r="L18" s="31"/>
      <c r="M18" s="31"/>
      <c r="N18" s="31"/>
      <c r="O18" s="31"/>
      <c r="P18" s="31"/>
      <c r="Q18" s="31">
        <f>Master!L7</f>
        <v>8977</v>
      </c>
      <c r="R18" s="31">
        <f>Master!M7</f>
        <v>10068</v>
      </c>
      <c r="S18" s="31">
        <f>Master!N7</f>
        <v>11475</v>
      </c>
      <c r="T18" s="31">
        <f>Master!O7</f>
        <v>14557</v>
      </c>
      <c r="U18" s="31">
        <f>Master!P7</f>
        <v>16957</v>
      </c>
      <c r="V18" s="31">
        <f>Master!Q7</f>
        <v>17287</v>
      </c>
      <c r="W18" s="31">
        <f>Master!R7</f>
        <v>19436</v>
      </c>
      <c r="X18" s="31">
        <f>Master!S7</f>
        <v>21604</v>
      </c>
      <c r="Y18" s="31">
        <f>Master!T7</f>
        <v>22383</v>
      </c>
      <c r="Z18" s="31">
        <f>Master!U7</f>
        <v>24634</v>
      </c>
      <c r="AA18" s="31">
        <f>Master!V7</f>
        <v>27155.555</v>
      </c>
      <c r="AB18" s="31">
        <f>Master!W7</f>
        <v>29870.54</v>
      </c>
      <c r="AC18" s="31">
        <f>Master!X7</f>
        <v>33085.7435653906</v>
      </c>
      <c r="AD18" s="31">
        <f>Master!Y7</f>
        <v>36026.705486593608</v>
      </c>
      <c r="AE18" s="31">
        <f>Master!Z7</f>
        <v>38748.862943517532</v>
      </c>
      <c r="AF18" s="31">
        <f>Master!AA7</f>
        <v>40988.179882362921</v>
      </c>
      <c r="AG18" s="31">
        <f>Master!AB7</f>
        <v>43060.801348991758</v>
      </c>
      <c r="AH18" s="31">
        <f>Master!AC7</f>
        <v>45094.405156194065</v>
      </c>
      <c r="AI18" s="31">
        <f>Master!AD7</f>
        <v>47173.29426766243</v>
      </c>
    </row>
    <row r="19" spans="2:35">
      <c r="B19" s="30" t="s">
        <v>307</v>
      </c>
      <c r="C19" s="31"/>
      <c r="D19" s="31"/>
      <c r="E19" s="31"/>
      <c r="F19" s="31"/>
      <c r="G19" s="31"/>
      <c r="H19" s="31"/>
      <c r="I19" s="31"/>
      <c r="J19" s="31"/>
      <c r="K19" s="31"/>
      <c r="L19" s="31"/>
      <c r="M19" s="31"/>
      <c r="N19" s="31"/>
      <c r="O19" s="31"/>
      <c r="P19" s="31"/>
      <c r="Q19" s="31">
        <f>Master!L12</f>
        <v>3777</v>
      </c>
      <c r="R19" s="31">
        <f>Master!M12</f>
        <v>4356</v>
      </c>
      <c r="S19" s="31">
        <f>Master!N12</f>
        <v>4847</v>
      </c>
      <c r="T19" s="31">
        <f>Master!O12</f>
        <v>5843</v>
      </c>
      <c r="U19" s="31">
        <f>Master!P12</f>
        <v>6915</v>
      </c>
      <c r="V19" s="31">
        <f>Master!Q12</f>
        <v>7715</v>
      </c>
      <c r="W19" s="31">
        <f>Master!R12</f>
        <v>9347</v>
      </c>
      <c r="X19" s="31">
        <f>Master!S12</f>
        <v>10161</v>
      </c>
      <c r="Y19" s="31">
        <f>Master!T12</f>
        <v>11037</v>
      </c>
      <c r="Z19" s="31">
        <f>Master!U12</f>
        <v>12116</v>
      </c>
      <c r="AA19" s="31">
        <f>Master!V12</f>
        <v>12769.018</v>
      </c>
      <c r="AB19" s="31">
        <f>Master!W12</f>
        <v>13319.993</v>
      </c>
      <c r="AC19" s="31">
        <f>Master!X12</f>
        <v>15052.832575733581</v>
      </c>
      <c r="AD19" s="31">
        <f>Master!Y12</f>
        <v>16703.957652064935</v>
      </c>
      <c r="AE19" s="31">
        <f>Master!Z12</f>
        <v>18327.740334193342</v>
      </c>
      <c r="AF19" s="31">
        <f>Master!AA12</f>
        <v>19380.874705245034</v>
      </c>
      <c r="AG19" s="31">
        <f>Master!AB12</f>
        <v>20348.811684158078</v>
      </c>
      <c r="AH19" s="31">
        <f>Master!AC12</f>
        <v>21293.802702552686</v>
      </c>
      <c r="AI19" s="31">
        <f>Master!AD12</f>
        <v>22256.816417354494</v>
      </c>
    </row>
    <row r="20" spans="2:35">
      <c r="B20" s="30" t="s">
        <v>452</v>
      </c>
      <c r="C20" s="31"/>
      <c r="D20" s="31"/>
      <c r="E20" s="31"/>
      <c r="F20" s="31"/>
      <c r="G20" s="31"/>
      <c r="H20" s="31"/>
      <c r="I20" s="31"/>
      <c r="J20" s="31"/>
      <c r="K20" s="31"/>
      <c r="L20" s="31"/>
      <c r="M20" s="31"/>
      <c r="N20" s="31"/>
      <c r="O20" s="31"/>
      <c r="P20" s="31"/>
      <c r="Q20" s="31">
        <f>Master!L19</f>
        <v>1057</v>
      </c>
      <c r="R20" s="31">
        <f>Master!M19</f>
        <v>1250</v>
      </c>
      <c r="S20" s="31">
        <f>Master!N19</f>
        <v>1558.6596881959911</v>
      </c>
      <c r="T20" s="31">
        <f>Master!O19</f>
        <v>1851.2081983720318</v>
      </c>
      <c r="U20" s="31">
        <f>Master!P19</f>
        <v>1877.4840745931269</v>
      </c>
      <c r="V20" s="31">
        <f>Master!Q19</f>
        <v>2364.6981962095792</v>
      </c>
      <c r="W20" s="31">
        <f>Master!R19</f>
        <v>3181.64957479646</v>
      </c>
      <c r="X20" s="31">
        <f>Master!S19</f>
        <v>4070.5279947361491</v>
      </c>
      <c r="Y20" s="31">
        <f>Master!T19</f>
        <v>4661.4850579178892</v>
      </c>
      <c r="Z20" s="31">
        <f ca="1">Master!U19</f>
        <v>4991.6720000000005</v>
      </c>
      <c r="AA20" s="31">
        <f>Master!V19</f>
        <v>6184.5499999999993</v>
      </c>
      <c r="AB20" s="31">
        <f>Master!W19</f>
        <v>7143.1377199999997</v>
      </c>
      <c r="AC20" s="31">
        <f>Master!X19</f>
        <v>8279.8086283226457</v>
      </c>
      <c r="AD20" s="31">
        <f ca="1">Master!Y19</f>
        <v>8293.0353476439795</v>
      </c>
      <c r="AE20" s="31">
        <f ca="1">Master!Z19</f>
        <v>8588.6902043931095</v>
      </c>
      <c r="AF20" s="31">
        <f ca="1">Master!AA19</f>
        <v>8776.8049745311455</v>
      </c>
      <c r="AG20" s="31">
        <f ca="1">Master!AB19</f>
        <v>8895.8140103336191</v>
      </c>
      <c r="AH20" s="31">
        <f ca="1">Master!AC19</f>
        <v>9070.6402938320389</v>
      </c>
      <c r="AI20" s="31">
        <f ca="1">Master!AD19</f>
        <v>9291.2463722086432</v>
      </c>
    </row>
    <row r="21" spans="2:35">
      <c r="B21" s="30" t="s">
        <v>453</v>
      </c>
      <c r="C21" s="31"/>
      <c r="D21" s="31"/>
      <c r="E21" s="31"/>
      <c r="F21" s="31"/>
      <c r="G21" s="31"/>
      <c r="H21" s="31"/>
      <c r="I21" s="31"/>
      <c r="J21" s="31"/>
      <c r="K21" s="31"/>
      <c r="L21" s="31"/>
      <c r="M21" s="31"/>
      <c r="N21" s="31"/>
      <c r="O21" s="31"/>
      <c r="P21" s="31"/>
      <c r="Q21" s="31">
        <f>Master!L20</f>
        <v>309</v>
      </c>
      <c r="R21" s="31">
        <f>Master!M20</f>
        <v>260</v>
      </c>
      <c r="S21" s="31">
        <f>Master!N20</f>
        <v>173.14031180400892</v>
      </c>
      <c r="T21" s="31">
        <f>Master!O20</f>
        <v>100.79180162796816</v>
      </c>
      <c r="U21" s="31">
        <f>Master!P20</f>
        <v>222.51592540687301</v>
      </c>
      <c r="V21" s="31">
        <f>Master!Q20</f>
        <v>120.30180379042088</v>
      </c>
      <c r="W21" s="31">
        <f>Master!R20</f>
        <v>105.65042520354027</v>
      </c>
      <c r="X21" s="31">
        <f>Master!S20</f>
        <v>44.472005263851067</v>
      </c>
      <c r="Y21" s="31">
        <f>Master!T20</f>
        <v>46.514942082111013</v>
      </c>
      <c r="Z21" s="31">
        <f ca="1">Master!U20</f>
        <v>306.32799999999997</v>
      </c>
      <c r="AA21" s="31">
        <f>Master!V20</f>
        <v>55.667000000000144</v>
      </c>
      <c r="AB21" s="31">
        <f>Master!W20</f>
        <v>56.077280000000009</v>
      </c>
      <c r="AC21" s="31">
        <f>Master!X20</f>
        <v>55.508006399999942</v>
      </c>
      <c r="AD21" s="31">
        <f>Master!Y20</f>
        <v>55.74431923200013</v>
      </c>
      <c r="AE21" s="31">
        <f>Master!Z20</f>
        <v>55.715961692159986</v>
      </c>
      <c r="AF21" s="31">
        <f>Master!AA20</f>
        <v>55.719364596940949</v>
      </c>
      <c r="AG21" s="31">
        <f>Master!AB20</f>
        <v>55.718956248367107</v>
      </c>
      <c r="AH21" s="31">
        <f>Master!AC20</f>
        <v>55.719005250195849</v>
      </c>
      <c r="AI21" s="31">
        <f>Master!AD20</f>
        <v>55.71899936997638</v>
      </c>
    </row>
    <row r="22" spans="2:35">
      <c r="B22" s="30" t="s">
        <v>454</v>
      </c>
      <c r="C22" s="31"/>
      <c r="D22" s="31"/>
      <c r="E22" s="31"/>
      <c r="F22" s="31"/>
      <c r="G22" s="31"/>
      <c r="H22" s="31"/>
      <c r="I22" s="31"/>
      <c r="J22" s="31"/>
      <c r="K22" s="31"/>
      <c r="L22" s="31"/>
      <c r="M22" s="31"/>
      <c r="N22" s="31"/>
      <c r="O22" s="31"/>
      <c r="P22" s="31"/>
      <c r="Q22" s="31">
        <f>Master!L44</f>
        <v>1985</v>
      </c>
      <c r="R22" s="31">
        <f>Master!M44</f>
        <v>2000</v>
      </c>
      <c r="S22" s="31">
        <f>Master!N44</f>
        <v>2336</v>
      </c>
      <c r="T22" s="31">
        <f>Master!O44</f>
        <v>3765</v>
      </c>
      <c r="U22" s="31">
        <f>Master!P44</f>
        <v>4874</v>
      </c>
      <c r="V22" s="31">
        <f>Master!Q44</f>
        <v>4692</v>
      </c>
      <c r="W22" s="31">
        <f>Master!R44</f>
        <v>5753.1229999999996</v>
      </c>
      <c r="X22" s="31">
        <f>Master!S44</f>
        <v>6535</v>
      </c>
      <c r="Y22" s="31">
        <f>Master!T44</f>
        <v>8081</v>
      </c>
      <c r="Z22" s="31">
        <f>Master!U44</f>
        <v>9466.5730000000003</v>
      </c>
      <c r="AA22" s="31">
        <f>Master!V44</f>
        <v>11836</v>
      </c>
      <c r="AB22" s="31">
        <f>Master!W44</f>
        <v>12949</v>
      </c>
      <c r="AC22" s="31">
        <f>Master!X44</f>
        <v>10918.295376578899</v>
      </c>
      <c r="AD22" s="31">
        <f>Master!Y44</f>
        <v>10087.477536246211</v>
      </c>
      <c r="AE22" s="31">
        <f>Master!Z44</f>
        <v>9687.2157358793829</v>
      </c>
      <c r="AF22" s="31">
        <f>Master!AA44</f>
        <v>9427.2813729434729</v>
      </c>
      <c r="AG22" s="31">
        <f>Master!AB44</f>
        <v>9903.9843102681043</v>
      </c>
      <c r="AH22" s="31">
        <f>Master!AC44</f>
        <v>10371.713185924635</v>
      </c>
      <c r="AI22" s="31">
        <f>Master!AD44</f>
        <v>10849.85768156236</v>
      </c>
    </row>
    <row r="23" spans="2:35">
      <c r="B23" s="30" t="s">
        <v>455</v>
      </c>
      <c r="C23" s="31"/>
      <c r="D23" s="31"/>
      <c r="E23" s="31"/>
      <c r="F23" s="31"/>
      <c r="G23" s="31"/>
      <c r="H23" s="31"/>
      <c r="I23" s="31"/>
      <c r="J23" s="31"/>
      <c r="K23" s="31"/>
      <c r="L23" s="31"/>
      <c r="M23" s="31"/>
      <c r="N23" s="31"/>
      <c r="O23" s="31"/>
      <c r="P23" s="31"/>
      <c r="Q23" s="31">
        <f>Master!L52</f>
        <v>1792</v>
      </c>
      <c r="R23" s="31">
        <f>Master!M52</f>
        <v>2356</v>
      </c>
      <c r="S23" s="31">
        <f>Master!N52</f>
        <v>2511</v>
      </c>
      <c r="T23" s="31">
        <f>Master!O52</f>
        <v>2078</v>
      </c>
      <c r="U23" s="31">
        <f>Master!P52</f>
        <v>2041</v>
      </c>
      <c r="V23" s="31">
        <f>Master!Q52</f>
        <v>3023</v>
      </c>
      <c r="W23" s="31">
        <f>Master!R52</f>
        <v>3593.8770000000004</v>
      </c>
      <c r="X23" s="31">
        <f>Master!S52</f>
        <v>3626</v>
      </c>
      <c r="Y23" s="31">
        <f>Master!T52</f>
        <v>2956</v>
      </c>
      <c r="Z23" s="31">
        <f>Master!U52</f>
        <v>2649.4269999999997</v>
      </c>
      <c r="AA23" s="31">
        <f>Master!V52</f>
        <v>933.01800000000003</v>
      </c>
      <c r="AB23" s="31">
        <f>Master!W52</f>
        <v>370.99300000000039</v>
      </c>
      <c r="AC23" s="31">
        <f>Master!X52</f>
        <v>4134.5371991546817</v>
      </c>
      <c r="AD23" s="31">
        <f>Master!Y52</f>
        <v>6616.4801158187238</v>
      </c>
      <c r="AE23" s="31">
        <f>Master!Z52</f>
        <v>8640.5245983139594</v>
      </c>
      <c r="AF23" s="31">
        <f>Master!AA52</f>
        <v>9953.5933323015615</v>
      </c>
      <c r="AG23" s="31">
        <f>Master!AB52</f>
        <v>10444.827373889973</v>
      </c>
      <c r="AH23" s="31">
        <f>Master!AC52</f>
        <v>10922.089516628052</v>
      </c>
      <c r="AI23" s="31">
        <f>Master!AD52</f>
        <v>11406.958735792134</v>
      </c>
    </row>
    <row r="24" spans="2:35">
      <c r="B24" s="30" t="s">
        <v>456</v>
      </c>
      <c r="C24" s="31"/>
      <c r="D24" s="31"/>
      <c r="E24" s="31"/>
      <c r="F24" s="31"/>
      <c r="G24" s="31"/>
      <c r="H24" s="31"/>
      <c r="I24" s="31"/>
      <c r="J24" s="31"/>
      <c r="K24" s="31"/>
      <c r="L24" s="31"/>
      <c r="M24" s="31"/>
      <c r="N24" s="31"/>
      <c r="O24" s="31"/>
      <c r="P24" s="31"/>
      <c r="Q24" s="31">
        <f t="shared" ref="Q24:AI24" si="2">(1-0.28)*Q23</f>
        <v>1290.24</v>
      </c>
      <c r="R24" s="31">
        <f t="shared" si="2"/>
        <v>1696.32</v>
      </c>
      <c r="S24" s="31">
        <f t="shared" si="2"/>
        <v>1807.9199999999998</v>
      </c>
      <c r="T24" s="31">
        <f t="shared" si="2"/>
        <v>1496.1599999999999</v>
      </c>
      <c r="U24" s="31">
        <f t="shared" si="2"/>
        <v>1469.52</v>
      </c>
      <c r="V24" s="31">
        <f t="shared" si="2"/>
        <v>2176.56</v>
      </c>
      <c r="W24" s="31">
        <f t="shared" si="2"/>
        <v>2587.5914400000001</v>
      </c>
      <c r="X24" s="31">
        <f t="shared" si="2"/>
        <v>2610.7199999999998</v>
      </c>
      <c r="Y24" s="31">
        <f t="shared" si="2"/>
        <v>2128.3199999999997</v>
      </c>
      <c r="Z24" s="31">
        <f t="shared" si="2"/>
        <v>1907.5874399999998</v>
      </c>
      <c r="AA24" s="31">
        <f t="shared" si="2"/>
        <v>671.77296000000001</v>
      </c>
      <c r="AB24" s="31">
        <f t="shared" si="2"/>
        <v>267.11496000000028</v>
      </c>
      <c r="AC24" s="31">
        <f t="shared" si="2"/>
        <v>2976.8667833913705</v>
      </c>
      <c r="AD24" s="31">
        <f t="shared" si="2"/>
        <v>4763.8656833894811</v>
      </c>
      <c r="AE24" s="31">
        <f t="shared" si="2"/>
        <v>6221.1777107860507</v>
      </c>
      <c r="AF24" s="31">
        <f t="shared" si="2"/>
        <v>7166.5871992571238</v>
      </c>
      <c r="AG24" s="31">
        <f t="shared" si="2"/>
        <v>7520.2757092007805</v>
      </c>
      <c r="AH24" s="31">
        <f t="shared" si="2"/>
        <v>7863.9044519721965</v>
      </c>
      <c r="AI24" s="31">
        <f t="shared" si="2"/>
        <v>8213.0102897703364</v>
      </c>
    </row>
    <row r="25" spans="2:35">
      <c r="B25" s="30" t="s">
        <v>443</v>
      </c>
      <c r="C25" s="31"/>
      <c r="D25" s="31"/>
      <c r="E25" s="31"/>
      <c r="F25" s="31"/>
      <c r="G25" s="31"/>
      <c r="H25" s="31"/>
      <c r="I25" s="31"/>
      <c r="J25" s="31"/>
      <c r="K25" s="31"/>
      <c r="L25" s="31"/>
      <c r="M25" s="31"/>
      <c r="N25" s="31"/>
      <c r="O25" s="31"/>
      <c r="P25" s="31"/>
      <c r="Q25" s="31">
        <f t="shared" ref="Q25:AI25" si="3">Q7</f>
        <v>-352</v>
      </c>
      <c r="R25" s="31">
        <f t="shared" si="3"/>
        <v>-405.69999999999982</v>
      </c>
      <c r="S25" s="31">
        <f t="shared" si="3"/>
        <v>-1098</v>
      </c>
      <c r="T25" s="31">
        <f t="shared" si="3"/>
        <v>401</v>
      </c>
      <c r="U25" s="31">
        <f t="shared" si="3"/>
        <v>2484</v>
      </c>
      <c r="V25" s="31">
        <f t="shared" si="3"/>
        <v>936</v>
      </c>
      <c r="W25" s="31">
        <f t="shared" si="3"/>
        <v>567.90000000000009</v>
      </c>
      <c r="X25" s="31">
        <f t="shared" si="3"/>
        <v>4794</v>
      </c>
      <c r="Y25" s="31">
        <f t="shared" si="3"/>
        <v>3622.3360000000002</v>
      </c>
      <c r="Z25" s="31">
        <f t="shared" si="3"/>
        <v>4668.2510000000002</v>
      </c>
      <c r="AA25" s="31">
        <f t="shared" si="3"/>
        <v>12842.623</v>
      </c>
      <c r="AB25" s="31">
        <f t="shared" si="3"/>
        <v>20217.771000000001</v>
      </c>
      <c r="AC25" s="31">
        <f t="shared" ca="1" si="3"/>
        <v>21977.452653119999</v>
      </c>
      <c r="AD25" s="31">
        <f t="shared" ca="1" si="3"/>
        <v>21977.467402100512</v>
      </c>
      <c r="AE25" s="31">
        <f t="shared" ca="1" si="3"/>
        <v>20608.634295958305</v>
      </c>
      <c r="AF25" s="31">
        <f t="shared" ca="1" si="3"/>
        <v>18328.007832177671</v>
      </c>
      <c r="AG25" s="31">
        <f t="shared" ca="1" si="3"/>
        <v>15968.90484808305</v>
      </c>
      <c r="AH25" s="31">
        <f t="shared" ca="1" si="3"/>
        <v>13635.718684801112</v>
      </c>
      <c r="AI25" s="31">
        <f t="shared" ca="1" si="3"/>
        <v>11497.810848536485</v>
      </c>
    </row>
    <row r="26" spans="2:35">
      <c r="B26" s="30" t="s">
        <v>457</v>
      </c>
      <c r="C26" s="31"/>
      <c r="D26" s="31"/>
      <c r="E26" s="31"/>
      <c r="F26" s="31"/>
      <c r="G26" s="31"/>
      <c r="H26" s="31"/>
      <c r="I26" s="31"/>
      <c r="J26" s="31"/>
      <c r="K26" s="31"/>
      <c r="L26" s="31"/>
      <c r="M26" s="31"/>
      <c r="N26" s="31"/>
      <c r="O26" s="31"/>
      <c r="P26" s="31"/>
      <c r="Q26" s="31"/>
      <c r="R26" s="31"/>
      <c r="S26" s="31"/>
      <c r="T26" s="31"/>
      <c r="U26" s="58">
        <f>U24/U18</f>
        <v>8.6661555699711026E-2</v>
      </c>
      <c r="V26" s="58">
        <f>V24/V18</f>
        <v>0.12590732920691849</v>
      </c>
      <c r="W26" s="58">
        <f>W24/W18</f>
        <v>0.13313394937229883</v>
      </c>
      <c r="X26" s="31"/>
      <c r="Y26" s="31"/>
      <c r="Z26" s="31"/>
      <c r="AA26" s="31"/>
      <c r="AB26" s="31"/>
      <c r="AC26" s="31"/>
      <c r="AD26" s="31"/>
      <c r="AE26" s="31"/>
      <c r="AF26" s="31"/>
      <c r="AG26" s="31"/>
      <c r="AH26" s="31"/>
      <c r="AI26" s="31"/>
    </row>
    <row r="27" spans="2:35">
      <c r="B27" s="30" t="s">
        <v>41</v>
      </c>
      <c r="C27" s="31"/>
      <c r="D27" s="31"/>
      <c r="E27" s="31"/>
      <c r="F27" s="31"/>
      <c r="G27" s="31"/>
      <c r="H27" s="31"/>
      <c r="I27" s="31"/>
      <c r="J27" s="31"/>
      <c r="K27" s="31"/>
      <c r="L27" s="31"/>
      <c r="M27" s="31"/>
      <c r="N27" s="31"/>
      <c r="O27" s="31"/>
      <c r="P27" s="31"/>
      <c r="Q27" s="31">
        <f>Master!L80</f>
        <v>14518</v>
      </c>
      <c r="R27" s="31">
        <f>Master!M80</f>
        <v>14878</v>
      </c>
      <c r="S27" s="31">
        <f>Master!N80</f>
        <v>17175</v>
      </c>
      <c r="T27" s="31">
        <f>Master!O80</f>
        <v>19348</v>
      </c>
      <c r="U27" s="31">
        <f>Master!P80</f>
        <v>21792</v>
      </c>
      <c r="V27" s="31">
        <f>Master!Q80</f>
        <v>24852</v>
      </c>
      <c r="W27" s="31">
        <f>Master!R80</f>
        <v>27691</v>
      </c>
      <c r="X27" s="31">
        <f>Master!S80</f>
        <v>29643</v>
      </c>
      <c r="Y27" s="31">
        <f>Master!T80</f>
        <v>32515</v>
      </c>
      <c r="Z27" s="31">
        <f>Master!U80</f>
        <v>34383.03</v>
      </c>
      <c r="AA27" s="31">
        <f>Master!V80</f>
        <v>34701.697999999997</v>
      </c>
      <c r="AB27" s="31">
        <f>Master!W80</f>
        <v>35906.803999999996</v>
      </c>
      <c r="AC27" s="31">
        <f ca="1">Master!X80</f>
        <v>36471.167087094458</v>
      </c>
      <c r="AD27" s="31">
        <f ca="1">Master!Y80</f>
        <v>37979.406135114346</v>
      </c>
      <c r="AE27" s="31">
        <f ca="1">Master!Z80</f>
        <v>40193.529885855547</v>
      </c>
      <c r="AF27" s="31">
        <f ca="1">Master!AA80</f>
        <v>42876.376416602514</v>
      </c>
      <c r="AG27" s="31">
        <f ca="1">Master!AB80</f>
        <v>45988.388789686316</v>
      </c>
      <c r="AH27" s="31">
        <f ca="1">Master!AC80</f>
        <v>49345.776183366819</v>
      </c>
      <c r="AI27" s="31">
        <f ca="1">Master!AD80</f>
        <v>52738.302245369799</v>
      </c>
    </row>
    <row r="28" spans="2:35">
      <c r="B28" s="30" t="s">
        <v>458</v>
      </c>
      <c r="C28" s="31"/>
      <c r="D28" s="31"/>
      <c r="E28" s="31"/>
      <c r="F28" s="31"/>
      <c r="G28" s="31"/>
      <c r="H28" s="31"/>
      <c r="I28" s="31"/>
      <c r="J28" s="31"/>
      <c r="K28" s="31"/>
      <c r="L28" s="31"/>
      <c r="M28" s="31"/>
      <c r="N28" s="31"/>
      <c r="O28" s="31"/>
      <c r="P28" s="31"/>
      <c r="Q28" s="31">
        <f>Master!L24</f>
        <v>112</v>
      </c>
      <c r="R28" s="31">
        <f>Master!M24</f>
        <v>34</v>
      </c>
      <c r="S28" s="31">
        <f>Master!N24</f>
        <v>36.900000000000006</v>
      </c>
      <c r="T28" s="31">
        <f>Master!O24</f>
        <v>80.733000000000004</v>
      </c>
      <c r="U28" s="31">
        <f>Master!P24</f>
        <v>113</v>
      </c>
      <c r="V28" s="31">
        <f>Master!Q24</f>
        <v>-2.5</v>
      </c>
      <c r="W28" s="31">
        <f>Master!R24</f>
        <v>-29.299999999999997</v>
      </c>
      <c r="X28" s="31">
        <f>Master!S24</f>
        <v>-413</v>
      </c>
      <c r="Y28" s="31">
        <f>Master!T24</f>
        <v>-545</v>
      </c>
      <c r="Z28" s="31">
        <f>Master!U24</f>
        <v>-697</v>
      </c>
      <c r="AA28" s="31">
        <f>Master!V24</f>
        <v>-1196</v>
      </c>
      <c r="AB28" s="31">
        <f>Master!W24</f>
        <v>-1934.32</v>
      </c>
      <c r="AC28" s="31">
        <f ca="1">Master!X24</f>
        <v>-1927.1022094474192</v>
      </c>
      <c r="AD28" s="31">
        <f ca="1">Master!Y24</f>
        <v>-2004.982414803399</v>
      </c>
      <c r="AE28" s="31">
        <f ca="1">Master!Z24</f>
        <v>-1905.1750436563566</v>
      </c>
      <c r="AF28" s="31">
        <f ca="1">Master!AA24</f>
        <v>-1639.0747507462811</v>
      </c>
      <c r="AG28" s="31">
        <f ca="1">Master!AB24</f>
        <v>-1367.2452702938772</v>
      </c>
      <c r="AH28" s="31">
        <f ca="1">Master!AC24</f>
        <v>-1228.4440639052709</v>
      </c>
      <c r="AI28" s="31">
        <f ca="1">Master!AD24</f>
        <v>-1306.3804451764167</v>
      </c>
    </row>
    <row r="29" spans="2:35">
      <c r="B29" s="30" t="s">
        <v>459</v>
      </c>
      <c r="C29" s="31"/>
      <c r="D29" s="31"/>
      <c r="E29" s="31"/>
      <c r="F29" s="31"/>
      <c r="G29" s="31"/>
      <c r="H29" s="31"/>
      <c r="I29" s="31"/>
      <c r="J29" s="31"/>
      <c r="K29" s="31"/>
      <c r="L29" s="31"/>
      <c r="M29" s="31"/>
      <c r="N29" s="31"/>
      <c r="O29" s="31"/>
      <c r="P29" s="31"/>
      <c r="Q29" s="31">
        <f>Master!L34</f>
        <v>1929</v>
      </c>
      <c r="R29" s="31">
        <f>Master!M34</f>
        <v>1892</v>
      </c>
      <c r="S29" s="31">
        <f>Master!N34</f>
        <v>2353.5</v>
      </c>
      <c r="T29" s="31">
        <f>Master!O34</f>
        <v>3162.7330000000002</v>
      </c>
      <c r="U29" s="31">
        <f>Master!P34</f>
        <v>3856</v>
      </c>
      <c r="V29" s="31">
        <f>Master!Q34</f>
        <v>4136.4999999999991</v>
      </c>
      <c r="W29" s="31">
        <f>Master!R34</f>
        <v>4509.3999999999996</v>
      </c>
      <c r="X29" s="31">
        <f>Master!S34</f>
        <v>4258</v>
      </c>
      <c r="Y29" s="31">
        <f>Master!T34</f>
        <v>4182.3999999999996</v>
      </c>
      <c r="Z29" s="31">
        <f ca="1">Master!U34</f>
        <v>4287.9240000000009</v>
      </c>
      <c r="AA29" s="31">
        <f>Master!V34</f>
        <v>3566.0840000000007</v>
      </c>
      <c r="AB29" s="31">
        <f>Master!W34</f>
        <v>2879.9740000000006</v>
      </c>
      <c r="AC29" s="31">
        <f ca="1">Master!X34</f>
        <v>3182.7896120944606</v>
      </c>
      <c r="AD29" s="31">
        <f ca="1">Master!Y34</f>
        <v>4257.5868992698897</v>
      </c>
      <c r="AE29" s="31">
        <f ca="1">Master!Z34</f>
        <v>5238.4063871162016</v>
      </c>
      <c r="AF29" s="31">
        <f ca="1">Master!AA34</f>
        <v>6009.5574307594688</v>
      </c>
      <c r="AG29" s="31">
        <f ca="1">Master!AB34</f>
        <v>6771.3943630975491</v>
      </c>
      <c r="AH29" s="31">
        <f ca="1">Master!AC34</f>
        <v>7382.7075826956261</v>
      </c>
      <c r="AI29" s="31">
        <f ca="1">Master!AD34</f>
        <v>7820.3782699196208</v>
      </c>
    </row>
    <row r="30" spans="2:35">
      <c r="B30" s="30" t="s">
        <v>156</v>
      </c>
      <c r="C30" s="31"/>
      <c r="D30" s="31"/>
      <c r="E30" s="31"/>
      <c r="F30" s="31"/>
      <c r="G30" s="31"/>
      <c r="H30" s="31"/>
      <c r="I30" s="31"/>
      <c r="J30" s="31"/>
      <c r="K30" s="31"/>
      <c r="L30" s="31"/>
      <c r="M30" s="31"/>
      <c r="N30" s="31"/>
      <c r="O30" s="31"/>
      <c r="P30" s="31"/>
      <c r="Q30" s="31">
        <f>Master!L319</f>
        <v>1724.56</v>
      </c>
      <c r="R30" s="31">
        <f>Master!M319</f>
        <v>1957.6</v>
      </c>
      <c r="S30" s="31">
        <f>Master!N319</f>
        <v>2127.3803446095303</v>
      </c>
      <c r="T30" s="31">
        <f>Master!O319</f>
        <v>2636.5003771213287</v>
      </c>
      <c r="U30" s="31">
        <f>Master!P319</f>
        <v>3189.3362637795608</v>
      </c>
      <c r="V30" s="31">
        <f>Master!Q319</f>
        <v>3875.6720542763715</v>
      </c>
      <c r="W30" s="31">
        <f>Master!R319</f>
        <v>4678.5561905032255</v>
      </c>
      <c r="X30" s="31">
        <f>Master!S319</f>
        <v>5324.8199069475595</v>
      </c>
      <c r="Y30" s="31">
        <f>Master!T319</f>
        <v>5679.6966426944573</v>
      </c>
      <c r="Z30" s="31">
        <f ca="1">Master!U319</f>
        <v>5966.4689560465058</v>
      </c>
      <c r="AA30" s="31">
        <f>Master!V319</f>
        <v>6054.5964270822624</v>
      </c>
      <c r="AB30" s="31">
        <f>Master!W319</f>
        <v>6585.1009528956256</v>
      </c>
      <c r="AC30" s="31">
        <f ca="1">Master!X319</f>
        <v>7036.9940309893</v>
      </c>
      <c r="AD30" s="31">
        <f ca="1">Master!Y319</f>
        <v>8267.5517288766878</v>
      </c>
      <c r="AE30" s="31">
        <f ca="1">Master!Z319</f>
        <v>9048.7564744289139</v>
      </c>
      <c r="AF30" s="31">
        <f ca="1">Master!AA319</f>
        <v>9287.7069322520292</v>
      </c>
      <c r="AG30" s="31">
        <f ca="1">Master!AB319</f>
        <v>9505.8849036853044</v>
      </c>
      <c r="AH30" s="31">
        <f ca="1">Master!AC319</f>
        <v>9839.595710506168</v>
      </c>
      <c r="AI30" s="31">
        <f ca="1">Master!AD319</f>
        <v>10433.139160272453</v>
      </c>
    </row>
    <row r="31" spans="2:35">
      <c r="B31" s="30" t="s">
        <v>460</v>
      </c>
      <c r="C31" s="31"/>
      <c r="D31" s="31"/>
      <c r="E31" s="31"/>
      <c r="F31" s="31"/>
      <c r="G31" s="31"/>
      <c r="H31" s="31"/>
      <c r="I31" s="31"/>
      <c r="J31" s="31"/>
      <c r="K31" s="31"/>
      <c r="L31" s="31"/>
      <c r="M31" s="31"/>
      <c r="N31" s="31"/>
      <c r="O31" s="31"/>
      <c r="P31" s="31"/>
      <c r="Q31" s="31"/>
      <c r="R31" s="31">
        <f>Valuation!F25</f>
        <v>1319</v>
      </c>
      <c r="S31" s="31">
        <f>Valuation!G25</f>
        <v>1697.7</v>
      </c>
      <c r="T31" s="31">
        <f>Valuation!H25</f>
        <v>1038.7330000000002</v>
      </c>
      <c r="U31" s="31">
        <f>Valuation!I25</f>
        <v>1136</v>
      </c>
      <c r="V31" s="31">
        <f>Valuation!J25</f>
        <v>1834.5</v>
      </c>
      <c r="W31" s="31">
        <f>Valuation!K25</f>
        <v>2043.5770000000002</v>
      </c>
      <c r="X31" s="31">
        <f>Valuation!L25</f>
        <v>1690</v>
      </c>
      <c r="Y31" s="31">
        <f>Valuation!M25</f>
        <v>707.4</v>
      </c>
      <c r="Z31" s="31">
        <f ca="1">Valuation!N25</f>
        <v>352.61755085867782</v>
      </c>
      <c r="AA31" s="31">
        <f>Valuation!O25</f>
        <v>-1954.4617524824807</v>
      </c>
      <c r="AB31" s="31">
        <f>Valuation!P25</f>
        <v>-3116.6468759965855</v>
      </c>
      <c r="AC31" s="31">
        <f ca="1">Valuation!Q25</f>
        <v>489.4027899182081</v>
      </c>
      <c r="AD31" s="31">
        <f ca="1">Valuation!R25</f>
        <v>2406.2727879732583</v>
      </c>
      <c r="AE31" s="31">
        <f ca="1">Valuation!S25</f>
        <v>4080.7282505571607</v>
      </c>
      <c r="AF31" s="31">
        <f ca="1">Valuation!T25</f>
        <v>5297.6344588438533</v>
      </c>
      <c r="AG31" s="31">
        <f ca="1">Valuation!U25</f>
        <v>5699.4337625491999</v>
      </c>
      <c r="AH31" s="31">
        <f ca="1">Valuation!V25</f>
        <v>6015.4542538537517</v>
      </c>
      <c r="AI31" s="31">
        <f ca="1">Valuation!W25</f>
        <v>6193.1485290964156</v>
      </c>
    </row>
    <row r="32" spans="2:35">
      <c r="B32" s="30" t="s">
        <v>461</v>
      </c>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row>
    <row r="33" spans="2:35">
      <c r="B33" s="30" t="s">
        <v>462</v>
      </c>
      <c r="C33" s="31"/>
      <c r="D33" s="31"/>
      <c r="E33" s="31"/>
      <c r="F33" s="31"/>
      <c r="G33" s="31"/>
      <c r="H33" s="31"/>
      <c r="I33" s="31"/>
      <c r="J33" s="31"/>
      <c r="K33" s="31"/>
      <c r="L33" s="31"/>
      <c r="M33" s="31"/>
      <c r="N33" s="31"/>
      <c r="O33" s="31"/>
      <c r="P33" s="31"/>
      <c r="Q33" s="31">
        <f>Master!L65</f>
        <v>11571</v>
      </c>
      <c r="R33" s="31">
        <f>Master!M65</f>
        <v>12486</v>
      </c>
      <c r="S33" s="31">
        <f>Master!N65</f>
        <v>14321</v>
      </c>
      <c r="T33" s="31">
        <f>Master!O65</f>
        <v>17658</v>
      </c>
      <c r="U33" s="31">
        <f>Master!P65</f>
        <v>21522</v>
      </c>
      <c r="V33" s="31">
        <f>Master!Q65</f>
        <v>24385</v>
      </c>
      <c r="W33" s="31">
        <f>Master!R65</f>
        <v>26890</v>
      </c>
      <c r="X33" s="31">
        <f>Master!S65</f>
        <v>30623</v>
      </c>
      <c r="Y33" s="31">
        <f>Master!T65</f>
        <v>33804</v>
      </c>
      <c r="Z33" s="31">
        <f>Master!U65</f>
        <v>39071.879999999997</v>
      </c>
      <c r="AA33" s="31">
        <f>Master!V65</f>
        <v>46236.025999999998</v>
      </c>
      <c r="AB33" s="31">
        <f>Master!W65</f>
        <v>53407.135000000002</v>
      </c>
      <c r="AC33" s="31">
        <f ca="1">Master!X65</f>
        <v>53492.45112457627</v>
      </c>
      <c r="AD33" s="31">
        <f ca="1">Master!Y65</f>
        <v>55399.509555104902</v>
      </c>
      <c r="AE33" s="31">
        <f ca="1">Master!Z65</f>
        <v>56612.903653356101</v>
      </c>
      <c r="AF33" s="31">
        <f ca="1">Master!AA65</f>
        <v>57380.545989868668</v>
      </c>
      <c r="AG33" s="31">
        <f ca="1">Master!AB65</f>
        <v>58508.225546665373</v>
      </c>
      <c r="AH33" s="31">
        <f ca="1">Master!AC65</f>
        <v>59931.197880757434</v>
      </c>
      <c r="AI33" s="31">
        <f ca="1">Master!AD65</f>
        <v>61614.146620950618</v>
      </c>
    </row>
    <row r="34" spans="2:35">
      <c r="B34" s="30" t="s">
        <v>463</v>
      </c>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row>
    <row r="35" spans="2:35">
      <c r="B35" s="30" t="s">
        <v>464</v>
      </c>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row>
    <row r="36" spans="2:35">
      <c r="B36" s="30" t="s">
        <v>465</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row>
    <row r="37" spans="2:35">
      <c r="B37" s="30" t="s">
        <v>466</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row>
    <row r="38" spans="2:35">
      <c r="B38" s="30" t="s">
        <v>467</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row>
    <row r="39" spans="2:35">
      <c r="B39" s="30" t="s">
        <v>468</v>
      </c>
      <c r="C39" s="31"/>
      <c r="D39" s="31"/>
      <c r="E39" s="31"/>
      <c r="F39" s="31"/>
      <c r="G39" s="31"/>
      <c r="H39" s="31"/>
      <c r="I39" s="31"/>
      <c r="J39" s="31"/>
      <c r="K39" s="31"/>
      <c r="L39" s="31"/>
      <c r="M39" s="31"/>
      <c r="N39" s="31"/>
      <c r="O39" s="31"/>
      <c r="P39" s="31"/>
    </row>
    <row r="40" spans="2:35">
      <c r="B40" s="30" t="s">
        <v>469</v>
      </c>
      <c r="C40" s="31"/>
      <c r="D40" s="31"/>
      <c r="E40" s="31"/>
      <c r="F40" s="31"/>
      <c r="G40" s="31"/>
      <c r="H40" s="31"/>
      <c r="I40" s="31"/>
      <c r="J40" s="31"/>
      <c r="K40" s="31"/>
      <c r="L40" s="31"/>
      <c r="M40" s="31"/>
      <c r="N40" s="31"/>
      <c r="O40" s="31"/>
      <c r="P40" s="31"/>
    </row>
    <row r="41" spans="2:35">
      <c r="B41" s="30" t="s">
        <v>470</v>
      </c>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row>
    <row r="42" spans="2:35">
      <c r="B42" s="30" t="s">
        <v>471</v>
      </c>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row>
    <row r="43" spans="2:35">
      <c r="B43" s="30" t="s">
        <v>472</v>
      </c>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row>
    <row r="44" spans="2:35">
      <c r="B44" s="30" t="s">
        <v>473</v>
      </c>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row>
    <row r="45" spans="2:35">
      <c r="B45" s="30" t="s">
        <v>474</v>
      </c>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row>
    <row r="46" spans="2:35">
      <c r="B46" s="30" t="s">
        <v>475</v>
      </c>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row>
    <row r="47" spans="2:35">
      <c r="B47" s="30" t="s">
        <v>476</v>
      </c>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row>
    <row r="48" spans="2:35">
      <c r="B48" s="30" t="s">
        <v>477</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row>
    <row r="49" spans="2:35">
      <c r="B49" s="30" t="s">
        <v>478</v>
      </c>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row>
    <row r="50" spans="2:35">
      <c r="B50" s="30" t="s">
        <v>479</v>
      </c>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row>
    <row r="51" spans="2:35">
      <c r="B51" s="30" t="s">
        <v>480</v>
      </c>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row>
    <row r="52" spans="2:35">
      <c r="B52" s="30" t="s">
        <v>481</v>
      </c>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row>
    <row r="53" spans="2:35">
      <c r="B53" s="30" t="s">
        <v>482</v>
      </c>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row>
    <row r="54" spans="2:35">
      <c r="B54" s="30" t="s">
        <v>483</v>
      </c>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row>
    <row r="55" spans="2:35">
      <c r="B55" s="30" t="s">
        <v>484</v>
      </c>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row>
    <row r="56" spans="2:35">
      <c r="B56" s="30" t="s">
        <v>485</v>
      </c>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row>
    <row r="57" spans="2:35">
      <c r="B57" s="30" t="s">
        <v>486</v>
      </c>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row>
    <row r="58" spans="2:35">
      <c r="B58" s="30" t="s">
        <v>487</v>
      </c>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row>
    <row r="59" spans="2:35">
      <c r="B59" s="30" t="s">
        <v>488</v>
      </c>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row>
    <row r="60" spans="2:35">
      <c r="B60" s="30" t="s">
        <v>489</v>
      </c>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row>
    <row r="61" spans="2:35">
      <c r="B61" s="30" t="s">
        <v>490</v>
      </c>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row>
    <row r="62" spans="2:35">
      <c r="B62" s="30" t="s">
        <v>491</v>
      </c>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row>
    <row r="63" spans="2:35">
      <c r="B63" s="30" t="s">
        <v>492</v>
      </c>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row>
    <row r="64" spans="2:35">
      <c r="B64" s="30" t="s">
        <v>493</v>
      </c>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row>
    <row r="65" spans="2:35">
      <c r="B65" s="30" t="s">
        <v>494</v>
      </c>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row>
    <row r="66" spans="2:35">
      <c r="B66" s="30" t="s">
        <v>495</v>
      </c>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row>
    <row r="67" spans="2:35">
      <c r="B67" s="30" t="s">
        <v>496</v>
      </c>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row>
    <row r="68" spans="2:35">
      <c r="B68" s="30" t="s">
        <v>497</v>
      </c>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row>
    <row r="69" spans="2:35">
      <c r="B69" s="30" t="s">
        <v>498</v>
      </c>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row>
    <row r="71" spans="2:35">
      <c r="B71" s="29" t="s">
        <v>499</v>
      </c>
      <c r="C71" s="29">
        <v>1998</v>
      </c>
      <c r="D71" s="29">
        <v>1999</v>
      </c>
      <c r="E71" s="29">
        <v>2000</v>
      </c>
      <c r="F71" s="29">
        <v>2001</v>
      </c>
      <c r="G71" s="29">
        <v>2002</v>
      </c>
      <c r="H71" s="29">
        <v>2003</v>
      </c>
      <c r="I71" s="29">
        <v>2004</v>
      </c>
      <c r="J71" s="29">
        <v>2005</v>
      </c>
      <c r="K71" s="29">
        <v>2006</v>
      </c>
      <c r="L71" s="29">
        <v>2007</v>
      </c>
      <c r="M71" s="29">
        <v>2008</v>
      </c>
      <c r="N71" s="29">
        <v>2009</v>
      </c>
      <c r="O71" s="29">
        <v>2010</v>
      </c>
      <c r="P71" s="29">
        <v>2011</v>
      </c>
      <c r="Q71" s="29">
        <v>2012</v>
      </c>
      <c r="R71" s="29">
        <v>2013</v>
      </c>
      <c r="S71" s="29">
        <v>2014</v>
      </c>
      <c r="T71" s="29">
        <v>2015</v>
      </c>
      <c r="U71" s="29">
        <v>2016</v>
      </c>
      <c r="V71" s="29">
        <v>2017</v>
      </c>
      <c r="W71" s="29">
        <v>2018</v>
      </c>
      <c r="X71" s="29">
        <v>2019</v>
      </c>
      <c r="Y71" s="29">
        <f t="shared" ref="Y71:AI71" si="4">Y$2</f>
        <v>2020</v>
      </c>
      <c r="Z71" s="29">
        <f t="shared" si="4"/>
        <v>2021</v>
      </c>
      <c r="AA71" s="29">
        <f t="shared" si="4"/>
        <v>2022</v>
      </c>
      <c r="AB71" s="29">
        <f t="shared" si="4"/>
        <v>2023</v>
      </c>
      <c r="AC71" s="29">
        <f t="shared" si="4"/>
        <v>2024</v>
      </c>
      <c r="AD71" s="29">
        <f t="shared" si="4"/>
        <v>2025</v>
      </c>
      <c r="AE71" s="29">
        <f t="shared" si="4"/>
        <v>2026</v>
      </c>
      <c r="AF71" s="29">
        <f t="shared" si="4"/>
        <v>2027</v>
      </c>
      <c r="AG71" s="29">
        <f t="shared" si="4"/>
        <v>2028</v>
      </c>
      <c r="AH71" s="29">
        <f t="shared" si="4"/>
        <v>2029</v>
      </c>
      <c r="AI71" s="29">
        <f t="shared" si="4"/>
        <v>2030</v>
      </c>
    </row>
    <row r="72" spans="2:35">
      <c r="B72" s="35"/>
      <c r="C72" s="36"/>
      <c r="D72" s="36"/>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8"/>
      <c r="AE72" s="38"/>
      <c r="AF72" s="38"/>
      <c r="AG72" s="38"/>
      <c r="AH72" s="38"/>
      <c r="AI72" s="38"/>
    </row>
    <row r="73" spans="2:35">
      <c r="B73" s="35"/>
      <c r="C73" s="36"/>
      <c r="D73" s="36"/>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8"/>
      <c r="AE73" s="38"/>
      <c r="AF73" s="38"/>
      <c r="AG73" s="38"/>
      <c r="AH73" s="38"/>
      <c r="AI73" s="38"/>
    </row>
    <row r="74" spans="2:35">
      <c r="B74" s="35"/>
      <c r="C74" s="36"/>
      <c r="D74" s="36"/>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8"/>
      <c r="AE74" s="38"/>
      <c r="AF74" s="38"/>
      <c r="AG74" s="38"/>
      <c r="AH74" s="38"/>
      <c r="AI74" s="38"/>
    </row>
    <row r="75" spans="2:35">
      <c r="B75" s="35"/>
      <c r="C75" s="36"/>
      <c r="D75" s="36"/>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8"/>
      <c r="AE75" s="38"/>
      <c r="AF75" s="38"/>
      <c r="AG75" s="38"/>
      <c r="AH75" s="38"/>
      <c r="AI75" s="38"/>
    </row>
    <row r="76" spans="2:35">
      <c r="B76" s="35"/>
      <c r="C76" s="36"/>
      <c r="D76" s="36"/>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8"/>
      <c r="AE76" s="38"/>
      <c r="AF76" s="38"/>
      <c r="AG76" s="38"/>
      <c r="AH76" s="38"/>
      <c r="AI76" s="38"/>
    </row>
    <row r="77" spans="2:35">
      <c r="B77" s="35"/>
      <c r="C77" s="36"/>
      <c r="D77" s="36"/>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8"/>
      <c r="AE77" s="38"/>
      <c r="AF77" s="38"/>
      <c r="AG77" s="38"/>
      <c r="AH77" s="38"/>
      <c r="AI77" s="38"/>
    </row>
    <row r="78" spans="2:35">
      <c r="B78" s="35"/>
      <c r="C78" s="36"/>
      <c r="D78" s="36"/>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8"/>
      <c r="AE78" s="38"/>
      <c r="AF78" s="38"/>
      <c r="AG78" s="38"/>
      <c r="AH78" s="38"/>
      <c r="AI78" s="38"/>
    </row>
    <row r="79" spans="2:35">
      <c r="B79" s="35"/>
      <c r="C79" s="36"/>
      <c r="D79" s="36"/>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8"/>
      <c r="AE79" s="38"/>
      <c r="AF79" s="38"/>
      <c r="AG79" s="38"/>
      <c r="AH79" s="38"/>
      <c r="AI79" s="38"/>
    </row>
    <row r="80" spans="2:35">
      <c r="B80" s="35"/>
      <c r="C80" s="36"/>
      <c r="D80" s="36"/>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8"/>
      <c r="AE80" s="38"/>
      <c r="AF80" s="38"/>
      <c r="AG80" s="38"/>
      <c r="AH80" s="38"/>
      <c r="AI80" s="38"/>
    </row>
    <row r="81" spans="2:35">
      <c r="B81" s="35"/>
      <c r="C81" s="36"/>
      <c r="D81" s="36"/>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8"/>
      <c r="AE81" s="38"/>
      <c r="AF81" s="38"/>
      <c r="AG81" s="38"/>
      <c r="AH81" s="38"/>
      <c r="AI81" s="38"/>
    </row>
    <row r="82" spans="2:35">
      <c r="B82" s="35"/>
      <c r="C82" s="36"/>
      <c r="D82" s="36"/>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8"/>
      <c r="AE82" s="38"/>
      <c r="AF82" s="38"/>
      <c r="AG82" s="38"/>
      <c r="AH82" s="38"/>
      <c r="AI82" s="38"/>
    </row>
    <row r="83" spans="2:35">
      <c r="B83" s="35"/>
      <c r="C83" s="36"/>
      <c r="D83" s="36"/>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8"/>
      <c r="AE83" s="38"/>
      <c r="AF83" s="38"/>
      <c r="AG83" s="38"/>
      <c r="AH83" s="38"/>
      <c r="AI83" s="38"/>
    </row>
    <row r="84" spans="2:35">
      <c r="B84" s="35"/>
      <c r="C84" s="36"/>
      <c r="D84" s="36"/>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8"/>
      <c r="AE84" s="38"/>
      <c r="AF84" s="38"/>
      <c r="AG84" s="38"/>
      <c r="AH84" s="38"/>
      <c r="AI84" s="38"/>
    </row>
    <row r="85" spans="2:35">
      <c r="B85" s="35"/>
      <c r="C85" s="36"/>
      <c r="D85" s="36"/>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8"/>
      <c r="AE85" s="38"/>
      <c r="AF85" s="38"/>
      <c r="AG85" s="38"/>
      <c r="AH85" s="38"/>
      <c r="AI85" s="38"/>
    </row>
    <row r="86" spans="2:35">
      <c r="B86" s="35"/>
      <c r="C86" s="36"/>
      <c r="D86" s="36"/>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8"/>
      <c r="AE86" s="38"/>
      <c r="AF86" s="38"/>
      <c r="AG86" s="38"/>
      <c r="AH86" s="38"/>
      <c r="AI86" s="38"/>
    </row>
    <row r="87" spans="2:35">
      <c r="B87" s="35"/>
      <c r="C87" s="36"/>
      <c r="D87" s="36"/>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8"/>
      <c r="AE87" s="38"/>
      <c r="AF87" s="38"/>
      <c r="AG87" s="38"/>
      <c r="AH87" s="38"/>
      <c r="AI87" s="38"/>
    </row>
    <row r="88" spans="2:35">
      <c r="B88" s="35"/>
      <c r="C88" s="36"/>
      <c r="D88" s="36"/>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8"/>
      <c r="AE88" s="38"/>
      <c r="AF88" s="38"/>
      <c r="AG88" s="38"/>
      <c r="AH88" s="38"/>
      <c r="AI88" s="38"/>
    </row>
    <row r="89" spans="2:35">
      <c r="B89" s="35"/>
      <c r="C89" s="36"/>
      <c r="D89" s="36"/>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8"/>
      <c r="AE89" s="38"/>
      <c r="AF89" s="38"/>
      <c r="AG89" s="38"/>
      <c r="AH89" s="38"/>
      <c r="AI89" s="38"/>
    </row>
    <row r="90" spans="2:35">
      <c r="B90" s="35"/>
      <c r="C90" s="36"/>
      <c r="D90" s="36"/>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8"/>
      <c r="AE90" s="38"/>
      <c r="AF90" s="38"/>
      <c r="AG90" s="38"/>
      <c r="AH90" s="38"/>
      <c r="AI90" s="38"/>
    </row>
    <row r="91" spans="2:35">
      <c r="B91" s="35"/>
      <c r="C91" s="36"/>
      <c r="D91" s="36"/>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8"/>
      <c r="AE91" s="38"/>
      <c r="AF91" s="38"/>
      <c r="AG91" s="38"/>
      <c r="AH91" s="38"/>
      <c r="AI91" s="38"/>
    </row>
    <row r="92" spans="2:35">
      <c r="B92" s="35"/>
      <c r="C92" s="36"/>
      <c r="D92" s="36"/>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8"/>
      <c r="AE92" s="38"/>
      <c r="AF92" s="38"/>
      <c r="AG92" s="38"/>
      <c r="AH92" s="38"/>
      <c r="AI92" s="38"/>
    </row>
    <row r="93" spans="2:35">
      <c r="B93" s="35"/>
      <c r="C93" s="36"/>
      <c r="D93" s="36"/>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8"/>
      <c r="AE93" s="38"/>
      <c r="AF93" s="38"/>
      <c r="AG93" s="38"/>
      <c r="AH93" s="38"/>
      <c r="AI93" s="38"/>
    </row>
    <row r="94" spans="2:35">
      <c r="B94" s="35"/>
      <c r="C94" s="36"/>
      <c r="D94" s="36"/>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8"/>
      <c r="AE94" s="38"/>
      <c r="AF94" s="38"/>
      <c r="AG94" s="38"/>
      <c r="AH94" s="38"/>
      <c r="AI94" s="38"/>
    </row>
    <row r="95" spans="2:35">
      <c r="B95" s="35"/>
      <c r="C95" s="36"/>
      <c r="D95" s="36"/>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8"/>
      <c r="AE95" s="38"/>
      <c r="AF95" s="38"/>
      <c r="AG95" s="38"/>
      <c r="AH95" s="38"/>
      <c r="AI95" s="38"/>
    </row>
    <row r="96" spans="2:35">
      <c r="B96" s="35"/>
      <c r="C96" s="36"/>
      <c r="D96" s="36"/>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8"/>
      <c r="AE96" s="38"/>
      <c r="AF96" s="38"/>
      <c r="AG96" s="38"/>
      <c r="AH96" s="38"/>
      <c r="AI96" s="38"/>
    </row>
    <row r="97" spans="2:35">
      <c r="B97" s="35"/>
      <c r="C97" s="36"/>
      <c r="D97" s="36"/>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8"/>
      <c r="AE97" s="38"/>
      <c r="AF97" s="38"/>
      <c r="AG97" s="38"/>
      <c r="AH97" s="38"/>
      <c r="AI97" s="38"/>
    </row>
    <row r="98" spans="2:35">
      <c r="B98" s="35"/>
      <c r="C98" s="36"/>
      <c r="D98" s="36"/>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8"/>
      <c r="AE98" s="38"/>
      <c r="AF98" s="38"/>
      <c r="AG98" s="38"/>
      <c r="AH98" s="38"/>
      <c r="AI98" s="38"/>
    </row>
    <row r="99" spans="2:35">
      <c r="B99" s="35"/>
      <c r="C99" s="36"/>
      <c r="D99" s="36"/>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8"/>
      <c r="AE99" s="38"/>
      <c r="AF99" s="38"/>
      <c r="AG99" s="38"/>
      <c r="AH99" s="38"/>
      <c r="AI99" s="38"/>
    </row>
    <row r="100" spans="2:35">
      <c r="B100" s="35"/>
      <c r="C100" s="36"/>
      <c r="D100" s="36"/>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8"/>
      <c r="AE100" s="38"/>
      <c r="AF100" s="38"/>
      <c r="AG100" s="38"/>
      <c r="AH100" s="38"/>
      <c r="AI100" s="38"/>
    </row>
    <row r="101" spans="2:35">
      <c r="B101" s="35"/>
      <c r="C101" s="36"/>
      <c r="D101" s="36"/>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8"/>
      <c r="AE101" s="38"/>
      <c r="AF101" s="38"/>
      <c r="AG101" s="38"/>
      <c r="AH101" s="38"/>
      <c r="AI101" s="38"/>
    </row>
    <row r="102" spans="2:35">
      <c r="B102" s="35"/>
      <c r="C102" s="36"/>
      <c r="D102" s="36"/>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8"/>
      <c r="AE102" s="38"/>
      <c r="AF102" s="38"/>
      <c r="AG102" s="38"/>
      <c r="AH102" s="38"/>
      <c r="AI102" s="38"/>
    </row>
    <row r="103" spans="2:35">
      <c r="B103" s="35"/>
      <c r="C103" s="36"/>
      <c r="D103" s="36"/>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8"/>
      <c r="AE103" s="38"/>
      <c r="AF103" s="38"/>
      <c r="AG103" s="38"/>
      <c r="AH103" s="38"/>
      <c r="AI103" s="38"/>
    </row>
    <row r="104" spans="2:35">
      <c r="B104" s="35"/>
      <c r="C104" s="36"/>
      <c r="D104" s="36"/>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8"/>
      <c r="AE104" s="38"/>
      <c r="AF104" s="38"/>
      <c r="AG104" s="38"/>
      <c r="AH104" s="38"/>
      <c r="AI104" s="38"/>
    </row>
    <row r="105" spans="2:35">
      <c r="B105" s="35"/>
      <c r="C105" s="36"/>
      <c r="D105" s="36"/>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8"/>
      <c r="AE105" s="38"/>
      <c r="AF105" s="38"/>
      <c r="AG105" s="38"/>
      <c r="AH105" s="38"/>
      <c r="AI105" s="38"/>
    </row>
    <row r="106" spans="2:35">
      <c r="B106" s="35"/>
      <c r="C106" s="36"/>
      <c r="D106" s="36"/>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8"/>
      <c r="AE106" s="38"/>
      <c r="AF106" s="38"/>
      <c r="AG106" s="38"/>
      <c r="AH106" s="38"/>
      <c r="AI106" s="38"/>
    </row>
    <row r="107" spans="2:35">
      <c r="B107" s="39"/>
      <c r="C107" s="39"/>
      <c r="D107" s="39"/>
    </row>
    <row r="108" spans="2:35">
      <c r="B108" s="29" t="s">
        <v>500</v>
      </c>
      <c r="C108" s="29">
        <v>1998</v>
      </c>
      <c r="D108" s="29">
        <v>1999</v>
      </c>
      <c r="E108" s="29">
        <v>2000</v>
      </c>
      <c r="F108" s="29">
        <v>2001</v>
      </c>
      <c r="G108" s="29">
        <v>2002</v>
      </c>
      <c r="H108" s="29">
        <v>2003</v>
      </c>
      <c r="I108" s="29">
        <v>2004</v>
      </c>
      <c r="J108" s="29">
        <v>2005</v>
      </c>
      <c r="K108" s="29">
        <v>2006</v>
      </c>
      <c r="L108" s="29">
        <v>2007</v>
      </c>
      <c r="M108" s="29">
        <v>2008</v>
      </c>
      <c r="N108" s="29">
        <v>2009</v>
      </c>
      <c r="O108" s="29">
        <v>2010</v>
      </c>
      <c r="P108" s="29">
        <v>2011</v>
      </c>
      <c r="Q108" s="29">
        <v>2012</v>
      </c>
      <c r="R108" s="29">
        <v>2013</v>
      </c>
      <c r="S108" s="29">
        <v>2014</v>
      </c>
      <c r="T108" s="29">
        <v>2015</v>
      </c>
      <c r="U108" s="29">
        <v>2016</v>
      </c>
      <c r="V108" s="29">
        <v>2017</v>
      </c>
      <c r="W108" s="29">
        <v>2018</v>
      </c>
      <c r="X108" s="29">
        <v>2019</v>
      </c>
      <c r="Y108" s="29">
        <f t="shared" ref="Y108:AI108" si="5">Y$2</f>
        <v>2020</v>
      </c>
      <c r="Z108" s="29">
        <f t="shared" si="5"/>
        <v>2021</v>
      </c>
      <c r="AA108" s="29">
        <f t="shared" si="5"/>
        <v>2022</v>
      </c>
      <c r="AB108" s="29">
        <f t="shared" si="5"/>
        <v>2023</v>
      </c>
      <c r="AC108" s="29">
        <f t="shared" si="5"/>
        <v>2024</v>
      </c>
      <c r="AD108" s="29">
        <f t="shared" si="5"/>
        <v>2025</v>
      </c>
      <c r="AE108" s="29">
        <f t="shared" si="5"/>
        <v>2026</v>
      </c>
      <c r="AF108" s="29">
        <f t="shared" si="5"/>
        <v>2027</v>
      </c>
      <c r="AG108" s="29">
        <f t="shared" si="5"/>
        <v>2028</v>
      </c>
      <c r="AH108" s="29">
        <f t="shared" si="5"/>
        <v>2029</v>
      </c>
      <c r="AI108" s="29">
        <f t="shared" si="5"/>
        <v>2030</v>
      </c>
    </row>
    <row r="109" spans="2:35">
      <c r="B109" s="30" t="s">
        <v>24</v>
      </c>
      <c r="C109" s="38"/>
      <c r="D109" s="40"/>
      <c r="E109" s="40"/>
      <c r="F109" s="40"/>
      <c r="G109" s="40"/>
      <c r="H109" s="40"/>
      <c r="I109" s="40"/>
      <c r="J109" s="40"/>
      <c r="K109" s="40"/>
      <c r="L109" s="40"/>
      <c r="M109" s="40"/>
      <c r="N109" s="31"/>
      <c r="O109" s="31"/>
      <c r="P109" s="31"/>
      <c r="Q109" s="31">
        <f t="shared" ref="Q109:AI109" si="6">Q23</f>
        <v>1792</v>
      </c>
      <c r="R109" s="31">
        <f t="shared" si="6"/>
        <v>2356</v>
      </c>
      <c r="S109" s="31">
        <f t="shared" si="6"/>
        <v>2511</v>
      </c>
      <c r="T109" s="31">
        <f t="shared" si="6"/>
        <v>2078</v>
      </c>
      <c r="U109" s="31">
        <f t="shared" si="6"/>
        <v>2041</v>
      </c>
      <c r="V109" s="31">
        <f t="shared" si="6"/>
        <v>3023</v>
      </c>
      <c r="W109" s="31">
        <f t="shared" si="6"/>
        <v>3593.8770000000004</v>
      </c>
      <c r="X109" s="31">
        <f t="shared" si="6"/>
        <v>3626</v>
      </c>
      <c r="Y109" s="31">
        <f t="shared" si="6"/>
        <v>2956</v>
      </c>
      <c r="Z109" s="31">
        <f t="shared" si="6"/>
        <v>2649.4269999999997</v>
      </c>
      <c r="AA109" s="31">
        <f t="shared" si="6"/>
        <v>933.01800000000003</v>
      </c>
      <c r="AB109" s="31">
        <f t="shared" si="6"/>
        <v>370.99300000000039</v>
      </c>
      <c r="AC109" s="31">
        <f t="shared" si="6"/>
        <v>4134.5371991546817</v>
      </c>
      <c r="AD109" s="31">
        <f t="shared" si="6"/>
        <v>6616.4801158187238</v>
      </c>
      <c r="AE109" s="31">
        <f t="shared" si="6"/>
        <v>8640.5245983139594</v>
      </c>
      <c r="AF109" s="31">
        <f t="shared" si="6"/>
        <v>9953.5933323015615</v>
      </c>
      <c r="AG109" s="31">
        <f t="shared" si="6"/>
        <v>10444.827373889973</v>
      </c>
      <c r="AH109" s="31">
        <f t="shared" si="6"/>
        <v>10922.089516628052</v>
      </c>
      <c r="AI109" s="31">
        <f t="shared" si="6"/>
        <v>11406.958735792134</v>
      </c>
    </row>
    <row r="110" spans="2:35">
      <c r="B110" s="30" t="s">
        <v>47</v>
      </c>
      <c r="C110" s="38"/>
      <c r="D110" s="40"/>
      <c r="E110" s="40"/>
      <c r="F110" s="40"/>
      <c r="G110" s="40"/>
      <c r="H110" s="40"/>
      <c r="I110" s="40"/>
      <c r="J110" s="40"/>
      <c r="K110" s="40"/>
      <c r="L110" s="40"/>
      <c r="M110" s="40"/>
      <c r="N110" s="31"/>
      <c r="O110" s="31"/>
      <c r="P110" s="31"/>
      <c r="Q110" s="31">
        <f>Master!L92</f>
        <v>112</v>
      </c>
      <c r="R110" s="31">
        <f>Master!M92</f>
        <v>34</v>
      </c>
      <c r="S110" s="31">
        <f>Master!N92</f>
        <v>36.900000000000006</v>
      </c>
      <c r="T110" s="31">
        <f>Master!O92</f>
        <v>80.733000000000004</v>
      </c>
      <c r="U110" s="31">
        <f>Master!P92</f>
        <v>113</v>
      </c>
      <c r="V110" s="31">
        <f>Master!Q92</f>
        <v>-2.5</v>
      </c>
      <c r="W110" s="31">
        <f>Master!R92</f>
        <v>-29.299999999999997</v>
      </c>
      <c r="X110" s="31">
        <f>Master!S92</f>
        <v>-413</v>
      </c>
      <c r="Y110" s="31">
        <f>Master!T92</f>
        <v>-545</v>
      </c>
      <c r="Z110" s="31">
        <f>Master!U92</f>
        <v>-697</v>
      </c>
      <c r="AA110" s="31">
        <f>Master!V92</f>
        <v>-1196</v>
      </c>
      <c r="AB110" s="31">
        <f>Master!W92</f>
        <v>-1934.32</v>
      </c>
      <c r="AC110" s="31">
        <f ca="1">Master!X92</f>
        <v>-1927.1022094474192</v>
      </c>
      <c r="AD110" s="31">
        <f ca="1">Master!Y92</f>
        <v>-2004.982414803399</v>
      </c>
      <c r="AE110" s="31">
        <f ca="1">Master!Z92</f>
        <v>-1905.1750436563566</v>
      </c>
      <c r="AF110" s="31">
        <f ca="1">Master!AA92</f>
        <v>-1639.0747507462811</v>
      </c>
      <c r="AG110" s="31">
        <f ca="1">Master!AB92</f>
        <v>-1367.2452702938772</v>
      </c>
      <c r="AH110" s="31">
        <f ca="1">Master!AC92</f>
        <v>-1228.4440639052709</v>
      </c>
      <c r="AI110" s="31">
        <f ca="1">Master!AD92</f>
        <v>-1306.3804451764167</v>
      </c>
    </row>
    <row r="111" spans="2:35">
      <c r="B111" s="30" t="s">
        <v>501</v>
      </c>
      <c r="C111" s="38"/>
      <c r="D111" s="40"/>
      <c r="E111" s="40"/>
      <c r="F111" s="40"/>
      <c r="G111" s="40"/>
      <c r="H111" s="40"/>
      <c r="I111" s="40"/>
      <c r="J111" s="40"/>
      <c r="K111" s="40"/>
      <c r="L111" s="40"/>
      <c r="M111" s="40"/>
      <c r="N111" s="31"/>
      <c r="O111" s="31"/>
      <c r="P111" s="31"/>
      <c r="Q111" s="31">
        <f>Master!L94</f>
        <v>-502</v>
      </c>
      <c r="R111" s="31">
        <f>Master!M94</f>
        <v>-871.99999999999989</v>
      </c>
      <c r="S111" s="31">
        <f>Master!N94</f>
        <v>-785.5</v>
      </c>
      <c r="T111" s="31">
        <f>Master!O94</f>
        <v>-959</v>
      </c>
      <c r="U111" s="31">
        <f>Master!P94</f>
        <v>-845.00000000000011</v>
      </c>
      <c r="V111" s="31">
        <f>Master!Q94</f>
        <v>-1012.9999999999999</v>
      </c>
      <c r="W111" s="31">
        <f>Master!R94</f>
        <v>-1347</v>
      </c>
      <c r="X111" s="31">
        <f>Master!S94</f>
        <v>-1267</v>
      </c>
      <c r="Y111" s="31">
        <f>Master!T94</f>
        <v>-1430</v>
      </c>
      <c r="Z111" s="31">
        <f ca="1">Master!U94</f>
        <v>-1335.0124491413219</v>
      </c>
      <c r="AA111" s="31">
        <f>Master!V94</f>
        <v>-1416.9479524824808</v>
      </c>
      <c r="AB111" s="31">
        <f>Master!W94</f>
        <v>-1290.0766599965857</v>
      </c>
      <c r="AC111" s="31">
        <f ca="1">Master!X94</f>
        <v>-1437.1241194690544</v>
      </c>
      <c r="AD111" s="31">
        <f ca="1">Master!Y94</f>
        <v>-1905.0586711156668</v>
      </c>
      <c r="AE111" s="31">
        <f ca="1">Master!Z94</f>
        <v>-2333.4477373355148</v>
      </c>
      <c r="AF111" s="31">
        <f ca="1">Master!AA94</f>
        <v>-2672.7826846112007</v>
      </c>
      <c r="AG111" s="31">
        <f ca="1">Master!AB94</f>
        <v>-3009.0100341846642</v>
      </c>
      <c r="AH111" s="31">
        <f ca="1">Master!AC94</f>
        <v>-3281.6998018695544</v>
      </c>
      <c r="AI111" s="31">
        <f ca="1">Master!AD94</f>
        <v>-3481.0411801798377</v>
      </c>
    </row>
    <row r="112" spans="2:35">
      <c r="B112" s="30" t="s">
        <v>502</v>
      </c>
      <c r="C112" s="38"/>
      <c r="D112" s="40"/>
      <c r="E112" s="40"/>
      <c r="F112" s="40"/>
      <c r="G112" s="40"/>
      <c r="H112" s="40"/>
      <c r="I112" s="40"/>
      <c r="J112" s="40"/>
      <c r="K112" s="40"/>
      <c r="L112" s="40"/>
      <c r="M112" s="40"/>
      <c r="N112" s="31"/>
      <c r="O112" s="31"/>
      <c r="P112" s="31"/>
      <c r="Q112" s="31">
        <f>Master!L95</f>
        <v>659</v>
      </c>
      <c r="R112" s="31">
        <f>Master!M95</f>
        <v>-295.30000000000018</v>
      </c>
      <c r="S112" s="31">
        <f>Master!N95</f>
        <v>-318.69999999999982</v>
      </c>
      <c r="T112" s="31">
        <f>Master!O95</f>
        <v>-677</v>
      </c>
      <c r="U112" s="31">
        <f>Master!P95</f>
        <v>-11</v>
      </c>
      <c r="V112" s="31">
        <f>Master!Q95</f>
        <v>1276</v>
      </c>
      <c r="W112" s="31">
        <f>Master!R95</f>
        <v>594.40000000000009</v>
      </c>
      <c r="X112" s="31">
        <f>Master!S95</f>
        <v>-2224.4</v>
      </c>
      <c r="Y112" s="31">
        <f>Master!T95</f>
        <v>1152.1639999999998</v>
      </c>
      <c r="Z112" s="31">
        <f>Master!U95</f>
        <v>3.2921265314975439</v>
      </c>
      <c r="AA112" s="31">
        <f>Master!V95</f>
        <v>-1597.8507256025437</v>
      </c>
      <c r="AB112" s="31">
        <f>Master!W95</f>
        <v>248.09600000000125</v>
      </c>
      <c r="AC112" s="31">
        <f>Master!X95</f>
        <v>198.84208196179213</v>
      </c>
      <c r="AD112" s="31">
        <f>Master!Y95</f>
        <v>155.51031429622833</v>
      </c>
      <c r="AE112" s="31">
        <f>Master!Z95</f>
        <v>106.08249196004806</v>
      </c>
      <c r="AF112" s="31">
        <f>Master!AA95</f>
        <v>82.767404949281058</v>
      </c>
      <c r="AG112" s="31">
        <f>Master!AB95</f>
        <v>69.422161559171514</v>
      </c>
      <c r="AH112" s="31">
        <f>Master!AC95</f>
        <v>68.460143443315246</v>
      </c>
      <c r="AI112" s="31">
        <f>Master!AD95</f>
        <v>70.560364584852664</v>
      </c>
    </row>
    <row r="113" spans="2:35">
      <c r="B113" s="30" t="s">
        <v>1595</v>
      </c>
      <c r="C113" s="38"/>
      <c r="D113" s="38"/>
      <c r="E113" s="38"/>
      <c r="F113" s="38"/>
      <c r="G113" s="38"/>
      <c r="H113" s="40"/>
      <c r="I113" s="40"/>
      <c r="J113" s="40"/>
      <c r="K113" s="40"/>
      <c r="L113" s="40"/>
      <c r="M113" s="40"/>
      <c r="N113" s="31"/>
      <c r="O113" s="31"/>
      <c r="P113" s="31"/>
      <c r="Q113" s="31"/>
      <c r="R113" s="31"/>
      <c r="S113" s="31"/>
      <c r="T113" s="31"/>
      <c r="U113" s="31"/>
      <c r="V113" s="31"/>
      <c r="W113" s="31"/>
      <c r="X113" s="31">
        <f>Master!S93</f>
        <v>-100</v>
      </c>
      <c r="Y113" s="31">
        <f>Master!T93</f>
        <v>-102</v>
      </c>
      <c r="Z113" s="31">
        <f>Master!U93</f>
        <v>-104.04</v>
      </c>
      <c r="AA113" s="31">
        <f>Master!V93</f>
        <v>-106.1208</v>
      </c>
      <c r="AB113" s="31">
        <f>Master!W93</f>
        <v>-108.243216</v>
      </c>
      <c r="AC113" s="31">
        <f>Master!X93</f>
        <v>-110.40808032000001</v>
      </c>
      <c r="AD113" s="31">
        <f>Master!Y93</f>
        <v>-112.61624192640001</v>
      </c>
      <c r="AE113" s="31">
        <f>Master!Z93</f>
        <v>-114.868566764928</v>
      </c>
      <c r="AF113" s="31">
        <f>Master!AA93</f>
        <v>-117.16593810022657</v>
      </c>
      <c r="AG113" s="31">
        <f>Master!AB93</f>
        <v>-119.5092568622311</v>
      </c>
      <c r="AH113" s="31">
        <f>Master!AC93</f>
        <v>-121.89944199947573</v>
      </c>
      <c r="AI113" s="31">
        <f>Master!AD93</f>
        <v>-124.33743083946524</v>
      </c>
    </row>
    <row r="114" spans="2:35">
      <c r="C114" s="38"/>
      <c r="D114" s="38"/>
      <c r="E114" s="38"/>
      <c r="F114" s="38"/>
      <c r="G114" s="38"/>
      <c r="H114" s="40"/>
      <c r="I114" s="40"/>
      <c r="J114" s="40"/>
      <c r="K114" s="40"/>
      <c r="L114" s="40"/>
      <c r="M114" s="40"/>
      <c r="N114" s="31"/>
      <c r="O114" s="31"/>
      <c r="P114" s="31"/>
      <c r="Q114" s="31"/>
      <c r="R114" s="31"/>
      <c r="S114" s="31"/>
      <c r="T114" s="31"/>
      <c r="U114" s="31"/>
      <c r="V114" s="31"/>
      <c r="W114" s="31"/>
      <c r="X114" s="31"/>
      <c r="Y114" s="31"/>
      <c r="Z114" s="31"/>
      <c r="AA114" s="31"/>
      <c r="AB114" s="31"/>
      <c r="AC114" s="31"/>
      <c r="AD114" s="31"/>
      <c r="AE114" s="31"/>
      <c r="AF114" s="31"/>
      <c r="AG114" s="31"/>
      <c r="AH114" s="31"/>
      <c r="AI114" s="31"/>
    </row>
    <row r="115" spans="2:35">
      <c r="B115" s="30" t="s">
        <v>503</v>
      </c>
      <c r="C115" s="38"/>
      <c r="D115" s="37"/>
      <c r="E115" s="37"/>
      <c r="F115" s="37"/>
      <c r="G115" s="37"/>
      <c r="H115" s="40"/>
      <c r="I115" s="40"/>
      <c r="J115" s="40"/>
      <c r="K115" s="40"/>
      <c r="L115" s="40"/>
      <c r="M115" s="40"/>
      <c r="N115" s="31"/>
      <c r="O115" s="31"/>
      <c r="P115" s="31"/>
      <c r="Q115" s="31"/>
      <c r="R115" s="31"/>
      <c r="S115" s="31"/>
      <c r="T115" s="31"/>
      <c r="U115" s="31"/>
      <c r="V115" s="31"/>
      <c r="W115" s="31"/>
      <c r="X115" s="31"/>
      <c r="Y115" s="31"/>
      <c r="Z115" s="31"/>
      <c r="AA115" s="31"/>
      <c r="AB115" s="31"/>
      <c r="AC115" s="31"/>
      <c r="AD115" s="31"/>
      <c r="AE115" s="31"/>
      <c r="AF115" s="31"/>
      <c r="AG115" s="31"/>
      <c r="AH115" s="31"/>
      <c r="AI115" s="31"/>
    </row>
    <row r="116" spans="2:35">
      <c r="B116" s="30" t="s">
        <v>51</v>
      </c>
      <c r="C116" s="38"/>
      <c r="D116" s="40"/>
      <c r="E116" s="40"/>
      <c r="F116" s="40"/>
      <c r="G116" s="40"/>
      <c r="H116" s="40"/>
      <c r="I116" s="40"/>
      <c r="J116" s="40"/>
      <c r="K116" s="40"/>
      <c r="L116" s="40"/>
      <c r="M116" s="40"/>
      <c r="N116" s="31"/>
      <c r="O116" s="31"/>
      <c r="P116" s="31"/>
      <c r="Q116" s="31">
        <f>Master!L97</f>
        <v>-533.11290791850001</v>
      </c>
      <c r="R116" s="31">
        <f>Master!M97</f>
        <v>-1568.522957337</v>
      </c>
      <c r="S116" s="31">
        <f>Master!N97</f>
        <v>0</v>
      </c>
      <c r="T116" s="31">
        <f>Master!O97</f>
        <v>-979.55297999999982</v>
      </c>
      <c r="U116" s="31">
        <f>Master!P97</f>
        <v>-1168.58952</v>
      </c>
      <c r="V116" s="31">
        <f>Master!Q97</f>
        <v>-1391.9963399999999</v>
      </c>
      <c r="W116" s="31">
        <f>Master!R97</f>
        <v>-1529.4774599999998</v>
      </c>
      <c r="X116" s="31">
        <f>Master!S97</f>
        <v>-1873.1802600000001</v>
      </c>
      <c r="Y116" s="31">
        <f>Master!T97</f>
        <v>-1529.4774599999998</v>
      </c>
      <c r="Z116" s="31">
        <f>Master!U97</f>
        <v>-2201.6972799999999</v>
      </c>
      <c r="AA116" s="31">
        <f>Master!V97</f>
        <v>-2418.08232</v>
      </c>
      <c r="AB116" s="31">
        <f>Master!W97</f>
        <v>-2538.5477999999998</v>
      </c>
      <c r="AC116" s="31">
        <f>Master!X97</f>
        <v>-2618.4265249999999</v>
      </c>
      <c r="AD116" s="31">
        <f>Master!Y97</f>
        <v>-2749.3478512500001</v>
      </c>
      <c r="AE116" s="31">
        <f>Master!Z97</f>
        <v>-3024.282636375</v>
      </c>
      <c r="AF116" s="31">
        <f>Master!AA97</f>
        <v>-3326.7109000125006</v>
      </c>
      <c r="AG116" s="31">
        <f>Master!AB97</f>
        <v>-3659.3819900137505</v>
      </c>
      <c r="AH116" s="31">
        <f>Master!AC97</f>
        <v>-4025.3201890151263</v>
      </c>
      <c r="AI116" s="31">
        <f>Master!AD97</f>
        <v>-4427.8522079166387</v>
      </c>
    </row>
    <row r="117" spans="2:35">
      <c r="B117" s="30" t="s">
        <v>504</v>
      </c>
      <c r="C117" s="38"/>
      <c r="D117" s="40"/>
      <c r="E117" s="40"/>
      <c r="F117" s="40"/>
      <c r="G117" s="40"/>
      <c r="H117" s="40"/>
      <c r="I117" s="40"/>
      <c r="J117" s="40"/>
      <c r="K117" s="40"/>
      <c r="L117" s="40"/>
      <c r="M117" s="40"/>
      <c r="N117" s="31"/>
      <c r="O117" s="31"/>
      <c r="P117" s="31"/>
      <c r="Q117" s="31"/>
      <c r="R117" s="31"/>
      <c r="S117" s="31"/>
      <c r="T117" s="31"/>
      <c r="U117" s="31"/>
      <c r="V117" s="31"/>
      <c r="W117" s="31"/>
      <c r="X117" s="31"/>
      <c r="Y117" s="31"/>
      <c r="Z117" s="31"/>
      <c r="AA117" s="31"/>
      <c r="AB117" s="31"/>
      <c r="AC117" s="31"/>
      <c r="AD117" s="31"/>
      <c r="AE117" s="31"/>
      <c r="AF117" s="31"/>
      <c r="AG117" s="31"/>
      <c r="AH117" s="31"/>
      <c r="AI117" s="31"/>
    </row>
    <row r="118" spans="2:35">
      <c r="B118" s="30" t="s">
        <v>505</v>
      </c>
      <c r="C118" s="38"/>
      <c r="D118" s="38"/>
      <c r="E118" s="37"/>
      <c r="F118" s="37"/>
      <c r="G118" s="37"/>
      <c r="H118" s="40"/>
      <c r="I118" s="40"/>
      <c r="J118" s="40"/>
      <c r="K118" s="40"/>
      <c r="L118" s="40"/>
      <c r="M118" s="40"/>
      <c r="N118" s="31"/>
      <c r="O118" s="31"/>
      <c r="P118" s="31"/>
      <c r="Q118" s="31"/>
      <c r="R118" s="31">
        <f>-R119-SUM(R109:R117)</f>
        <v>399.52295733699998</v>
      </c>
      <c r="S118" s="31">
        <f t="shared" ref="S118:Y118" si="7">-S119-SUM(S109:S117)</f>
        <v>-751.40000000000009</v>
      </c>
      <c r="T118" s="31">
        <f t="shared" si="7"/>
        <v>-1042.1800200000002</v>
      </c>
      <c r="U118" s="31">
        <f t="shared" si="7"/>
        <v>-2212.41048</v>
      </c>
      <c r="V118" s="31">
        <f t="shared" si="7"/>
        <v>-343.50366000000008</v>
      </c>
      <c r="W118" s="31">
        <f t="shared" si="7"/>
        <v>-914.39954000000057</v>
      </c>
      <c r="X118" s="31">
        <f t="shared" si="7"/>
        <v>-1974.5197400000002</v>
      </c>
      <c r="Y118" s="31">
        <f t="shared" si="7"/>
        <v>669.97745999999984</v>
      </c>
      <c r="Z118" s="31">
        <f t="shared" ref="Z118:AA118" ca="1" si="8">-Z119-SUM(Z109:Z117)</f>
        <v>639.11560260982469</v>
      </c>
      <c r="AA118" s="31">
        <f t="shared" si="8"/>
        <v>-2372.3882019149751</v>
      </c>
      <c r="AB118" s="31">
        <f t="shared" ref="AB118:AC118" si="9">-AB119-SUM(AB109:AB117)</f>
        <v>-2123.0493240034175</v>
      </c>
      <c r="AC118" s="31">
        <f t="shared" ca="1" si="9"/>
        <v>0</v>
      </c>
      <c r="AD118" s="31">
        <f t="shared" ref="AD118:AE118" ca="1" si="10">-AD119-SUM(AD109:AD117)</f>
        <v>0</v>
      </c>
      <c r="AE118" s="31">
        <f t="shared" ca="1" si="10"/>
        <v>-1.8189894035458565E-12</v>
      </c>
      <c r="AF118" s="31">
        <f t="shared" ref="AF118:AG118" ca="1" si="11">-AF119-SUM(AF109:AF117)</f>
        <v>0</v>
      </c>
      <c r="AG118" s="31">
        <f t="shared" ca="1" si="11"/>
        <v>0</v>
      </c>
      <c r="AH118" s="31">
        <f t="shared" ref="AH118:AI118" ca="1" si="12">-AH119-SUM(AH109:AH117)</f>
        <v>0</v>
      </c>
      <c r="AI118" s="31">
        <f t="shared" ca="1" si="12"/>
        <v>0</v>
      </c>
    </row>
    <row r="119" spans="2:35">
      <c r="B119" s="30" t="s">
        <v>45</v>
      </c>
      <c r="C119" s="38"/>
      <c r="D119" s="38"/>
      <c r="E119" s="37"/>
      <c r="F119" s="37"/>
      <c r="G119" s="37"/>
      <c r="H119" s="40"/>
      <c r="I119" s="40"/>
      <c r="J119" s="40"/>
      <c r="K119" s="40"/>
      <c r="L119" s="40"/>
      <c r="M119" s="40"/>
      <c r="N119" s="31"/>
      <c r="O119" s="31"/>
      <c r="P119" s="31"/>
      <c r="Q119" s="31"/>
      <c r="R119" s="31">
        <f>R120-Q120</f>
        <v>-53.699999999999818</v>
      </c>
      <c r="S119" s="31">
        <f t="shared" ref="S119:AI119" si="13">S120-R120</f>
        <v>-692.30000000000018</v>
      </c>
      <c r="T119" s="31">
        <f t="shared" si="13"/>
        <v>1499</v>
      </c>
      <c r="U119" s="31">
        <f t="shared" si="13"/>
        <v>2083</v>
      </c>
      <c r="V119" s="31">
        <f t="shared" si="13"/>
        <v>-1548</v>
      </c>
      <c r="W119" s="31">
        <f t="shared" si="13"/>
        <v>-368.09999999999991</v>
      </c>
      <c r="X119" s="31">
        <f t="shared" si="13"/>
        <v>4226.1000000000004</v>
      </c>
      <c r="Y119" s="31">
        <f t="shared" si="13"/>
        <v>-1171.6639999999998</v>
      </c>
      <c r="Z119" s="31">
        <f t="shared" si="13"/>
        <v>1045.915</v>
      </c>
      <c r="AA119" s="31">
        <f t="shared" si="13"/>
        <v>8174.3719999999994</v>
      </c>
      <c r="AB119" s="31">
        <f t="shared" si="13"/>
        <v>7375.148000000001</v>
      </c>
      <c r="AC119" s="31">
        <f t="shared" ca="1" si="13"/>
        <v>1759.6816531199984</v>
      </c>
      <c r="AD119" s="31">
        <f t="shared" ca="1" si="13"/>
        <v>1.474898051310447E-2</v>
      </c>
      <c r="AE119" s="31">
        <f t="shared" ca="1" si="13"/>
        <v>-1368.8331061422068</v>
      </c>
      <c r="AF119" s="31">
        <f t="shared" ca="1" si="13"/>
        <v>-2280.6264637806344</v>
      </c>
      <c r="AG119" s="31">
        <f t="shared" ca="1" si="13"/>
        <v>-2359.1029840946212</v>
      </c>
      <c r="AH119" s="31">
        <f t="shared" ca="1" si="13"/>
        <v>-2333.18616328194</v>
      </c>
      <c r="AI119" s="31">
        <f t="shared" ca="1" si="13"/>
        <v>-2137.9078362646305</v>
      </c>
    </row>
    <row r="120" spans="2:35">
      <c r="B120" s="30" t="s">
        <v>44</v>
      </c>
      <c r="C120" s="38"/>
      <c r="D120" s="38"/>
      <c r="E120" s="38"/>
      <c r="F120" s="38"/>
      <c r="G120" s="38"/>
      <c r="H120" s="40"/>
      <c r="I120" s="40"/>
      <c r="J120" s="40"/>
      <c r="K120" s="40"/>
      <c r="L120" s="40"/>
      <c r="M120" s="40"/>
      <c r="N120" s="31"/>
      <c r="O120" s="31"/>
      <c r="P120" s="31"/>
      <c r="Q120" s="31">
        <f>Master!L102</f>
        <v>-352</v>
      </c>
      <c r="R120" s="31">
        <f>Master!M102</f>
        <v>-405.69999999999982</v>
      </c>
      <c r="S120" s="31">
        <f>Master!N102</f>
        <v>-1098</v>
      </c>
      <c r="T120" s="31">
        <f>Master!O102</f>
        <v>401</v>
      </c>
      <c r="U120" s="31">
        <f>Master!P102</f>
        <v>2484</v>
      </c>
      <c r="V120" s="31">
        <f>Master!Q102</f>
        <v>936</v>
      </c>
      <c r="W120" s="31">
        <f>Master!R102</f>
        <v>567.90000000000009</v>
      </c>
      <c r="X120" s="31">
        <f>Master!S102</f>
        <v>4794</v>
      </c>
      <c r="Y120" s="31">
        <f>Master!T102</f>
        <v>3622.3360000000002</v>
      </c>
      <c r="Z120" s="31">
        <f>Master!U102</f>
        <v>4668.2510000000002</v>
      </c>
      <c r="AA120" s="31">
        <f>Master!V102</f>
        <v>12842.623</v>
      </c>
      <c r="AB120" s="31">
        <f>Master!W102</f>
        <v>20217.771000000001</v>
      </c>
      <c r="AC120" s="31">
        <f ca="1">Master!X102</f>
        <v>21977.452653119999</v>
      </c>
      <c r="AD120" s="31">
        <f ca="1">Master!Y102</f>
        <v>21977.467402100512</v>
      </c>
      <c r="AE120" s="31">
        <f ca="1">Master!Z102</f>
        <v>20608.634295958305</v>
      </c>
      <c r="AF120" s="31">
        <f ca="1">Master!AA102</f>
        <v>18328.007832177671</v>
      </c>
      <c r="AG120" s="31">
        <f ca="1">Master!AB102</f>
        <v>15968.90484808305</v>
      </c>
      <c r="AH120" s="31">
        <f ca="1">Master!AC102</f>
        <v>13635.718684801112</v>
      </c>
      <c r="AI120" s="31">
        <f ca="1">Master!AD102</f>
        <v>11497.810848536485</v>
      </c>
    </row>
    <row r="121" spans="2:35">
      <c r="E121" s="41"/>
      <c r="F121" s="41"/>
    </row>
    <row r="122" spans="2:35">
      <c r="B122" s="29" t="s">
        <v>506</v>
      </c>
      <c r="C122" s="29">
        <v>1998</v>
      </c>
      <c r="D122" s="29">
        <v>1999</v>
      </c>
      <c r="E122" s="29">
        <v>2000</v>
      </c>
      <c r="F122" s="29">
        <v>2001</v>
      </c>
      <c r="G122" s="29">
        <v>2002</v>
      </c>
      <c r="H122" s="29">
        <v>2003</v>
      </c>
      <c r="I122" s="29">
        <v>2004</v>
      </c>
      <c r="J122" s="29">
        <v>2005</v>
      </c>
      <c r="K122" s="29">
        <v>2006</v>
      </c>
      <c r="L122" s="29">
        <v>2007</v>
      </c>
      <c r="M122" s="29">
        <v>2008</v>
      </c>
      <c r="N122" s="29">
        <v>2009</v>
      </c>
      <c r="O122" s="29">
        <v>2010</v>
      </c>
      <c r="P122" s="29">
        <v>2011</v>
      </c>
      <c r="Q122" s="29">
        <v>2012</v>
      </c>
      <c r="R122" s="29">
        <v>2013</v>
      </c>
      <c r="S122" s="29">
        <v>2014</v>
      </c>
      <c r="T122" s="29">
        <v>2015</v>
      </c>
      <c r="U122" s="29">
        <v>2016</v>
      </c>
      <c r="V122" s="29">
        <v>2017</v>
      </c>
      <c r="W122" s="29">
        <v>2018</v>
      </c>
      <c r="X122" s="29">
        <v>2019</v>
      </c>
      <c r="Y122" s="29">
        <f t="shared" ref="Y122:AI122" si="14">Y$2</f>
        <v>2020</v>
      </c>
      <c r="Z122" s="29">
        <f t="shared" si="14"/>
        <v>2021</v>
      </c>
      <c r="AA122" s="29">
        <f t="shared" si="14"/>
        <v>2022</v>
      </c>
      <c r="AB122" s="29">
        <f t="shared" si="14"/>
        <v>2023</v>
      </c>
      <c r="AC122" s="29">
        <f t="shared" si="14"/>
        <v>2024</v>
      </c>
      <c r="AD122" s="29">
        <f t="shared" si="14"/>
        <v>2025</v>
      </c>
      <c r="AE122" s="29">
        <f t="shared" si="14"/>
        <v>2026</v>
      </c>
      <c r="AF122" s="29">
        <f t="shared" si="14"/>
        <v>2027</v>
      </c>
      <c r="AG122" s="29">
        <f t="shared" si="14"/>
        <v>2028</v>
      </c>
      <c r="AH122" s="29">
        <f t="shared" si="14"/>
        <v>2029</v>
      </c>
      <c r="AI122" s="29">
        <f t="shared" si="14"/>
        <v>2030</v>
      </c>
    </row>
    <row r="123" spans="2:35">
      <c r="B123" s="30" t="s">
        <v>507</v>
      </c>
      <c r="C123" s="38"/>
      <c r="D123" s="40"/>
      <c r="E123" s="40"/>
      <c r="F123" s="40"/>
      <c r="G123" s="40"/>
      <c r="H123" s="40"/>
      <c r="I123" s="40"/>
      <c r="J123" s="40"/>
      <c r="K123" s="40"/>
      <c r="L123" s="40"/>
      <c r="M123" s="40"/>
      <c r="N123" s="40"/>
      <c r="O123" s="40"/>
      <c r="P123" s="40"/>
      <c r="Q123" s="40"/>
      <c r="R123" s="40"/>
      <c r="S123" s="38"/>
      <c r="T123" s="38"/>
      <c r="U123" s="38"/>
      <c r="V123" s="38"/>
      <c r="W123" s="38"/>
      <c r="X123" s="38"/>
      <c r="Y123" s="38"/>
      <c r="Z123" s="38"/>
      <c r="AA123" s="38"/>
      <c r="AB123" s="38"/>
      <c r="AC123" s="38"/>
      <c r="AD123" s="38"/>
      <c r="AE123" s="38"/>
      <c r="AF123" s="38"/>
      <c r="AG123" s="38"/>
      <c r="AH123" s="38"/>
      <c r="AI123" s="38"/>
    </row>
    <row r="124" spans="2:35">
      <c r="B124" s="30" t="s">
        <v>508</v>
      </c>
      <c r="C124" s="38"/>
      <c r="D124" s="38"/>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8"/>
      <c r="AE124" s="38"/>
      <c r="AF124" s="38"/>
      <c r="AG124" s="38"/>
      <c r="AH124" s="38"/>
      <c r="AI124" s="38"/>
    </row>
    <row r="125" spans="2:35">
      <c r="B125" s="30" t="s">
        <v>509</v>
      </c>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row>
    <row r="126" spans="2:35">
      <c r="B126" s="30" t="s">
        <v>510</v>
      </c>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row>
    <row r="127" spans="2:35">
      <c r="B127" s="30" t="s">
        <v>511</v>
      </c>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row>
    <row r="128" spans="2:35">
      <c r="B128" s="30" t="s">
        <v>512</v>
      </c>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row>
    <row r="130" spans="2:35">
      <c r="B130" s="29" t="s">
        <v>513</v>
      </c>
      <c r="C130" s="29">
        <v>1998</v>
      </c>
      <c r="D130" s="29">
        <v>1999</v>
      </c>
      <c r="E130" s="29">
        <v>2000</v>
      </c>
      <c r="F130" s="29">
        <v>2001</v>
      </c>
      <c r="G130" s="29">
        <v>2002</v>
      </c>
      <c r="H130" s="29">
        <v>2003</v>
      </c>
      <c r="I130" s="29">
        <v>2004</v>
      </c>
      <c r="J130" s="29">
        <v>2005</v>
      </c>
      <c r="K130" s="29">
        <v>2006</v>
      </c>
      <c r="L130" s="29">
        <v>2007</v>
      </c>
      <c r="M130" s="29">
        <v>2008</v>
      </c>
      <c r="N130" s="29">
        <v>2009</v>
      </c>
      <c r="O130" s="29">
        <v>2010</v>
      </c>
      <c r="P130" s="29">
        <v>2011</v>
      </c>
      <c r="Q130" s="29">
        <v>2012</v>
      </c>
      <c r="R130" s="29">
        <v>2013</v>
      </c>
      <c r="S130" s="29">
        <v>2014</v>
      </c>
      <c r="T130" s="29">
        <v>2015</v>
      </c>
      <c r="U130" s="29">
        <v>2016</v>
      </c>
      <c r="V130" s="29">
        <v>2017</v>
      </c>
      <c r="W130" s="29">
        <v>2018</v>
      </c>
      <c r="X130" s="29">
        <v>2019</v>
      </c>
      <c r="Y130" s="29">
        <f t="shared" ref="Y130:AI130" si="15">Y$2</f>
        <v>2020</v>
      </c>
      <c r="Z130" s="29">
        <f t="shared" si="15"/>
        <v>2021</v>
      </c>
      <c r="AA130" s="29">
        <f t="shared" si="15"/>
        <v>2022</v>
      </c>
      <c r="AB130" s="29">
        <f t="shared" si="15"/>
        <v>2023</v>
      </c>
      <c r="AC130" s="29">
        <f t="shared" si="15"/>
        <v>2024</v>
      </c>
      <c r="AD130" s="29">
        <f t="shared" si="15"/>
        <v>2025</v>
      </c>
      <c r="AE130" s="29">
        <f t="shared" si="15"/>
        <v>2026</v>
      </c>
      <c r="AF130" s="29">
        <f t="shared" si="15"/>
        <v>2027</v>
      </c>
      <c r="AG130" s="29">
        <f t="shared" si="15"/>
        <v>2028</v>
      </c>
      <c r="AH130" s="29">
        <f t="shared" si="15"/>
        <v>2029</v>
      </c>
      <c r="AI130" s="29">
        <f t="shared" si="15"/>
        <v>2030</v>
      </c>
    </row>
    <row r="131" spans="2:35">
      <c r="B131" s="42" t="s">
        <v>514</v>
      </c>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row>
    <row r="132" spans="2:35">
      <c r="B132" s="19" t="s">
        <v>515</v>
      </c>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row>
    <row r="133" spans="2:35">
      <c r="B133" s="19" t="s">
        <v>516</v>
      </c>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row>
    <row r="134" spans="2:35" ht="15.75">
      <c r="B134" s="43" t="s">
        <v>517</v>
      </c>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row>
    <row r="135" spans="2:35" ht="15.75">
      <c r="B135" s="43" t="s">
        <v>21</v>
      </c>
      <c r="C135" s="31"/>
      <c r="D135" s="31"/>
      <c r="E135" s="31"/>
      <c r="F135" s="31"/>
      <c r="G135" s="31"/>
      <c r="H135" s="31"/>
      <c r="I135" s="31"/>
      <c r="J135" s="31"/>
      <c r="K135" s="31"/>
      <c r="L135" s="31"/>
      <c r="M135" s="31"/>
      <c r="N135" s="44"/>
      <c r="O135" s="44"/>
      <c r="P135" s="44"/>
      <c r="Q135" s="44">
        <f t="shared" ref="Q135:AI135" si="16">Q18</f>
        <v>8977</v>
      </c>
      <c r="R135" s="44">
        <f t="shared" si="16"/>
        <v>10068</v>
      </c>
      <c r="S135" s="44">
        <f t="shared" si="16"/>
        <v>11475</v>
      </c>
      <c r="T135" s="44">
        <f t="shared" si="16"/>
        <v>14557</v>
      </c>
      <c r="U135" s="44">
        <f t="shared" si="16"/>
        <v>16957</v>
      </c>
      <c r="V135" s="44">
        <f t="shared" si="16"/>
        <v>17287</v>
      </c>
      <c r="W135" s="44">
        <f t="shared" si="16"/>
        <v>19436</v>
      </c>
      <c r="X135" s="44">
        <f t="shared" si="16"/>
        <v>21604</v>
      </c>
      <c r="Y135" s="44">
        <f t="shared" si="16"/>
        <v>22383</v>
      </c>
      <c r="Z135" s="44">
        <f t="shared" si="16"/>
        <v>24634</v>
      </c>
      <c r="AA135" s="44">
        <f t="shared" si="16"/>
        <v>27155.555</v>
      </c>
      <c r="AB135" s="44">
        <f t="shared" si="16"/>
        <v>29870.54</v>
      </c>
      <c r="AC135" s="44">
        <f t="shared" si="16"/>
        <v>33085.7435653906</v>
      </c>
      <c r="AD135" s="44">
        <f t="shared" si="16"/>
        <v>36026.705486593608</v>
      </c>
      <c r="AE135" s="44">
        <f t="shared" si="16"/>
        <v>38748.862943517532</v>
      </c>
      <c r="AF135" s="44">
        <f t="shared" si="16"/>
        <v>40988.179882362921</v>
      </c>
      <c r="AG135" s="44">
        <f t="shared" si="16"/>
        <v>43060.801348991758</v>
      </c>
      <c r="AH135" s="44">
        <f t="shared" si="16"/>
        <v>45094.405156194065</v>
      </c>
      <c r="AI135" s="44">
        <f t="shared" si="16"/>
        <v>47173.29426766243</v>
      </c>
    </row>
    <row r="136" spans="2:35" ht="15.75">
      <c r="B136" s="43"/>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row>
    <row r="137" spans="2:35">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row>
    <row r="138" spans="2:35" ht="15.75">
      <c r="B138" s="43"/>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row>
    <row r="139" spans="2:35">
      <c r="B139" s="42" t="s">
        <v>16</v>
      </c>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row>
    <row r="140" spans="2:35">
      <c r="B140" s="19" t="str">
        <f>B132</f>
        <v>Content/other</v>
      </c>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row>
    <row r="141" spans="2:35">
      <c r="B141" s="19" t="s">
        <v>516</v>
      </c>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row>
    <row r="142" spans="2:35" ht="15.75">
      <c r="B142" s="43" t="s">
        <v>517</v>
      </c>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row>
    <row r="143" spans="2:35" ht="15.75">
      <c r="B143" s="43" t="s">
        <v>21</v>
      </c>
      <c r="C143" s="31"/>
      <c r="D143" s="31"/>
      <c r="E143" s="31"/>
      <c r="F143" s="31"/>
      <c r="G143" s="31"/>
      <c r="H143" s="31"/>
      <c r="I143" s="31"/>
      <c r="J143" s="31"/>
      <c r="K143" s="31"/>
      <c r="L143" s="31"/>
      <c r="M143" s="31"/>
      <c r="N143" s="44"/>
      <c r="O143" s="44"/>
      <c r="P143" s="44"/>
      <c r="Q143" s="44">
        <f t="shared" ref="Q143:AI143" si="17">Q19</f>
        <v>3777</v>
      </c>
      <c r="R143" s="44">
        <f t="shared" si="17"/>
        <v>4356</v>
      </c>
      <c r="S143" s="44">
        <f t="shared" si="17"/>
        <v>4847</v>
      </c>
      <c r="T143" s="44">
        <f t="shared" si="17"/>
        <v>5843</v>
      </c>
      <c r="U143" s="44">
        <f t="shared" si="17"/>
        <v>6915</v>
      </c>
      <c r="V143" s="44">
        <f t="shared" si="17"/>
        <v>7715</v>
      </c>
      <c r="W143" s="44">
        <f t="shared" si="17"/>
        <v>9347</v>
      </c>
      <c r="X143" s="44">
        <f t="shared" si="17"/>
        <v>10161</v>
      </c>
      <c r="Y143" s="44">
        <f t="shared" si="17"/>
        <v>11037</v>
      </c>
      <c r="Z143" s="44">
        <f t="shared" si="17"/>
        <v>12116</v>
      </c>
      <c r="AA143" s="44">
        <f t="shared" si="17"/>
        <v>12769.018</v>
      </c>
      <c r="AB143" s="44">
        <f t="shared" si="17"/>
        <v>13319.993</v>
      </c>
      <c r="AC143" s="44">
        <f t="shared" si="17"/>
        <v>15052.832575733581</v>
      </c>
      <c r="AD143" s="44">
        <f t="shared" si="17"/>
        <v>16703.957652064935</v>
      </c>
      <c r="AE143" s="44">
        <f t="shared" si="17"/>
        <v>18327.740334193342</v>
      </c>
      <c r="AF143" s="44">
        <f t="shared" si="17"/>
        <v>19380.874705245034</v>
      </c>
      <c r="AG143" s="44">
        <f t="shared" si="17"/>
        <v>20348.811684158078</v>
      </c>
      <c r="AH143" s="44">
        <f t="shared" si="17"/>
        <v>21293.802702552686</v>
      </c>
      <c r="AI143" s="44">
        <f t="shared" si="17"/>
        <v>22256.816417354494</v>
      </c>
    </row>
    <row r="144" spans="2:35">
      <c r="C144" s="31"/>
      <c r="D144" s="31"/>
      <c r="E144" s="31"/>
      <c r="F144" s="31"/>
      <c r="G144" s="31"/>
      <c r="H144" s="31"/>
      <c r="I144" s="31"/>
      <c r="J144" s="31"/>
      <c r="K144" s="31"/>
      <c r="L144" s="31"/>
      <c r="M144" s="31"/>
      <c r="N144" s="44"/>
      <c r="O144" s="44"/>
      <c r="P144" s="44"/>
      <c r="Q144" s="44"/>
      <c r="R144" s="44"/>
      <c r="S144" s="44"/>
      <c r="T144" s="44"/>
      <c r="U144" s="44"/>
      <c r="V144" s="44"/>
      <c r="W144" s="44"/>
      <c r="X144" s="44"/>
      <c r="Y144" s="44"/>
      <c r="Z144" s="44"/>
      <c r="AA144" s="44"/>
      <c r="AB144" s="44"/>
      <c r="AC144" s="44"/>
      <c r="AD144" s="44"/>
      <c r="AE144" s="44"/>
      <c r="AF144" s="44"/>
      <c r="AG144" s="44"/>
      <c r="AH144" s="44"/>
      <c r="AI144" s="44"/>
    </row>
    <row r="145" spans="2:35" ht="15.75">
      <c r="B145" s="43"/>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row>
    <row r="146" spans="2:35">
      <c r="B146" s="42" t="s">
        <v>22</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row>
    <row r="147" spans="2:35">
      <c r="B147" s="19" t="str">
        <f>B140</f>
        <v>Content/other</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row>
    <row r="148" spans="2:35">
      <c r="B148" s="19" t="str">
        <f>B141</f>
        <v>Sky</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row>
    <row r="149" spans="2:35">
      <c r="B149" s="19" t="str">
        <f>B142</f>
        <v>Cable</v>
      </c>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row>
    <row r="150" spans="2:35">
      <c r="B150" s="19" t="str">
        <f>B143</f>
        <v>Total</v>
      </c>
      <c r="C150" s="31"/>
      <c r="D150" s="31"/>
      <c r="E150" s="31"/>
      <c r="F150" s="31"/>
      <c r="G150" s="31"/>
      <c r="H150" s="31"/>
      <c r="I150" s="31"/>
      <c r="J150" s="31"/>
      <c r="K150" s="31"/>
      <c r="L150" s="31"/>
      <c r="M150" s="31"/>
      <c r="N150" s="44"/>
      <c r="O150" s="44"/>
      <c r="P150" s="44"/>
      <c r="Q150" s="44">
        <f t="shared" ref="Q150:AI150" si="18">Q22</f>
        <v>1985</v>
      </c>
      <c r="R150" s="44">
        <f t="shared" si="18"/>
        <v>2000</v>
      </c>
      <c r="S150" s="44">
        <f t="shared" si="18"/>
        <v>2336</v>
      </c>
      <c r="T150" s="44">
        <f t="shared" si="18"/>
        <v>3765</v>
      </c>
      <c r="U150" s="44">
        <f t="shared" si="18"/>
        <v>4874</v>
      </c>
      <c r="V150" s="44">
        <f t="shared" si="18"/>
        <v>4692</v>
      </c>
      <c r="W150" s="44">
        <f t="shared" si="18"/>
        <v>5753.1229999999996</v>
      </c>
      <c r="X150" s="44">
        <f t="shared" si="18"/>
        <v>6535</v>
      </c>
      <c r="Y150" s="44">
        <f t="shared" si="18"/>
        <v>8081</v>
      </c>
      <c r="Z150" s="44">
        <f t="shared" si="18"/>
        <v>9466.5730000000003</v>
      </c>
      <c r="AA150" s="44">
        <f t="shared" si="18"/>
        <v>11836</v>
      </c>
      <c r="AB150" s="44">
        <f t="shared" si="18"/>
        <v>12949</v>
      </c>
      <c r="AC150" s="44">
        <f t="shared" si="18"/>
        <v>10918.295376578899</v>
      </c>
      <c r="AD150" s="44">
        <f t="shared" si="18"/>
        <v>10087.477536246211</v>
      </c>
      <c r="AE150" s="44">
        <f t="shared" si="18"/>
        <v>9687.2157358793829</v>
      </c>
      <c r="AF150" s="44">
        <f t="shared" si="18"/>
        <v>9427.2813729434729</v>
      </c>
      <c r="AG150" s="44">
        <f t="shared" si="18"/>
        <v>9903.9843102681043</v>
      </c>
      <c r="AH150" s="44">
        <f t="shared" si="18"/>
        <v>10371.713185924635</v>
      </c>
      <c r="AI150" s="44">
        <f t="shared" si="18"/>
        <v>10849.85768156236</v>
      </c>
    </row>
    <row r="151" spans="2:35">
      <c r="B151" s="19"/>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row>
    <row r="152" spans="2:35" ht="15.75">
      <c r="B152" s="45" t="s">
        <v>24</v>
      </c>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row>
    <row r="153" spans="2:35">
      <c r="B153" s="19" t="s">
        <v>515</v>
      </c>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row>
    <row r="154" spans="2:35">
      <c r="B154" s="19" t="s">
        <v>516</v>
      </c>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row>
    <row r="155" spans="2:35">
      <c r="B155" s="19" t="s">
        <v>517</v>
      </c>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row>
    <row r="156" spans="2:35">
      <c r="B156" s="19" t="s">
        <v>21</v>
      </c>
      <c r="C156" s="31"/>
      <c r="D156" s="31"/>
      <c r="E156" s="31"/>
      <c r="F156" s="31"/>
      <c r="G156" s="31"/>
      <c r="H156" s="31"/>
      <c r="I156" s="31"/>
      <c r="J156" s="31"/>
      <c r="K156" s="31"/>
      <c r="L156" s="31"/>
      <c r="M156" s="31"/>
      <c r="N156" s="44"/>
      <c r="O156" s="44"/>
      <c r="P156" s="44"/>
      <c r="Q156" s="44">
        <f>Q143-Q150</f>
        <v>1792</v>
      </c>
      <c r="R156" s="44">
        <f t="shared" ref="R156:Y156" si="19">R143-R150</f>
        <v>2356</v>
      </c>
      <c r="S156" s="44">
        <f t="shared" si="19"/>
        <v>2511</v>
      </c>
      <c r="T156" s="44">
        <f t="shared" si="19"/>
        <v>2078</v>
      </c>
      <c r="U156" s="44">
        <f t="shared" si="19"/>
        <v>2041</v>
      </c>
      <c r="V156" s="44">
        <f t="shared" si="19"/>
        <v>3023</v>
      </c>
      <c r="W156" s="44">
        <f t="shared" si="19"/>
        <v>3593.8770000000004</v>
      </c>
      <c r="X156" s="44">
        <f t="shared" si="19"/>
        <v>3626</v>
      </c>
      <c r="Y156" s="44">
        <f t="shared" si="19"/>
        <v>2956</v>
      </c>
      <c r="Z156" s="44">
        <f t="shared" ref="Z156:AA156" si="20">Z143-Z150</f>
        <v>2649.4269999999997</v>
      </c>
      <c r="AA156" s="44">
        <f t="shared" si="20"/>
        <v>933.01800000000003</v>
      </c>
      <c r="AB156" s="44">
        <f t="shared" ref="AB156:AC156" si="21">AB143-AB150</f>
        <v>370.99300000000039</v>
      </c>
      <c r="AC156" s="44">
        <f t="shared" si="21"/>
        <v>4134.5371991546817</v>
      </c>
      <c r="AD156" s="44">
        <f t="shared" ref="AD156:AE156" si="22">AD143-AD150</f>
        <v>6616.4801158187238</v>
      </c>
      <c r="AE156" s="44">
        <f t="shared" si="22"/>
        <v>8640.5245983139594</v>
      </c>
      <c r="AF156" s="44">
        <f t="shared" ref="AF156:AG156" si="23">AF143-AF150</f>
        <v>9953.5933323015615</v>
      </c>
      <c r="AG156" s="44">
        <f t="shared" si="23"/>
        <v>10444.827373889973</v>
      </c>
      <c r="AH156" s="44">
        <f t="shared" ref="AH156:AI156" si="24">AH143-AH150</f>
        <v>10922.089516628052</v>
      </c>
      <c r="AI156" s="44">
        <f t="shared" si="24"/>
        <v>11406.958735792134</v>
      </c>
    </row>
    <row r="157" spans="2:35">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row>
    <row r="158" spans="2:35">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row>
    <row r="159" spans="2:35">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row>
    <row r="160" spans="2:35">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row>
    <row r="161" spans="2:35">
      <c r="B161" s="42"/>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row>
    <row r="162" spans="2:35">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row>
    <row r="163" spans="2:35">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row>
    <row r="164" spans="2:35">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row>
    <row r="165" spans="2:35">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row>
    <row r="166" spans="2:35">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row>
    <row r="167" spans="2:35">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row>
    <row r="168" spans="2:35">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row>
    <row r="170" spans="2:35">
      <c r="B170" s="29" t="s">
        <v>518</v>
      </c>
      <c r="C170" s="29" t="s">
        <v>519</v>
      </c>
      <c r="D170" s="29" t="s">
        <v>520</v>
      </c>
      <c r="E170" s="29" t="s">
        <v>521</v>
      </c>
      <c r="F170" s="29"/>
      <c r="G170" s="29" t="s">
        <v>522</v>
      </c>
      <c r="H170" s="29" t="s">
        <v>523</v>
      </c>
      <c r="I170" s="29" t="s">
        <v>524</v>
      </c>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row>
    <row r="171" spans="2:35" ht="15.75">
      <c r="C171" s="46"/>
      <c r="D171" s="46"/>
      <c r="E171" s="46"/>
      <c r="F171" s="47"/>
      <c r="G171" s="46"/>
      <c r="H171" s="46"/>
      <c r="I171" s="46"/>
      <c r="J171" s="46"/>
      <c r="K171" s="46"/>
      <c r="L171" s="46"/>
      <c r="M171" s="46"/>
      <c r="N171" s="46"/>
      <c r="O171" s="38"/>
      <c r="P171" s="38"/>
      <c r="Q171" s="38"/>
      <c r="R171" s="38"/>
      <c r="S171" s="38"/>
      <c r="T171" s="38"/>
      <c r="U171" s="38"/>
      <c r="V171" s="38"/>
      <c r="W171" s="38"/>
      <c r="X171" s="38"/>
      <c r="Y171" s="38"/>
      <c r="Z171" s="38"/>
      <c r="AA171" s="38"/>
      <c r="AB171" s="38"/>
      <c r="AC171" s="38"/>
      <c r="AD171" s="38"/>
      <c r="AE171" s="38"/>
      <c r="AF171" s="38"/>
      <c r="AG171" s="38"/>
      <c r="AH171" s="38"/>
      <c r="AI171" s="38"/>
    </row>
    <row r="172" spans="2:35">
      <c r="B172" s="19"/>
      <c r="C172" s="31"/>
      <c r="D172" s="31"/>
      <c r="E172" s="31"/>
      <c r="F172" s="31"/>
      <c r="G172" s="31"/>
      <c r="H172" s="31"/>
      <c r="I172" s="31"/>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row>
    <row r="173" spans="2:35">
      <c r="B173" s="19"/>
      <c r="C173" s="31"/>
      <c r="D173" s="31"/>
      <c r="E173" s="31"/>
      <c r="F173" s="31"/>
      <c r="G173" s="31"/>
      <c r="H173" s="31"/>
      <c r="I173" s="31"/>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row>
    <row r="174" spans="2:35" ht="15.75">
      <c r="B174" s="43"/>
      <c r="C174" s="31"/>
      <c r="D174" s="31"/>
      <c r="E174" s="31"/>
      <c r="F174" s="31"/>
      <c r="G174" s="31"/>
      <c r="H174" s="31"/>
      <c r="I174" s="31"/>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row>
    <row r="175" spans="2:35" ht="15.75">
      <c r="B175" s="43"/>
      <c r="C175" s="31"/>
      <c r="D175" s="31"/>
      <c r="E175" s="31"/>
      <c r="F175" s="31"/>
      <c r="G175" s="31"/>
      <c r="H175" s="31"/>
      <c r="I175" s="31"/>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row>
    <row r="176" spans="2:35" ht="15.75">
      <c r="B176" s="43"/>
      <c r="C176" s="40"/>
      <c r="D176" s="40"/>
      <c r="E176" s="40"/>
      <c r="F176" s="37"/>
      <c r="G176" s="37"/>
      <c r="H176" s="37"/>
      <c r="I176" s="37"/>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row>
    <row r="177" spans="2:35">
      <c r="B177" s="48"/>
      <c r="C177" s="40"/>
      <c r="D177" s="40"/>
      <c r="E177" s="40"/>
      <c r="F177" s="37"/>
      <c r="G177" s="37"/>
      <c r="H177" s="37"/>
      <c r="I177" s="37"/>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row>
    <row r="178" spans="2:35">
      <c r="B178" s="48"/>
      <c r="C178" s="40"/>
      <c r="D178" s="40"/>
      <c r="E178" s="40"/>
      <c r="F178" s="37"/>
      <c r="G178" s="37"/>
      <c r="H178" s="37"/>
      <c r="I178" s="37"/>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row>
    <row r="179" spans="2:35">
      <c r="B179" s="48"/>
      <c r="C179" s="40"/>
      <c r="D179" s="40"/>
      <c r="E179" s="40"/>
      <c r="F179" s="37"/>
      <c r="G179" s="37"/>
      <c r="H179" s="37"/>
      <c r="I179" s="37"/>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row>
    <row r="180" spans="2:35">
      <c r="B180" s="48"/>
      <c r="C180" s="40"/>
      <c r="D180" s="40"/>
      <c r="E180" s="40"/>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row>
    <row r="181" spans="2:35">
      <c r="B181" s="48"/>
      <c r="C181" s="40"/>
      <c r="D181" s="40"/>
      <c r="E181" s="40"/>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row>
    <row r="182" spans="2:35">
      <c r="B182" s="48"/>
      <c r="C182" s="40"/>
      <c r="D182" s="40"/>
      <c r="E182" s="40"/>
      <c r="F182" s="37"/>
      <c r="G182" s="37"/>
      <c r="H182" s="37"/>
      <c r="I182" s="37"/>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row>
  </sheetData>
  <pageMargins left="0.7" right="0.7" top="0.75" bottom="0.75" header="0.3" footer="0.3"/>
  <pageSetup paperSize="9" scale="2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7E895-A1B6-4108-BB31-13C27864DE13}">
  <dimension ref="B2:T107"/>
  <sheetViews>
    <sheetView showGridLines="0" zoomScale="75" zoomScaleNormal="75" workbookViewId="0">
      <selection activeCell="G14" sqref="G14 G20"/>
    </sheetView>
  </sheetViews>
  <sheetFormatPr defaultRowHeight="15" outlineLevelRow="1"/>
  <cols>
    <col min="1" max="1" width="3.42578125" customWidth="1"/>
    <col min="2" max="2" width="17.28515625" customWidth="1"/>
    <col min="4" max="4" width="10.5703125" bestFit="1" customWidth="1"/>
    <col min="7" max="7" width="8.85546875" customWidth="1"/>
  </cols>
  <sheetData>
    <row r="2" spans="2:12">
      <c r="B2" s="295" t="s">
        <v>2829</v>
      </c>
      <c r="C2" s="151"/>
      <c r="D2" s="151">
        <f>Analysis!E595</f>
        <v>2022</v>
      </c>
      <c r="E2" s="151">
        <f>Analysis!F595</f>
        <v>2023</v>
      </c>
      <c r="F2" s="151">
        <f>Analysis!G595</f>
        <v>2024</v>
      </c>
      <c r="G2" s="151">
        <f>Analysis!H595</f>
        <v>2025</v>
      </c>
      <c r="H2" s="151">
        <f>Analysis!I595</f>
        <v>2026</v>
      </c>
      <c r="I2" s="151">
        <f>H2+1</f>
        <v>2027</v>
      </c>
      <c r="J2" s="151">
        <f>I2+1</f>
        <v>2028</v>
      </c>
      <c r="K2" s="151">
        <f>J2+1</f>
        <v>2029</v>
      </c>
      <c r="L2" s="151">
        <f>K2+1</f>
        <v>2030</v>
      </c>
    </row>
    <row r="3" spans="2:12">
      <c r="B3" s="239" t="s">
        <v>2322</v>
      </c>
      <c r="C3" s="262"/>
      <c r="D3" s="494">
        <f>Analysis!E507</f>
        <v>48411.8</v>
      </c>
      <c r="E3" s="494">
        <f>Analysis!F507</f>
        <v>49137.976999999999</v>
      </c>
      <c r="F3" s="494">
        <f t="shared" ref="F3" si="0">(1+F4)*E3</f>
        <v>49629.356769999999</v>
      </c>
      <c r="G3" s="494"/>
      <c r="H3" s="494"/>
      <c r="I3" s="494"/>
      <c r="J3" s="494"/>
      <c r="K3" s="494"/>
      <c r="L3" s="494"/>
    </row>
    <row r="4" spans="2:12">
      <c r="B4" t="s">
        <v>728</v>
      </c>
      <c r="C4" s="116"/>
      <c r="D4" s="152"/>
      <c r="E4" s="293">
        <f>E3/D3-1</f>
        <v>1.4999999999999902E-2</v>
      </c>
      <c r="F4" s="492">
        <v>0.01</v>
      </c>
      <c r="G4" s="293"/>
      <c r="H4" s="293"/>
      <c r="I4" s="293"/>
      <c r="J4" s="293"/>
      <c r="K4" s="293"/>
      <c r="L4" s="293"/>
    </row>
    <row r="5" spans="2:12">
      <c r="B5" s="239" t="s">
        <v>367</v>
      </c>
      <c r="C5" s="262"/>
      <c r="D5" s="494">
        <f>Master!V7</f>
        <v>27155.555</v>
      </c>
      <c r="E5" s="494">
        <f>Master!W7</f>
        <v>29870.54</v>
      </c>
      <c r="F5" s="494">
        <f t="shared" ref="F5" si="1">(1+F6)*E5</f>
        <v>32558.888600000002</v>
      </c>
      <c r="G5" s="494"/>
      <c r="H5" s="494"/>
      <c r="I5" s="494"/>
      <c r="J5" s="494"/>
      <c r="K5" s="494"/>
      <c r="L5" s="494"/>
    </row>
    <row r="6" spans="2:12">
      <c r="B6" t="s">
        <v>728</v>
      </c>
      <c r="C6" s="116"/>
      <c r="D6" s="152"/>
      <c r="E6" s="293">
        <f>E5/D5-1</f>
        <v>9.9978991407098761E-2</v>
      </c>
      <c r="F6" s="492">
        <v>0.09</v>
      </c>
      <c r="G6" s="293"/>
      <c r="H6" s="293"/>
      <c r="I6" s="293"/>
      <c r="J6" s="293"/>
      <c r="K6" s="293"/>
      <c r="L6" s="293"/>
    </row>
    <row r="7" spans="2:12">
      <c r="B7" s="495" t="s">
        <v>2830</v>
      </c>
      <c r="C7" s="496"/>
      <c r="D7" s="497">
        <f t="shared" ref="D7:F7" si="2">D3+D5</f>
        <v>75567.35500000001</v>
      </c>
      <c r="E7" s="497">
        <f t="shared" si="2"/>
        <v>79008.516999999993</v>
      </c>
      <c r="F7" s="497">
        <f t="shared" si="2"/>
        <v>82188.245370000004</v>
      </c>
      <c r="G7" s="497">
        <f>(1+G8)*F7</f>
        <v>84653.892731100001</v>
      </c>
      <c r="H7" s="497">
        <f t="shared" ref="H7:L7" si="3">(1+H8)*G7</f>
        <v>87193.509513033001</v>
      </c>
      <c r="I7" s="497">
        <f t="shared" si="3"/>
        <v>89809.314798423991</v>
      </c>
      <c r="J7" s="497">
        <f t="shared" si="3"/>
        <v>92503.594242376712</v>
      </c>
      <c r="K7" s="497">
        <f t="shared" si="3"/>
        <v>95278.702069648018</v>
      </c>
      <c r="L7" s="497">
        <f t="shared" si="3"/>
        <v>98137.063131737465</v>
      </c>
    </row>
    <row r="8" spans="2:12">
      <c r="C8" s="116"/>
      <c r="D8" s="116"/>
      <c r="F8" s="23">
        <f>F7/E7-1</f>
        <v>4.0245387342228156E-2</v>
      </c>
      <c r="G8" s="493">
        <v>0.03</v>
      </c>
      <c r="H8" s="493">
        <v>0.03</v>
      </c>
      <c r="I8" s="493">
        <v>0.03</v>
      </c>
      <c r="J8" s="493">
        <v>0.03</v>
      </c>
      <c r="K8" s="493">
        <v>0.03</v>
      </c>
      <c r="L8" s="493">
        <v>0.03</v>
      </c>
    </row>
    <row r="9" spans="2:12">
      <c r="B9" s="495" t="s">
        <v>16</v>
      </c>
      <c r="C9" s="262"/>
      <c r="D9" s="262"/>
      <c r="E9" s="239"/>
      <c r="F9" s="239"/>
      <c r="G9" s="239"/>
      <c r="H9" s="239"/>
      <c r="I9" s="239"/>
      <c r="J9" s="239"/>
      <c r="K9" s="239"/>
      <c r="L9" s="239"/>
    </row>
    <row r="10" spans="2:12">
      <c r="B10" t="str">
        <f>B3</f>
        <v xml:space="preserve">Izzy </v>
      </c>
      <c r="C10" s="116"/>
      <c r="D10" s="152">
        <f>Analysis!E508</f>
        <v>19902.8</v>
      </c>
      <c r="E10" s="152">
        <f>Analysis!F508</f>
        <v>18746.138225499999</v>
      </c>
      <c r="F10" s="152">
        <f>Analysis!G508</f>
        <v>19164.4252547125</v>
      </c>
      <c r="G10" s="152">
        <f>Analysis!H508</f>
        <v>19591.910298994688</v>
      </c>
      <c r="H10" s="152">
        <f>Analysis!I508</f>
        <v>20077.642541486563</v>
      </c>
      <c r="I10" s="152"/>
      <c r="J10" s="152"/>
      <c r="K10" s="152"/>
      <c r="L10" s="152"/>
    </row>
    <row r="11" spans="2:12">
      <c r="B11" s="239" t="str">
        <f>B5</f>
        <v>MEGA</v>
      </c>
      <c r="C11" s="262"/>
      <c r="D11" s="494">
        <f>Master!W12</f>
        <v>13319.993</v>
      </c>
      <c r="E11" s="494">
        <f>Master!X12</f>
        <v>15052.832575733581</v>
      </c>
      <c r="F11" s="494">
        <f>Master!Y12</f>
        <v>16703.957652064935</v>
      </c>
      <c r="G11" s="494">
        <f>Master!Z12</f>
        <v>18327.740334193342</v>
      </c>
      <c r="H11" s="494">
        <f>Master!AA12</f>
        <v>19380.874705245034</v>
      </c>
      <c r="I11" s="494"/>
      <c r="J11" s="494"/>
      <c r="K11" s="494"/>
      <c r="L11" s="494"/>
    </row>
    <row r="12" spans="2:12">
      <c r="B12" s="54" t="s">
        <v>2831</v>
      </c>
      <c r="C12" s="116"/>
      <c r="D12" s="294">
        <f>D10+D11</f>
        <v>33222.792999999998</v>
      </c>
      <c r="E12" s="294">
        <f>E10+E11</f>
        <v>33798.970801233576</v>
      </c>
      <c r="F12" s="294">
        <f>F10+F11</f>
        <v>35868.382906777435</v>
      </c>
      <c r="G12" s="294">
        <f>G10+G11</f>
        <v>37919.65063318803</v>
      </c>
      <c r="H12" s="294">
        <f>H10+H11</f>
        <v>39458.517246731601</v>
      </c>
      <c r="I12" s="294"/>
      <c r="J12" s="294"/>
      <c r="K12" s="294"/>
      <c r="L12" s="294"/>
    </row>
    <row r="13" spans="2:12">
      <c r="B13" s="239" t="s">
        <v>2832</v>
      </c>
      <c r="C13" s="262"/>
      <c r="D13" s="262"/>
      <c r="E13" s="494"/>
      <c r="F13" s="494"/>
      <c r="G13" s="494">
        <f>2300/2</f>
        <v>1150</v>
      </c>
      <c r="H13" s="494">
        <f>2300</f>
        <v>2300</v>
      </c>
      <c r="I13" s="494"/>
      <c r="J13" s="494"/>
      <c r="K13" s="494"/>
      <c r="L13" s="494"/>
    </row>
    <row r="14" spans="2:12">
      <c r="B14" s="54" t="s">
        <v>2833</v>
      </c>
      <c r="C14" s="116"/>
      <c r="D14" s="294">
        <f>D12+D13</f>
        <v>33222.792999999998</v>
      </c>
      <c r="E14" s="294">
        <f>E12+E13</f>
        <v>33798.970801233576</v>
      </c>
      <c r="F14" s="294">
        <f>F12+F13</f>
        <v>35868.382906777435</v>
      </c>
      <c r="G14" s="294">
        <f>G12+G13</f>
        <v>39069.65063318803</v>
      </c>
      <c r="H14" s="294">
        <f>H12+H13</f>
        <v>41758.517246731601</v>
      </c>
      <c r="I14" s="294">
        <f>I15*I7</f>
        <v>43101.08207893197</v>
      </c>
      <c r="J14" s="294">
        <f>J15*J7</f>
        <v>44486.61813554231</v>
      </c>
      <c r="K14" s="294">
        <f>K15*K7</f>
        <v>45916.495381678229</v>
      </c>
      <c r="L14" s="294">
        <f>L15*L7</f>
        <v>47392.127306260314</v>
      </c>
    </row>
    <row r="15" spans="2:12">
      <c r="B15" s="239" t="s">
        <v>200</v>
      </c>
      <c r="C15" s="262"/>
      <c r="D15" s="498">
        <f>D14/D7</f>
        <v>0.4396447778276743</v>
      </c>
      <c r="E15" s="498">
        <f>E14/E7</f>
        <v>0.42778895345211426</v>
      </c>
      <c r="F15" s="498">
        <f>F14/F7</f>
        <v>0.43641743104872216</v>
      </c>
      <c r="G15" s="498">
        <f>G14/G7</f>
        <v>0.46152219788984011</v>
      </c>
      <c r="H15" s="498">
        <f>H14/H7</f>
        <v>0.47891772541269101</v>
      </c>
      <c r="I15" s="499">
        <f>H15+0.001</f>
        <v>0.47991772541269101</v>
      </c>
      <c r="J15" s="499">
        <f>I15+0.001</f>
        <v>0.48091772541269101</v>
      </c>
      <c r="K15" s="499">
        <f>J15+0.001</f>
        <v>0.48191772541269101</v>
      </c>
      <c r="L15" s="499">
        <f>K15+0.001</f>
        <v>0.48291772541269101</v>
      </c>
    </row>
    <row r="16" spans="2:12">
      <c r="C16" s="116"/>
      <c r="D16" s="116"/>
    </row>
    <row r="17" spans="2:12">
      <c r="B17" s="495" t="s">
        <v>22</v>
      </c>
      <c r="C17" s="262"/>
      <c r="D17" s="262"/>
      <c r="E17" s="239"/>
      <c r="F17" s="239"/>
      <c r="G17" s="239"/>
      <c r="H17" s="239"/>
      <c r="I17" s="239"/>
      <c r="J17" s="239"/>
      <c r="K17" s="239"/>
      <c r="L17" s="239"/>
    </row>
    <row r="18" spans="2:12">
      <c r="B18" t="str">
        <f>B3</f>
        <v xml:space="preserve">Izzy </v>
      </c>
      <c r="C18" s="116"/>
      <c r="D18" s="152">
        <f>Analysis!E509</f>
        <v>12989.048999999999</v>
      </c>
      <c r="E18" s="152">
        <f>Analysis!F509</f>
        <v>11056.044825000001</v>
      </c>
      <c r="F18" s="152"/>
      <c r="G18" s="152"/>
      <c r="H18" s="152"/>
      <c r="I18" s="152"/>
      <c r="J18" s="152"/>
      <c r="K18" s="152"/>
      <c r="L18" s="152"/>
    </row>
    <row r="19" spans="2:12">
      <c r="B19" s="239" t="s">
        <v>367</v>
      </c>
      <c r="C19" s="262"/>
      <c r="D19" s="494">
        <f>Master!V44</f>
        <v>11836</v>
      </c>
      <c r="E19" s="494">
        <f>Master!W44</f>
        <v>12949</v>
      </c>
      <c r="F19" s="494"/>
      <c r="G19" s="494"/>
      <c r="H19" s="494"/>
      <c r="I19" s="494"/>
      <c r="J19" s="494"/>
      <c r="K19" s="494"/>
      <c r="L19" s="494"/>
    </row>
    <row r="20" spans="2:12">
      <c r="B20" s="54" t="s">
        <v>551</v>
      </c>
      <c r="C20" s="292"/>
      <c r="D20" s="294">
        <f>D18+D19</f>
        <v>24825.048999999999</v>
      </c>
      <c r="E20" s="294">
        <f>E18+E19</f>
        <v>24005.044825000001</v>
      </c>
      <c r="F20" s="294">
        <f t="shared" ref="F20:L20" si="4">F21*F7</f>
        <v>20547.061342500001</v>
      </c>
      <c r="G20" s="294">
        <f t="shared" si="4"/>
        <v>19470.395328153001</v>
      </c>
      <c r="H20" s="294">
        <f t="shared" si="4"/>
        <v>19182.57209286726</v>
      </c>
      <c r="I20" s="294">
        <f t="shared" si="4"/>
        <v>19758.049255653277</v>
      </c>
      <c r="J20" s="294">
        <f t="shared" si="4"/>
        <v>20350.790733322876</v>
      </c>
      <c r="K20" s="294">
        <f t="shared" si="4"/>
        <v>20008.527434626081</v>
      </c>
      <c r="L20" s="294">
        <f t="shared" si="4"/>
        <v>19627.412626347494</v>
      </c>
    </row>
    <row r="21" spans="2:12">
      <c r="B21" s="239" t="s">
        <v>23</v>
      </c>
      <c r="C21" s="262"/>
      <c r="D21" s="498">
        <f>D20/D7</f>
        <v>0.32851552102094872</v>
      </c>
      <c r="E21" s="498">
        <f>E20/E7</f>
        <v>0.30382857110202438</v>
      </c>
      <c r="F21" s="500">
        <v>0.25</v>
      </c>
      <c r="G21" s="500">
        <v>0.23</v>
      </c>
      <c r="H21" s="500">
        <v>0.22</v>
      </c>
      <c r="I21" s="500">
        <v>0.22</v>
      </c>
      <c r="J21" s="500">
        <v>0.22</v>
      </c>
      <c r="K21" s="500">
        <v>0.21</v>
      </c>
      <c r="L21" s="500">
        <v>0.2</v>
      </c>
    </row>
    <row r="22" spans="2:12">
      <c r="C22" s="116"/>
      <c r="D22" s="116"/>
    </row>
    <row r="23" spans="2:12">
      <c r="B23" s="3"/>
      <c r="C23" s="115"/>
      <c r="D23" s="151">
        <f>D2</f>
        <v>2022</v>
      </c>
      <c r="E23" s="151">
        <f t="shared" ref="E23:L23" si="5">E2</f>
        <v>2023</v>
      </c>
      <c r="F23" s="151">
        <f t="shared" si="5"/>
        <v>2024</v>
      </c>
      <c r="G23" s="151">
        <f t="shared" si="5"/>
        <v>2025</v>
      </c>
      <c r="H23" s="151">
        <f t="shared" si="5"/>
        <v>2026</v>
      </c>
      <c r="I23" s="151">
        <f t="shared" si="5"/>
        <v>2027</v>
      </c>
      <c r="J23" s="151">
        <f t="shared" si="5"/>
        <v>2028</v>
      </c>
      <c r="K23" s="151">
        <f t="shared" si="5"/>
        <v>2029</v>
      </c>
      <c r="L23" s="151">
        <f t="shared" si="5"/>
        <v>2030</v>
      </c>
    </row>
    <row r="24" spans="2:12">
      <c r="B24" s="495" t="s">
        <v>24</v>
      </c>
      <c r="C24" s="262"/>
      <c r="D24" s="497">
        <f t="shared" ref="D24:L24" si="6">D14-D20</f>
        <v>8397.7439999999988</v>
      </c>
      <c r="E24" s="497">
        <f t="shared" si="6"/>
        <v>9793.9259762335751</v>
      </c>
      <c r="F24" s="497">
        <f t="shared" si="6"/>
        <v>15321.321564277434</v>
      </c>
      <c r="G24" s="497">
        <f t="shared" si="6"/>
        <v>19599.255305035029</v>
      </c>
      <c r="H24" s="497">
        <f t="shared" si="6"/>
        <v>22575.945153864341</v>
      </c>
      <c r="I24" s="497">
        <f t="shared" si="6"/>
        <v>23343.032823278692</v>
      </c>
      <c r="J24" s="497">
        <f t="shared" si="6"/>
        <v>24135.827402219435</v>
      </c>
      <c r="K24" s="497">
        <f t="shared" si="6"/>
        <v>25907.967947052148</v>
      </c>
      <c r="L24" s="497">
        <f t="shared" si="6"/>
        <v>27764.71467991282</v>
      </c>
    </row>
    <row r="25" spans="2:12">
      <c r="B25" t="s">
        <v>23</v>
      </c>
      <c r="C25" s="116"/>
      <c r="D25" s="87">
        <f t="shared" ref="D25:L25" si="7">D24/D7</f>
        <v>0.11112925680672557</v>
      </c>
      <c r="E25" s="87">
        <f t="shared" si="7"/>
        <v>0.12396038235008988</v>
      </c>
      <c r="F25" s="87">
        <f t="shared" si="7"/>
        <v>0.18641743104872216</v>
      </c>
      <c r="G25" s="87">
        <f t="shared" si="7"/>
        <v>0.23152219788984008</v>
      </c>
      <c r="H25" s="87">
        <f t="shared" si="7"/>
        <v>0.25891772541269104</v>
      </c>
      <c r="I25" s="87">
        <f t="shared" si="7"/>
        <v>0.25991772541269098</v>
      </c>
      <c r="J25" s="87">
        <f t="shared" si="7"/>
        <v>0.26091772541269104</v>
      </c>
      <c r="K25" s="87">
        <f t="shared" si="7"/>
        <v>0.27191772541269105</v>
      </c>
      <c r="L25" s="87">
        <f t="shared" si="7"/>
        <v>0.282917725412691</v>
      </c>
    </row>
    <row r="26" spans="2:12">
      <c r="B26" s="239"/>
      <c r="C26" s="262"/>
      <c r="D26" s="262"/>
      <c r="E26" s="239"/>
      <c r="F26" s="239"/>
      <c r="G26" s="239"/>
      <c r="H26" s="239"/>
      <c r="I26" s="239"/>
      <c r="J26" s="239"/>
      <c r="K26" s="239"/>
      <c r="L26" s="239"/>
    </row>
    <row r="27" spans="2:12">
      <c r="B27" t="s">
        <v>2858</v>
      </c>
      <c r="C27" s="116"/>
      <c r="D27" s="116"/>
      <c r="E27" s="507">
        <v>0.09</v>
      </c>
      <c r="F27" s="507">
        <v>0.09</v>
      </c>
      <c r="G27" s="507">
        <v>0.09</v>
      </c>
      <c r="H27" s="507">
        <v>0.09</v>
      </c>
      <c r="I27" s="507">
        <v>0.09</v>
      </c>
      <c r="J27" s="507">
        <v>0.09</v>
      </c>
      <c r="K27" s="507">
        <v>0.09</v>
      </c>
      <c r="L27" s="507">
        <v>0.09</v>
      </c>
    </row>
    <row r="28" spans="2:12">
      <c r="B28" s="239" t="s">
        <v>2859</v>
      </c>
      <c r="C28" s="262"/>
      <c r="D28" s="262"/>
      <c r="E28" s="494">
        <f t="shared" ref="E28:L28" si="8">E27*D41</f>
        <v>4299.6178799999998</v>
      </c>
      <c r="F28" s="494">
        <f t="shared" si="8"/>
        <v>4299.6178799999998</v>
      </c>
      <c r="G28" s="494">
        <f t="shared" si="8"/>
        <v>3817.5478539812239</v>
      </c>
      <c r="H28" s="494">
        <f t="shared" si="8"/>
        <v>3773.9723815801663</v>
      </c>
      <c r="I28" s="494">
        <f t="shared" si="8"/>
        <v>3718.6562162207215</v>
      </c>
      <c r="J28" s="494">
        <f t="shared" si="8"/>
        <v>3660.7737787254018</v>
      </c>
      <c r="K28" s="494">
        <f t="shared" si="8"/>
        <v>3600.2372235691532</v>
      </c>
      <c r="L28" s="494">
        <f t="shared" si="8"/>
        <v>3533.9545262358279</v>
      </c>
    </row>
    <row r="29" spans="2:12">
      <c r="B29" t="s">
        <v>2861</v>
      </c>
      <c r="C29" s="116"/>
      <c r="D29" s="116"/>
      <c r="E29" s="152">
        <f>1087</f>
        <v>1087</v>
      </c>
      <c r="F29" s="508">
        <f t="shared" ref="F29:L29" si="9">E29</f>
        <v>1087</v>
      </c>
      <c r="G29" s="508">
        <f t="shared" si="9"/>
        <v>1087</v>
      </c>
      <c r="H29" s="508">
        <f t="shared" si="9"/>
        <v>1087</v>
      </c>
      <c r="I29" s="508">
        <f t="shared" si="9"/>
        <v>1087</v>
      </c>
      <c r="J29" s="508">
        <f t="shared" si="9"/>
        <v>1087</v>
      </c>
      <c r="K29" s="508">
        <f t="shared" si="9"/>
        <v>1087</v>
      </c>
      <c r="L29" s="508">
        <f t="shared" si="9"/>
        <v>1087</v>
      </c>
    </row>
    <row r="30" spans="2:12">
      <c r="B30" s="239" t="s">
        <v>2860</v>
      </c>
      <c r="C30" s="262"/>
      <c r="D30" s="262"/>
      <c r="E30" s="494">
        <v>100</v>
      </c>
      <c r="F30" s="501">
        <f t="shared" ref="F30:L30" si="10">E30*1.05</f>
        <v>105</v>
      </c>
      <c r="G30" s="501">
        <f t="shared" si="10"/>
        <v>110.25</v>
      </c>
      <c r="H30" s="501">
        <f t="shared" si="10"/>
        <v>115.7625</v>
      </c>
      <c r="I30" s="501">
        <f t="shared" si="10"/>
        <v>121.55062500000001</v>
      </c>
      <c r="J30" s="501">
        <f t="shared" si="10"/>
        <v>127.62815625000002</v>
      </c>
      <c r="K30" s="501">
        <f t="shared" si="10"/>
        <v>134.00956406250003</v>
      </c>
      <c r="L30" s="501">
        <f t="shared" si="10"/>
        <v>140.71004226562505</v>
      </c>
    </row>
    <row r="31" spans="2:12">
      <c r="B31" t="s">
        <v>2862</v>
      </c>
      <c r="C31" s="116"/>
      <c r="D31" s="116"/>
      <c r="E31" s="152">
        <f t="shared" ref="E31:L31" si="11">D40/D39*E30</f>
        <v>33.27749192293885</v>
      </c>
      <c r="F31" s="152">
        <f t="shared" si="11"/>
        <v>34.941366519085797</v>
      </c>
      <c r="G31" s="152">
        <f t="shared" si="11"/>
        <v>36.688434845040085</v>
      </c>
      <c r="H31" s="152">
        <f t="shared" si="11"/>
        <v>38.52285658729209</v>
      </c>
      <c r="I31" s="152">
        <f t="shared" si="11"/>
        <v>40.448999416656697</v>
      </c>
      <c r="J31" s="152">
        <f t="shared" si="11"/>
        <v>42.471449387489535</v>
      </c>
      <c r="K31" s="152">
        <f t="shared" si="11"/>
        <v>44.595021856864015</v>
      </c>
      <c r="L31" s="152">
        <f t="shared" si="11"/>
        <v>46.824772949707217</v>
      </c>
    </row>
    <row r="32" spans="2:12">
      <c r="B32" s="239" t="s">
        <v>14</v>
      </c>
      <c r="C32" s="262"/>
      <c r="D32" s="262"/>
      <c r="E32" s="494">
        <f t="shared" ref="E32:L32" si="12">(E24-E29-E30-E31-E28)*0.3</f>
        <v>1282.2091812931906</v>
      </c>
      <c r="F32" s="494">
        <f t="shared" si="12"/>
        <v>2938.4286953275046</v>
      </c>
      <c r="G32" s="494">
        <f t="shared" si="12"/>
        <v>4364.3307048626293</v>
      </c>
      <c r="H32" s="494">
        <f t="shared" si="12"/>
        <v>5268.2062247090644</v>
      </c>
      <c r="I32" s="494">
        <f t="shared" si="12"/>
        <v>5512.613094792393</v>
      </c>
      <c r="J32" s="494">
        <f t="shared" si="12"/>
        <v>5765.3862053569628</v>
      </c>
      <c r="K32" s="494">
        <f t="shared" si="12"/>
        <v>6312.6378412690883</v>
      </c>
      <c r="L32" s="494">
        <f t="shared" si="12"/>
        <v>6886.8676015384963</v>
      </c>
    </row>
    <row r="33" spans="2:20">
      <c r="B33" t="s">
        <v>3060</v>
      </c>
      <c r="C33" s="116"/>
      <c r="D33" s="116"/>
      <c r="F33" s="22">
        <f>Analysis!H558</f>
        <v>1500</v>
      </c>
      <c r="G33" s="22">
        <f>Analysis!I558</f>
        <v>500</v>
      </c>
      <c r="H33" s="22">
        <f>Analysis!J558</f>
        <v>0</v>
      </c>
      <c r="I33" s="22">
        <f>Analysis!K558</f>
        <v>0</v>
      </c>
      <c r="J33" s="22">
        <f>Analysis!L558</f>
        <v>0</v>
      </c>
      <c r="K33" s="22">
        <f>Analysis!M558</f>
        <v>0</v>
      </c>
      <c r="L33" s="22">
        <f>Analysis!N558</f>
        <v>0</v>
      </c>
    </row>
    <row r="34" spans="2:20">
      <c r="B34" s="495" t="s">
        <v>325</v>
      </c>
      <c r="C34" s="496"/>
      <c r="D34" s="496"/>
      <c r="E34" s="502">
        <f>E24-E28-E29-E30-E31-E32-E33</f>
        <v>2991.8214230174463</v>
      </c>
      <c r="F34" s="502">
        <f t="shared" ref="F34:L34" si="13">F24-F28-F29-F30-F31-F32-F33</f>
        <v>5356.3336224308441</v>
      </c>
      <c r="G34" s="502">
        <f t="shared" si="13"/>
        <v>9683.4383113461336</v>
      </c>
      <c r="H34" s="502">
        <f t="shared" si="13"/>
        <v>12292.481190987815</v>
      </c>
      <c r="I34" s="502">
        <f t="shared" si="13"/>
        <v>12862.76388784892</v>
      </c>
      <c r="J34" s="502">
        <f t="shared" si="13"/>
        <v>13452.567812499581</v>
      </c>
      <c r="K34" s="502">
        <f t="shared" si="13"/>
        <v>14729.488296294539</v>
      </c>
      <c r="L34" s="502">
        <f t="shared" si="13"/>
        <v>16069.357736923164</v>
      </c>
    </row>
    <row r="35" spans="2:20">
      <c r="C35" s="116"/>
      <c r="D35" s="116"/>
    </row>
    <row r="36" spans="2:20">
      <c r="B36" s="495" t="s">
        <v>816</v>
      </c>
      <c r="C36" s="262"/>
      <c r="D36" s="262"/>
      <c r="E36" s="239"/>
      <c r="F36" s="502"/>
      <c r="G36" s="502">
        <f t="shared" ref="G36:L36" si="14">G34*0.95</f>
        <v>9199.2663957788263</v>
      </c>
      <c r="H36" s="502">
        <f t="shared" si="14"/>
        <v>11677.857131438424</v>
      </c>
      <c r="I36" s="502">
        <f t="shared" si="14"/>
        <v>12219.625693456474</v>
      </c>
      <c r="J36" s="502">
        <f t="shared" si="14"/>
        <v>12779.939421874602</v>
      </c>
      <c r="K36" s="502">
        <f t="shared" si="14"/>
        <v>13993.013881479812</v>
      </c>
      <c r="L36" s="502">
        <f t="shared" si="14"/>
        <v>15265.889850077005</v>
      </c>
    </row>
    <row r="37" spans="2:20">
      <c r="C37" s="116"/>
      <c r="D37" s="116"/>
      <c r="T37" t="s">
        <v>3059</v>
      </c>
    </row>
    <row r="38" spans="2:20">
      <c r="B38" s="495" t="s">
        <v>3064</v>
      </c>
      <c r="C38" s="262"/>
      <c r="D38" s="497">
        <f>E38</f>
        <v>58911.531999999999</v>
      </c>
      <c r="E38" s="497">
        <f>Analysis!V554</f>
        <v>58911.531999999999</v>
      </c>
      <c r="F38" s="502">
        <f t="shared" ref="F38:L38" si="15">E38-F34+F36</f>
        <v>53555.198377569155</v>
      </c>
      <c r="G38" s="502">
        <f t="shared" si="15"/>
        <v>53071.02646200185</v>
      </c>
      <c r="H38" s="502">
        <f t="shared" si="15"/>
        <v>52456.402402452462</v>
      </c>
      <c r="I38" s="502">
        <f t="shared" si="15"/>
        <v>51813.26420806002</v>
      </c>
      <c r="J38" s="502">
        <f t="shared" si="15"/>
        <v>51140.635817435039</v>
      </c>
      <c r="K38" s="502">
        <f t="shared" si="15"/>
        <v>50404.16140262031</v>
      </c>
      <c r="L38" s="502">
        <f t="shared" si="15"/>
        <v>49600.693515774154</v>
      </c>
    </row>
    <row r="39" spans="2:20" hidden="1" outlineLevel="1">
      <c r="B39" s="503" t="s">
        <v>2863</v>
      </c>
      <c r="C39" s="262"/>
      <c r="D39" s="494">
        <v>8357</v>
      </c>
      <c r="E39" s="504">
        <f t="shared" ref="E39:L40" si="16">D39</f>
        <v>8357</v>
      </c>
      <c r="F39" s="504">
        <f t="shared" si="16"/>
        <v>8357</v>
      </c>
      <c r="G39" s="504">
        <f t="shared" si="16"/>
        <v>8357</v>
      </c>
      <c r="H39" s="504">
        <f t="shared" si="16"/>
        <v>8357</v>
      </c>
      <c r="I39" s="504">
        <f t="shared" si="16"/>
        <v>8357</v>
      </c>
      <c r="J39" s="504">
        <f t="shared" si="16"/>
        <v>8357</v>
      </c>
      <c r="K39" s="504">
        <f t="shared" si="16"/>
        <v>8357</v>
      </c>
      <c r="L39" s="504">
        <f t="shared" si="16"/>
        <v>8357</v>
      </c>
    </row>
    <row r="40" spans="2:20" hidden="1" outlineLevel="1">
      <c r="B40" s="503" t="s">
        <v>2864</v>
      </c>
      <c r="C40" s="262"/>
      <c r="D40" s="494">
        <v>2781</v>
      </c>
      <c r="E40" s="504">
        <f t="shared" si="16"/>
        <v>2781</v>
      </c>
      <c r="F40" s="504">
        <f t="shared" si="16"/>
        <v>2781</v>
      </c>
      <c r="G40" s="504">
        <f t="shared" si="16"/>
        <v>2781</v>
      </c>
      <c r="H40" s="504">
        <f t="shared" si="16"/>
        <v>2781</v>
      </c>
      <c r="I40" s="504">
        <f t="shared" si="16"/>
        <v>2781</v>
      </c>
      <c r="J40" s="504">
        <f t="shared" si="16"/>
        <v>2781</v>
      </c>
      <c r="K40" s="504">
        <f t="shared" si="16"/>
        <v>2781</v>
      </c>
      <c r="L40" s="504">
        <f t="shared" si="16"/>
        <v>2781</v>
      </c>
    </row>
    <row r="41" spans="2:20" hidden="1" outlineLevel="1">
      <c r="B41" s="503" t="s">
        <v>2865</v>
      </c>
      <c r="C41" s="262"/>
      <c r="D41" s="494">
        <f>E41</f>
        <v>47773.531999999999</v>
      </c>
      <c r="E41" s="494">
        <f t="shared" ref="E41:L41" si="17">E38-E39-E40</f>
        <v>47773.531999999999</v>
      </c>
      <c r="F41" s="494">
        <f t="shared" si="17"/>
        <v>42417.198377569155</v>
      </c>
      <c r="G41" s="494">
        <f t="shared" si="17"/>
        <v>41933.02646200185</v>
      </c>
      <c r="H41" s="494">
        <f t="shared" si="17"/>
        <v>41318.402402452462</v>
      </c>
      <c r="I41" s="494">
        <f t="shared" si="17"/>
        <v>40675.26420806002</v>
      </c>
      <c r="J41" s="494">
        <f t="shared" si="17"/>
        <v>40002.635817435039</v>
      </c>
      <c r="K41" s="494">
        <f t="shared" si="17"/>
        <v>39266.16140262031</v>
      </c>
      <c r="L41" s="494">
        <f t="shared" si="17"/>
        <v>38462.693515774154</v>
      </c>
    </row>
    <row r="42" spans="2:20" collapsed="1">
      <c r="B42" s="509"/>
      <c r="C42" s="116"/>
      <c r="D42" s="510"/>
    </row>
    <row r="43" spans="2:20">
      <c r="B43" s="495" t="s">
        <v>1435</v>
      </c>
      <c r="C43" s="496"/>
      <c r="D43" s="506"/>
      <c r="E43" s="506">
        <f t="shared" ref="E43:L43" si="18">E38/E14</f>
        <v>1.742997807431754</v>
      </c>
      <c r="F43" s="506">
        <f t="shared" si="18"/>
        <v>1.493103230127772</v>
      </c>
      <c r="G43" s="506">
        <f t="shared" si="18"/>
        <v>1.3583696194334596</v>
      </c>
      <c r="H43" s="506">
        <f t="shared" si="18"/>
        <v>1.2561845070434865</v>
      </c>
      <c r="I43" s="506">
        <f t="shared" si="18"/>
        <v>1.2021337216818184</v>
      </c>
      <c r="J43" s="506">
        <f t="shared" si="18"/>
        <v>1.14957346637632</v>
      </c>
      <c r="K43" s="506">
        <f t="shared" si="18"/>
        <v>1.0977353777468994</v>
      </c>
      <c r="L43" s="506">
        <f t="shared" si="18"/>
        <v>1.0466019639768755</v>
      </c>
    </row>
    <row r="44" spans="2:20">
      <c r="C44" s="116"/>
      <c r="D44" s="116"/>
    </row>
    <row r="45" spans="2:20">
      <c r="B45" s="54" t="s">
        <v>2872</v>
      </c>
      <c r="C45" s="116"/>
      <c r="D45" s="116"/>
      <c r="E45" s="301">
        <f>15000/Valuation!M6</f>
        <v>0.34198215318256114</v>
      </c>
    </row>
    <row r="46" spans="2:20">
      <c r="B46" s="54"/>
      <c r="C46" s="116"/>
      <c r="D46" s="116"/>
      <c r="E46" s="301"/>
    </row>
    <row r="47" spans="2:20">
      <c r="B47" s="295" t="s">
        <v>2873</v>
      </c>
      <c r="C47" s="151"/>
      <c r="D47" s="151">
        <f t="shared" ref="D47:L47" si="19">D2</f>
        <v>2022</v>
      </c>
      <c r="E47" s="151">
        <f t="shared" si="19"/>
        <v>2023</v>
      </c>
      <c r="F47" s="151">
        <f t="shared" si="19"/>
        <v>2024</v>
      </c>
      <c r="G47" s="151">
        <f t="shared" si="19"/>
        <v>2025</v>
      </c>
      <c r="H47" s="151">
        <f t="shared" si="19"/>
        <v>2026</v>
      </c>
      <c r="I47" s="151">
        <f t="shared" si="19"/>
        <v>2027</v>
      </c>
      <c r="J47" s="151">
        <f t="shared" si="19"/>
        <v>2028</v>
      </c>
      <c r="K47" s="151">
        <f t="shared" si="19"/>
        <v>2029</v>
      </c>
      <c r="L47" s="151">
        <f t="shared" si="19"/>
        <v>2030</v>
      </c>
    </row>
    <row r="48" spans="2:20">
      <c r="B48" s="495" t="s">
        <v>283</v>
      </c>
      <c r="C48" s="262"/>
      <c r="D48" s="497"/>
      <c r="E48" s="497"/>
      <c r="F48" s="497"/>
      <c r="G48" s="497">
        <f t="shared" ref="G48:L48" si="20">G24*0.7</f>
        <v>13719.478713524519</v>
      </c>
      <c r="H48" s="497">
        <f t="shared" si="20"/>
        <v>15803.161607705037</v>
      </c>
      <c r="I48" s="497">
        <f t="shared" si="20"/>
        <v>16340.122976295084</v>
      </c>
      <c r="J48" s="497">
        <f t="shared" si="20"/>
        <v>16895.079181553603</v>
      </c>
      <c r="K48" s="497">
        <f t="shared" si="20"/>
        <v>18135.577562936502</v>
      </c>
      <c r="L48" s="497">
        <f t="shared" si="20"/>
        <v>19435.300275938975</v>
      </c>
    </row>
    <row r="49" spans="2:20">
      <c r="B49" s="54" t="s">
        <v>292</v>
      </c>
      <c r="D49" s="296">
        <f>Valuation!C109</f>
        <v>0.1168</v>
      </c>
      <c r="N49" s="296">
        <f>Valuation!C109</f>
        <v>0.1168</v>
      </c>
      <c r="R49" s="20" t="s">
        <v>367</v>
      </c>
      <c r="S49" s="20" t="s">
        <v>350</v>
      </c>
    </row>
    <row r="50" spans="2:20">
      <c r="B50" s="495" t="s">
        <v>2835</v>
      </c>
      <c r="C50" s="239"/>
      <c r="D50" s="512">
        <v>0.02</v>
      </c>
      <c r="E50" s="239"/>
      <c r="F50" s="239"/>
      <c r="G50" s="239"/>
      <c r="H50" s="239"/>
      <c r="I50" s="239"/>
      <c r="J50" s="239"/>
      <c r="K50" s="239"/>
      <c r="L50" s="239"/>
      <c r="N50" s="296">
        <f>Valuation!C76</f>
        <v>0.02</v>
      </c>
      <c r="P50" t="s">
        <v>2866</v>
      </c>
      <c r="R50" s="27">
        <v>4</v>
      </c>
      <c r="S50" s="27">
        <v>4</v>
      </c>
    </row>
    <row r="51" spans="2:20">
      <c r="B51" s="54" t="s">
        <v>295</v>
      </c>
      <c r="D51" s="298">
        <f>1/(D49-D50)</f>
        <v>10.330578512396695</v>
      </c>
      <c r="N51" s="298">
        <f>1/(N49-N50)</f>
        <v>10.330578512396695</v>
      </c>
      <c r="P51" t="s">
        <v>2868</v>
      </c>
      <c r="R51" s="22">
        <f>Analysis!T545</f>
        <v>12977.221</v>
      </c>
      <c r="S51" s="22">
        <f>Analysis!U545</f>
        <v>19179</v>
      </c>
    </row>
    <row r="52" spans="2:20">
      <c r="B52" s="239" t="s">
        <v>2834</v>
      </c>
      <c r="C52" s="239"/>
      <c r="D52" s="494">
        <f>NPV(D49,G48:L48)</f>
        <v>68002.59373428105</v>
      </c>
      <c r="E52" s="239"/>
      <c r="F52" s="239"/>
      <c r="G52" s="239"/>
      <c r="H52" s="239"/>
      <c r="I52" s="239"/>
      <c r="J52" s="239"/>
      <c r="K52" s="239"/>
      <c r="L52" s="239"/>
      <c r="N52" s="152">
        <f>NPV(N49,F48:L48)</f>
        <v>68002.59373428105</v>
      </c>
      <c r="P52" t="s">
        <v>1427</v>
      </c>
      <c r="R52" s="22">
        <f>R50*R51</f>
        <v>51908.883999999998</v>
      </c>
      <c r="S52" s="22">
        <f>S50*S51</f>
        <v>76716</v>
      </c>
    </row>
    <row r="53" spans="2:20">
      <c r="B53" t="s">
        <v>2837</v>
      </c>
      <c r="D53" s="152">
        <f>D51*L48</f>
        <v>200777.89541259271</v>
      </c>
      <c r="N53" s="152">
        <f>N51*L48</f>
        <v>200777.89541259271</v>
      </c>
      <c r="P53" t="s">
        <v>1426</v>
      </c>
      <c r="R53" s="22">
        <f>Analysis!T547</f>
        <v>18911.531999999999</v>
      </c>
      <c r="S53" s="22">
        <f>0.3*S51</f>
        <v>5753.7</v>
      </c>
      <c r="T53" s="22">
        <f>R53+S53</f>
        <v>24665.232</v>
      </c>
    </row>
    <row r="54" spans="2:20" ht="15.75" thickBot="1">
      <c r="B54" s="248" t="s">
        <v>2836</v>
      </c>
      <c r="C54" s="248"/>
      <c r="D54" s="513">
        <f>D53/(1+D49)^6</f>
        <v>103481.67883979458</v>
      </c>
      <c r="E54" s="239"/>
      <c r="F54" s="239"/>
      <c r="G54" s="239"/>
      <c r="H54" s="239"/>
      <c r="I54" s="239"/>
      <c r="J54" s="239"/>
      <c r="K54" s="239"/>
      <c r="L54" s="239"/>
      <c r="N54" s="159">
        <f>N53/(1+N49)^7</f>
        <v>92659.096382337564</v>
      </c>
      <c r="P54" t="s">
        <v>2825</v>
      </c>
      <c r="R54" s="22">
        <f>N58</f>
        <v>5020.5321598249429</v>
      </c>
      <c r="S54" s="22">
        <f>D59</f>
        <v>8636</v>
      </c>
    </row>
    <row r="55" spans="2:20" ht="15.75" thickBot="1">
      <c r="B55" t="s">
        <v>1427</v>
      </c>
      <c r="D55" s="152">
        <f>D52+D54</f>
        <v>171484.27257407561</v>
      </c>
      <c r="F55" s="22">
        <f>Valuation!C68</f>
        <v>71721.887997499172</v>
      </c>
      <c r="G55">
        <v>61657</v>
      </c>
      <c r="H55" s="22">
        <f>F55+G55</f>
        <v>133378.88799749917</v>
      </c>
      <c r="I55" s="518">
        <f>D55-H55</f>
        <v>38105.384576576442</v>
      </c>
      <c r="N55" s="152">
        <f>N52+N54</f>
        <v>160661.69011661861</v>
      </c>
      <c r="P55" t="s">
        <v>301</v>
      </c>
      <c r="R55" s="22">
        <f>R52-R53-R54</f>
        <v>27976.819840175056</v>
      </c>
      <c r="S55" s="22">
        <f>S52-S53-S54</f>
        <v>62326.3</v>
      </c>
      <c r="T55" s="22"/>
    </row>
    <row r="56" spans="2:20">
      <c r="B56" s="505" t="s">
        <v>2874</v>
      </c>
      <c r="C56" s="514"/>
      <c r="D56" s="514"/>
      <c r="E56" s="515">
        <f>$D$55/E14</f>
        <v>5.0736536796504135</v>
      </c>
      <c r="F56" s="515">
        <f>$D$55/F14</f>
        <v>4.7809312457650037</v>
      </c>
      <c r="G56" s="515">
        <f>$D$55/G14</f>
        <v>4.3891939086961509</v>
      </c>
      <c r="H56" s="515">
        <f>$D$55/H14</f>
        <v>4.1065699617842037</v>
      </c>
      <c r="I56" s="239"/>
      <c r="J56" s="239"/>
      <c r="K56" s="239"/>
      <c r="L56" s="239"/>
      <c r="N56" s="152"/>
      <c r="R56" s="22"/>
      <c r="S56" s="22"/>
      <c r="T56" s="22"/>
    </row>
    <row r="57" spans="2:20">
      <c r="B57" t="s">
        <v>3058</v>
      </c>
      <c r="D57" s="152">
        <f>F38</f>
        <v>53555.198377569155</v>
      </c>
      <c r="N57" s="152">
        <f>E38</f>
        <v>58911.531999999999</v>
      </c>
      <c r="P57" t="s">
        <v>2869</v>
      </c>
      <c r="R57" s="305">
        <f>R55/Valuation!O3</f>
        <v>32.621558958597575</v>
      </c>
      <c r="S57" s="23"/>
    </row>
    <row r="58" spans="2:20">
      <c r="B58" s="239" t="s">
        <v>2847</v>
      </c>
      <c r="C58" s="239"/>
      <c r="D58" s="494">
        <f>N58</f>
        <v>5020.5321598249429</v>
      </c>
      <c r="E58" s="239"/>
      <c r="F58" s="239"/>
      <c r="G58" s="239"/>
      <c r="H58" s="239"/>
      <c r="I58" s="239"/>
      <c r="J58" s="239"/>
      <c r="K58" s="239"/>
      <c r="L58" s="239"/>
      <c r="N58" s="152">
        <f>Valuation!C84</f>
        <v>5020.5321598249429</v>
      </c>
      <c r="R58" s="22"/>
      <c r="T58" s="22"/>
    </row>
    <row r="59" spans="2:20">
      <c r="B59" s="3" t="s">
        <v>2848</v>
      </c>
      <c r="C59" s="3"/>
      <c r="D59" s="159">
        <f>N59</f>
        <v>8636</v>
      </c>
      <c r="N59" s="491">
        <f>508*17</f>
        <v>8636</v>
      </c>
      <c r="P59" t="s">
        <v>2870</v>
      </c>
      <c r="R59" s="22">
        <v>58</v>
      </c>
      <c r="S59" s="22"/>
      <c r="T59" s="22"/>
    </row>
    <row r="60" spans="2:20">
      <c r="B60" s="495" t="s">
        <v>301</v>
      </c>
      <c r="C60" s="495"/>
      <c r="D60" s="497">
        <f>D55-D57-D58-D59</f>
        <v>104272.54203668152</v>
      </c>
      <c r="E60" s="239"/>
      <c r="F60" s="494"/>
      <c r="G60" s="239"/>
      <c r="H60" s="239"/>
      <c r="I60" s="239"/>
      <c r="J60" s="239"/>
      <c r="K60" s="239"/>
      <c r="L60" s="239"/>
      <c r="N60" s="152">
        <f>N55-N57-N58-N59</f>
        <v>88093.625956793665</v>
      </c>
      <c r="P60" t="s">
        <v>301</v>
      </c>
      <c r="R60" s="22">
        <f>R59*Valuation!O3</f>
        <v>49741.814999999995</v>
      </c>
    </row>
    <row r="61" spans="2:20">
      <c r="B61" t="s">
        <v>2838</v>
      </c>
      <c r="D61" s="152">
        <f>N61</f>
        <v>858.50049999999999</v>
      </c>
      <c r="N61" s="152">
        <f>Valuation!C90</f>
        <v>858.50049999999999</v>
      </c>
      <c r="P61" t="s">
        <v>2842</v>
      </c>
      <c r="R61" s="22">
        <f>R60-R55</f>
        <v>21764.995159824939</v>
      </c>
    </row>
    <row r="62" spans="2:20">
      <c r="B62" s="239" t="s">
        <v>2839</v>
      </c>
      <c r="C62" s="239"/>
      <c r="D62" s="494">
        <f>D60/D61</f>
        <v>121.45891823788283</v>
      </c>
      <c r="E62" s="239"/>
      <c r="F62" s="239"/>
      <c r="G62" s="239"/>
      <c r="H62" s="239"/>
      <c r="I62" s="239"/>
      <c r="J62" s="239"/>
      <c r="K62" s="239"/>
      <c r="L62" s="239"/>
      <c r="N62" s="152">
        <f>N60/N61</f>
        <v>102.61336592907479</v>
      </c>
    </row>
    <row r="63" spans="2:20">
      <c r="B63" t="s">
        <v>2840</v>
      </c>
      <c r="D63" s="116"/>
      <c r="N63" s="116"/>
    </row>
    <row r="64" spans="2:20">
      <c r="B64" s="239"/>
      <c r="C64" s="239"/>
      <c r="D64" s="516" t="s">
        <v>367</v>
      </c>
      <c r="E64" s="516"/>
      <c r="F64" s="239"/>
      <c r="G64" s="239"/>
      <c r="H64" s="239"/>
      <c r="I64" s="239"/>
      <c r="J64" s="239"/>
      <c r="K64" s="239"/>
      <c r="L64" s="239"/>
      <c r="N64" s="296">
        <f>D65</f>
        <v>0.52519085534397758</v>
      </c>
    </row>
    <row r="65" spans="2:14">
      <c r="B65" s="54" t="s">
        <v>3061</v>
      </c>
      <c r="D65" s="296">
        <f>Analysis!T550</f>
        <v>0.52519085534397758</v>
      </c>
      <c r="E65" s="296"/>
      <c r="N65" s="296">
        <f>E65</f>
        <v>0</v>
      </c>
    </row>
    <row r="66" spans="2:14">
      <c r="B66" s="495"/>
      <c r="C66" s="239"/>
      <c r="D66" s="239"/>
      <c r="E66" s="239"/>
      <c r="F66" s="239"/>
      <c r="G66" s="239"/>
      <c r="H66" s="239"/>
      <c r="I66" s="239"/>
      <c r="J66" s="239"/>
      <c r="K66" s="239"/>
      <c r="L66" s="239"/>
      <c r="N66" s="152">
        <f>N64*N60</f>
        <v>46265.96676660089</v>
      </c>
    </row>
    <row r="67" spans="2:14">
      <c r="B67" t="s">
        <v>2841</v>
      </c>
      <c r="D67" s="152">
        <f>D65*D60</f>
        <v>54762.985541135626</v>
      </c>
      <c r="E67" s="152"/>
      <c r="N67" s="159">
        <f>Analysis!V553</f>
        <v>15000</v>
      </c>
    </row>
    <row r="68" spans="2:14">
      <c r="B68" s="248" t="s">
        <v>2879</v>
      </c>
      <c r="C68" s="248"/>
      <c r="D68" s="513">
        <f>N67*0.9</f>
        <v>13500</v>
      </c>
      <c r="E68" s="239"/>
      <c r="F68" s="239"/>
      <c r="G68" s="239"/>
      <c r="H68" s="239"/>
      <c r="I68" s="239"/>
      <c r="J68" s="239"/>
      <c r="K68" s="239"/>
      <c r="L68" s="239"/>
      <c r="N68" s="152">
        <f>N66+N67</f>
        <v>61265.96676660089</v>
      </c>
    </row>
    <row r="69" spans="2:14">
      <c r="B69" t="s">
        <v>2854</v>
      </c>
      <c r="D69" s="152">
        <f>D67+D68</f>
        <v>68262.985541135626</v>
      </c>
      <c r="E69" s="152"/>
      <c r="N69" s="299">
        <f>N68/Valuation!O3</f>
        <v>71.437402765919416</v>
      </c>
    </row>
    <row r="70" spans="2:14" ht="15.75" thickBot="1">
      <c r="B70" s="495" t="s">
        <v>2846</v>
      </c>
      <c r="C70" s="239"/>
      <c r="D70" s="497">
        <f>D69/Valuation!P3</f>
        <v>79.514205921994957</v>
      </c>
      <c r="E70" s="239"/>
      <c r="F70" s="239"/>
      <c r="G70" s="239"/>
      <c r="H70" s="239"/>
      <c r="I70" s="239"/>
      <c r="J70" s="239"/>
      <c r="K70" s="239"/>
      <c r="L70" s="239"/>
      <c r="N70" s="296">
        <f>N69/Valuation!C3-1</f>
        <v>0.40073338756704735</v>
      </c>
    </row>
    <row r="71" spans="2:14" ht="15.75" thickBot="1">
      <c r="B71" s="264" t="s">
        <v>2842</v>
      </c>
      <c r="C71" s="309"/>
      <c r="D71" s="511">
        <f>D70/Valuation!C3-1</f>
        <v>0.55910207690186198</v>
      </c>
      <c r="E71" s="22"/>
    </row>
    <row r="72" spans="2:14">
      <c r="B72" s="54"/>
      <c r="C72" s="296"/>
      <c r="D72" s="299"/>
      <c r="N72" s="152">
        <f ca="1">Valuation!C88</f>
        <v>47342.329709554237</v>
      </c>
    </row>
    <row r="73" spans="2:14">
      <c r="B73" t="s">
        <v>3062</v>
      </c>
      <c r="C73" s="296"/>
      <c r="D73" s="152">
        <f>D60-D67</f>
        <v>49509.556495545898</v>
      </c>
      <c r="E73" s="152"/>
      <c r="F73" s="22">
        <f ca="1">D69-Valuation!C88-Valuation!C87</f>
        <v>18302.22930658139</v>
      </c>
      <c r="G73" s="519">
        <v>17700</v>
      </c>
      <c r="H73" s="22">
        <f ca="1">F73+G73</f>
        <v>36002.229306581386</v>
      </c>
      <c r="N73" s="152">
        <f ca="1">N68-N72</f>
        <v>13923.637057046653</v>
      </c>
    </row>
    <row r="74" spans="2:14">
      <c r="B74" t="s">
        <v>608</v>
      </c>
      <c r="C74" s="296"/>
      <c r="D74" s="152">
        <v>17.2</v>
      </c>
      <c r="F74" s="23">
        <f ca="1">F73/H73</f>
        <v>0.50836377799626009</v>
      </c>
      <c r="G74" s="23">
        <f ca="1">100%-F74</f>
        <v>0.49163622200373991</v>
      </c>
      <c r="N74" s="152">
        <f ca="1">N69-Valuation!C92</f>
        <v>16.292030445746931</v>
      </c>
    </row>
    <row r="75" spans="2:14">
      <c r="B75" t="s">
        <v>3063</v>
      </c>
      <c r="C75" s="296"/>
      <c r="D75" s="152">
        <f>D73/D74</f>
        <v>2878.4625869503429</v>
      </c>
      <c r="N75" s="300">
        <v>0.5</v>
      </c>
    </row>
    <row r="76" spans="2:14">
      <c r="B76" s="54"/>
      <c r="C76" s="296"/>
      <c r="D76" s="296"/>
      <c r="N76" s="299">
        <f ca="1">N74*N75</f>
        <v>8.1460152228734657</v>
      </c>
    </row>
    <row r="77" spans="2:14">
      <c r="C77" s="296"/>
      <c r="D77" s="152"/>
      <c r="N77" s="299"/>
    </row>
    <row r="78" spans="2:14">
      <c r="C78" s="296"/>
      <c r="D78" s="296"/>
      <c r="N78" s="299"/>
    </row>
    <row r="79" spans="2:14">
      <c r="B79" s="54"/>
      <c r="C79" s="296"/>
      <c r="D79" s="296"/>
      <c r="N79" s="299"/>
    </row>
    <row r="80" spans="2:14">
      <c r="C80" s="116"/>
      <c r="D80" s="116"/>
    </row>
    <row r="81" spans="2:14">
      <c r="C81" s="116"/>
      <c r="D81" s="116"/>
    </row>
    <row r="82" spans="2:14">
      <c r="B82" s="54" t="s">
        <v>2878</v>
      </c>
      <c r="C82" s="116"/>
      <c r="D82" s="294">
        <f>D60</f>
        <v>104272.54203668152</v>
      </c>
    </row>
    <row r="83" spans="2:14">
      <c r="C83" s="116"/>
      <c r="D83" s="116"/>
    </row>
    <row r="84" spans="2:14">
      <c r="B84" t="s">
        <v>2875</v>
      </c>
      <c r="D84" s="152">
        <f>E65*D60</f>
        <v>0</v>
      </c>
      <c r="N84" s="152">
        <f>N65*N60</f>
        <v>0</v>
      </c>
    </row>
    <row r="85" spans="2:14">
      <c r="B85" s="3" t="s">
        <v>2850</v>
      </c>
      <c r="C85" s="3"/>
      <c r="D85" s="159">
        <f>N85</f>
        <v>25000</v>
      </c>
      <c r="N85" s="159">
        <f>Analysis!U547</f>
        <v>25000</v>
      </c>
    </row>
    <row r="86" spans="2:14">
      <c r="B86" s="54" t="s">
        <v>2877</v>
      </c>
      <c r="C86" s="54"/>
      <c r="D86" s="294">
        <f>D84+D85</f>
        <v>25000</v>
      </c>
      <c r="N86" s="152">
        <f>N84+N85</f>
        <v>25000</v>
      </c>
    </row>
    <row r="87" spans="2:14">
      <c r="D87" s="152"/>
      <c r="N87" s="152"/>
    </row>
    <row r="88" spans="2:14">
      <c r="B88" t="s">
        <v>2845</v>
      </c>
      <c r="D88" s="152">
        <f>N88</f>
        <v>101040</v>
      </c>
      <c r="N88" s="152">
        <f>5052*20</f>
        <v>101040</v>
      </c>
    </row>
    <row r="89" spans="2:14">
      <c r="B89" t="s">
        <v>2849</v>
      </c>
      <c r="D89" s="152">
        <f>N89</f>
        <v>8636</v>
      </c>
      <c r="N89" s="152">
        <f>N59</f>
        <v>8636</v>
      </c>
    </row>
    <row r="90" spans="2:14">
      <c r="B90" s="3" t="s">
        <v>1426</v>
      </c>
      <c r="C90" s="3"/>
      <c r="D90" s="159">
        <f>N90</f>
        <v>15148</v>
      </c>
      <c r="N90" s="159">
        <v>15148</v>
      </c>
    </row>
    <row r="91" spans="2:14">
      <c r="B91" s="54" t="s">
        <v>2876</v>
      </c>
      <c r="C91" s="54"/>
      <c r="D91" s="294">
        <f>N91</f>
        <v>77256</v>
      </c>
      <c r="N91" s="152">
        <f>N88-N89-N90</f>
        <v>77256</v>
      </c>
    </row>
    <row r="92" spans="2:14">
      <c r="B92" t="s">
        <v>2851</v>
      </c>
      <c r="D92" s="152">
        <f>D86-D91</f>
        <v>-52256</v>
      </c>
      <c r="F92" s="22"/>
      <c r="G92" s="22"/>
      <c r="N92" s="152">
        <f>N86-N91</f>
        <v>-52256</v>
      </c>
    </row>
    <row r="93" spans="2:14">
      <c r="B93" t="s">
        <v>2852</v>
      </c>
      <c r="D93" s="152">
        <f>D92/19</f>
        <v>-2750.3157894736842</v>
      </c>
      <c r="N93" s="152">
        <f>N92/19</f>
        <v>-2750.3157894736842</v>
      </c>
    </row>
    <row r="94" spans="2:14" ht="15.75" thickBot="1">
      <c r="B94" t="s">
        <v>2838</v>
      </c>
      <c r="D94" s="152">
        <v>573</v>
      </c>
      <c r="N94" s="152">
        <v>573</v>
      </c>
    </row>
    <row r="95" spans="2:14" ht="15.75" thickBot="1">
      <c r="B95" s="264" t="s">
        <v>2853</v>
      </c>
      <c r="C95" s="310"/>
      <c r="D95" s="311">
        <f>D93/D94</f>
        <v>-4.7998530357306883</v>
      </c>
      <c r="N95" s="297">
        <f>N93/N94</f>
        <v>-4.7998530357306883</v>
      </c>
    </row>
    <row r="96" spans="2:14" ht="15.75" thickBot="1">
      <c r="B96" t="s">
        <v>2855</v>
      </c>
      <c r="D96" s="293">
        <v>0.5</v>
      </c>
      <c r="N96" s="293">
        <v>0.5</v>
      </c>
    </row>
    <row r="97" spans="2:14" ht="15.75" thickBot="1">
      <c r="B97" s="264" t="s">
        <v>2856</v>
      </c>
      <c r="C97" s="310"/>
      <c r="D97" s="311">
        <f>D95*D96</f>
        <v>-2.3999265178653442</v>
      </c>
      <c r="N97" s="297">
        <f>N95*N96</f>
        <v>-2.3999265178653442</v>
      </c>
    </row>
    <row r="98" spans="2:14">
      <c r="C98" s="152"/>
      <c r="D98" s="152"/>
    </row>
    <row r="100" spans="2:14">
      <c r="C100" s="116"/>
      <c r="D100" s="116"/>
    </row>
    <row r="101" spans="2:14">
      <c r="C101" s="116"/>
      <c r="D101" s="116"/>
    </row>
    <row r="102" spans="2:14">
      <c r="B102" t="s">
        <v>2843</v>
      </c>
      <c r="C102" s="152">
        <v>40</v>
      </c>
      <c r="D102" s="116"/>
    </row>
    <row r="103" spans="2:14">
      <c r="B103" t="s">
        <v>301</v>
      </c>
      <c r="C103" s="152">
        <f>C102*N61</f>
        <v>34340.019999999997</v>
      </c>
      <c r="D103" s="116"/>
    </row>
    <row r="104" spans="2:14">
      <c r="B104" t="s">
        <v>310</v>
      </c>
      <c r="C104" s="152">
        <f>Valuation!C3</f>
        <v>51</v>
      </c>
      <c r="D104" s="116"/>
    </row>
    <row r="105" spans="2:14">
      <c r="B105" t="s">
        <v>301</v>
      </c>
      <c r="C105" s="152">
        <f>C104*N61</f>
        <v>43783.525499999996</v>
      </c>
      <c r="D105" s="116"/>
    </row>
    <row r="106" spans="2:14">
      <c r="B106" t="s">
        <v>301</v>
      </c>
      <c r="C106" s="152">
        <f>C105-C103</f>
        <v>9443.5054999999993</v>
      </c>
      <c r="D106" s="116"/>
    </row>
    <row r="107" spans="2:14">
      <c r="C107" s="152">
        <f>C106/0.45</f>
        <v>20985.567777777775</v>
      </c>
      <c r="D107" s="11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5"/>
  <sheetViews>
    <sheetView workbookViewId="0">
      <selection activeCell="M1" sqref="M1"/>
    </sheetView>
  </sheetViews>
  <sheetFormatPr defaultRowHeight="15"/>
  <cols>
    <col min="1" max="1" width="35" customWidth="1"/>
  </cols>
  <sheetData>
    <row r="1" spans="1:11">
      <c r="A1" t="s">
        <v>1214</v>
      </c>
    </row>
    <row r="3" spans="1:11" ht="15.75">
      <c r="A3" s="62"/>
      <c r="B3" s="63" t="str">
        <f>+[23]LiLAC!B33</f>
        <v>2016A</v>
      </c>
      <c r="C3" s="63" t="str">
        <f>+[23]LiLAC!C33</f>
        <v>2017E</v>
      </c>
      <c r="D3" s="63" t="str">
        <f>+[23]LiLAC!D33</f>
        <v>2018E</v>
      </c>
      <c r="E3" s="63" t="str">
        <f>+[23]LiLAC!E33</f>
        <v>2019E</v>
      </c>
      <c r="F3" s="63" t="str">
        <f>+[23]LiLAC!F33</f>
        <v>2020E</v>
      </c>
      <c r="G3" s="63" t="str">
        <f>+[23]LiLAC!G33</f>
        <v>2021E</v>
      </c>
      <c r="H3" s="63" t="str">
        <f>+[23]LiLAC!H33</f>
        <v>2022E</v>
      </c>
      <c r="I3" s="63" t="str">
        <f>+[23]LiLAC!I33</f>
        <v>2023E</v>
      </c>
      <c r="J3" s="63" t="str">
        <f>+[23]LiLAC!J33</f>
        <v>2024E</v>
      </c>
      <c r="K3" s="63" t="str">
        <f>+[23]LiLAC!K33</f>
        <v>2025E</v>
      </c>
    </row>
    <row r="4" spans="1:11" ht="15.75">
      <c r="A4" s="64" t="s">
        <v>1215</v>
      </c>
      <c r="B4" s="65">
        <f>+Fixed!K3</f>
        <v>7868</v>
      </c>
      <c r="C4" s="65">
        <f>+Fixed!L3</f>
        <v>8135</v>
      </c>
      <c r="D4" s="65">
        <f>+Fixed!M3</f>
        <v>8428</v>
      </c>
      <c r="E4" s="65">
        <f>+Fixed!N3</f>
        <v>8836.6749999999993</v>
      </c>
      <c r="F4" s="65">
        <f>+Fixed!O3</f>
        <v>8955</v>
      </c>
      <c r="G4" s="65">
        <f>+Fixed!P3</f>
        <v>9568.6</v>
      </c>
      <c r="H4" s="65">
        <f>+Fixed!Q3</f>
        <v>11560.218000000001</v>
      </c>
      <c r="I4" s="65">
        <f>+Fixed!R3</f>
        <v>15437.906999999999</v>
      </c>
      <c r="J4" s="65">
        <f>+Fixed!S3</f>
        <v>16937.906999999999</v>
      </c>
      <c r="K4" s="65">
        <f>+Fixed!T3</f>
        <v>17937.906999999999</v>
      </c>
    </row>
    <row r="5" spans="1:11" ht="15.75">
      <c r="A5" s="64" t="s">
        <v>1216</v>
      </c>
      <c r="B5" s="65">
        <f>+Fixed!K42</f>
        <v>3303</v>
      </c>
      <c r="C5" s="65">
        <f>+Fixed!L42</f>
        <v>3405</v>
      </c>
      <c r="D5" s="65">
        <f>+Fixed!M42</f>
        <v>3593</v>
      </c>
      <c r="E5" s="65">
        <f>+Fixed!N42</f>
        <v>3628</v>
      </c>
      <c r="F5" s="65">
        <f>+Fixed!O42</f>
        <v>3933</v>
      </c>
      <c r="G5" s="65">
        <f>+Fixed!P42</f>
        <v>4153.0469999999996</v>
      </c>
      <c r="H5" s="65">
        <f>+Fixed!Q42</f>
        <v>4397.9939999999997</v>
      </c>
      <c r="I5" s="65">
        <f>+Fixed!R42</f>
        <v>4945.826</v>
      </c>
      <c r="J5" s="65">
        <f>+Fixed!S42</f>
        <v>5566.5464285714288</v>
      </c>
      <c r="K5" s="65">
        <f>+Fixed!T42</f>
        <v>5963.3718253968254</v>
      </c>
    </row>
    <row r="6" spans="1:11" ht="15.75">
      <c r="A6" s="64" t="s">
        <v>231</v>
      </c>
      <c r="B6" s="65">
        <f>+Fixed!K12</f>
        <v>2971</v>
      </c>
      <c r="C6" s="65">
        <f>+Fixed!L12</f>
        <v>3040</v>
      </c>
      <c r="D6" s="65">
        <f>+Fixed!M12</f>
        <v>3202</v>
      </c>
      <c r="E6" s="65">
        <f>+Fixed!N12</f>
        <v>3224.7979999999998</v>
      </c>
      <c r="F6" s="65">
        <f>+Fixed!O12</f>
        <v>3413</v>
      </c>
      <c r="G6" s="65">
        <f>+Fixed!P12</f>
        <v>3539.82</v>
      </c>
      <c r="H6" s="65">
        <f>+Fixed!Q12</f>
        <v>3675.6149999999998</v>
      </c>
      <c r="I6" s="65">
        <f>+Fixed!R12</f>
        <v>3914.09</v>
      </c>
      <c r="J6" s="65">
        <f>+Fixed!S12</f>
        <v>4064.09</v>
      </c>
      <c r="K6" s="65">
        <f>+Fixed!T12</f>
        <v>4214.09</v>
      </c>
    </row>
    <row r="7" spans="1:11" ht="15.75">
      <c r="A7" s="64" t="s">
        <v>1121</v>
      </c>
      <c r="B7" s="65">
        <f>+Fixed!K21</f>
        <v>2228</v>
      </c>
      <c r="C7" s="65">
        <f>+Fixed!L21</f>
        <v>2625</v>
      </c>
      <c r="D7" s="65">
        <f>+Fixed!M21</f>
        <v>2942</v>
      </c>
      <c r="E7" s="65">
        <f>+Fixed!N21</f>
        <v>3097.6280000000002</v>
      </c>
      <c r="F7" s="65">
        <f>+Fixed!O21</f>
        <v>3510</v>
      </c>
      <c r="G7" s="65">
        <f>+Fixed!P21</f>
        <v>3833.893</v>
      </c>
      <c r="H7" s="65">
        <f>+Fixed!Q21</f>
        <v>4137.8599999999997</v>
      </c>
      <c r="I7" s="65">
        <f>+Fixed!R21</f>
        <v>4721.5519999999997</v>
      </c>
      <c r="J7" s="65">
        <f>+Fixed!S21</f>
        <v>5281.5519999999997</v>
      </c>
      <c r="K7" s="65">
        <f>+Fixed!T21</f>
        <v>5731.5519999999997</v>
      </c>
    </row>
    <row r="8" spans="1:11" ht="15.75">
      <c r="A8" s="64" t="s">
        <v>1217</v>
      </c>
      <c r="B8" s="65">
        <f>+Fixed!K30</f>
        <v>1176</v>
      </c>
      <c r="C8" s="65">
        <f>+Fixed!L30</f>
        <v>1467</v>
      </c>
      <c r="D8" s="65">
        <f>+Fixed!M30</f>
        <v>1813</v>
      </c>
      <c r="E8" s="65">
        <f>+Fixed!N30</f>
        <v>2130.538</v>
      </c>
      <c r="F8" s="65">
        <f>+Fixed!O30</f>
        <v>2627</v>
      </c>
      <c r="G8" s="65">
        <f>+Fixed!P30</f>
        <v>3031.1190000000001</v>
      </c>
      <c r="H8" s="65">
        <f>+Fixed!Q30</f>
        <v>3404.125</v>
      </c>
      <c r="I8" s="65">
        <f>+Fixed!R30</f>
        <v>4082.0549999999998</v>
      </c>
      <c r="J8" s="65">
        <f>+Fixed!S30</f>
        <v>4682.0550000000003</v>
      </c>
      <c r="K8" s="65">
        <f>+Fixed!T30</f>
        <v>5082.0550000000003</v>
      </c>
    </row>
    <row r="9" spans="1:11" ht="15.75">
      <c r="A9" s="64" t="s">
        <v>279</v>
      </c>
      <c r="B9" s="65">
        <f>+Mobile!G9</f>
        <v>0</v>
      </c>
      <c r="C9" s="65">
        <f>+Mobile!H9</f>
        <v>0</v>
      </c>
      <c r="D9" s="65">
        <f>+Mobile!I9</f>
        <v>0</v>
      </c>
      <c r="E9" s="65">
        <f>+Mobile!J9</f>
        <v>0</v>
      </c>
      <c r="F9" s="65">
        <f>+Mobile!K9</f>
        <v>174.4</v>
      </c>
      <c r="G9" s="65">
        <f>+Mobile!L9</f>
        <v>428.3</v>
      </c>
      <c r="H9" s="65">
        <f>+Mobile!M9</f>
        <v>356.76900000000001</v>
      </c>
      <c r="I9" s="65">
        <f>+Mobile!N9</f>
        <v>433.38799999999998</v>
      </c>
      <c r="J9" s="65">
        <f>+Mobile!O9</f>
        <v>491.40219130584109</v>
      </c>
      <c r="K9" s="65">
        <f>+Mobile!P9</f>
        <v>931.21787634001646</v>
      </c>
    </row>
    <row r="10" spans="1:11" ht="15.75">
      <c r="A10" s="64"/>
      <c r="B10" s="65"/>
      <c r="C10" s="65"/>
      <c r="D10" s="65"/>
      <c r="E10" s="65"/>
      <c r="F10" s="65"/>
      <c r="G10" s="65"/>
      <c r="H10" s="65"/>
      <c r="I10" s="65"/>
      <c r="J10" s="65"/>
      <c r="K10" s="65"/>
    </row>
    <row r="11" spans="1:11" ht="15.75">
      <c r="A11" s="64" t="s">
        <v>1218</v>
      </c>
      <c r="B11" s="65"/>
      <c r="C11" s="65"/>
      <c r="D11" s="65"/>
      <c r="E11" s="65"/>
      <c r="F11" s="65"/>
      <c r="G11" s="65"/>
      <c r="H11" s="65"/>
      <c r="I11" s="65"/>
      <c r="J11" s="65"/>
      <c r="K11" s="65"/>
    </row>
    <row r="12" spans="1:11" ht="15.75">
      <c r="A12" s="64" t="s">
        <v>231</v>
      </c>
      <c r="B12" s="65">
        <f>+Fixed!K50</f>
        <v>7775.6624948499993</v>
      </c>
      <c r="C12" s="65">
        <f>+Fixed!L50</f>
        <v>7490.3016378000002</v>
      </c>
      <c r="D12" s="65">
        <f>+Fixed!M50</f>
        <v>8128.7349387000004</v>
      </c>
      <c r="E12" s="65">
        <f>+Fixed!N50</f>
        <v>8966.2410969499997</v>
      </c>
      <c r="F12" s="65">
        <f>+Fixed!O50</f>
        <v>9245.9353932000013</v>
      </c>
      <c r="G12" s="65">
        <f>+Fixed!P50</f>
        <v>9480.2566471499995</v>
      </c>
      <c r="H12" s="65">
        <f>+Fixed!Q50</f>
        <v>9876.7625811000016</v>
      </c>
      <c r="I12" s="65">
        <f>+Fixed!R50</f>
        <v>10778.534942549999</v>
      </c>
      <c r="J12" s="65">
        <f>+Fixed!S50</f>
        <v>11386.879643871973</v>
      </c>
      <c r="K12" s="65">
        <f>+Fixed!T50</f>
        <v>11815.055480110512</v>
      </c>
    </row>
    <row r="13" spans="1:11" ht="15.75">
      <c r="A13" s="64" t="s">
        <v>1121</v>
      </c>
      <c r="B13" s="65">
        <f>+Fixed!K51</f>
        <v>4457.5604041000006</v>
      </c>
      <c r="C13" s="65">
        <f>+Fixed!L51</f>
        <v>5137.1891435999996</v>
      </c>
      <c r="D13" s="65">
        <f>+Fixed!M51</f>
        <v>6056.1526047000007</v>
      </c>
      <c r="E13" s="65">
        <f>+Fixed!N51</f>
        <v>6617.4883136999997</v>
      </c>
      <c r="F13" s="65">
        <f>+Fixed!O51</f>
        <v>7178.6430369</v>
      </c>
      <c r="G13" s="65">
        <f>+Fixed!P51</f>
        <v>8202.1739376000005</v>
      </c>
      <c r="H13" s="65">
        <f>+Fixed!Q51</f>
        <v>8988.8520795000004</v>
      </c>
      <c r="I13" s="65">
        <f>+Fixed!R51</f>
        <v>10278.634920150002</v>
      </c>
      <c r="J13" s="65">
        <f>+Fixed!S51</f>
        <v>12185.816258291947</v>
      </c>
      <c r="K13" s="65">
        <f>+Fixed!T51</f>
        <v>13550.363806597899</v>
      </c>
    </row>
    <row r="14" spans="1:11" ht="15.75">
      <c r="A14" s="64" t="s">
        <v>1219</v>
      </c>
      <c r="B14" s="65">
        <f>+Fixed!K52</f>
        <v>1641.2073165000002</v>
      </c>
      <c r="C14" s="65">
        <f>+Fixed!L52</f>
        <v>1641.2073165000002</v>
      </c>
      <c r="D14" s="65">
        <f>+Fixed!M52</f>
        <v>1656.3104122499999</v>
      </c>
      <c r="E14" s="65">
        <f>+Fixed!N52</f>
        <v>1595.4044411499999</v>
      </c>
      <c r="F14" s="65">
        <f>+Fixed!O52</f>
        <v>1832.6767752000001</v>
      </c>
      <c r="G14" s="65">
        <f>+Fixed!P52</f>
        <v>2337.3784965</v>
      </c>
      <c r="H14" s="65">
        <f>+Fixed!Q52</f>
        <v>2459.61045375</v>
      </c>
      <c r="I14" s="65">
        <f>+Fixed!R52</f>
        <v>2556.1935830999996</v>
      </c>
      <c r="J14" s="65">
        <f>+Fixed!S52</f>
        <v>2820.4775924872956</v>
      </c>
      <c r="K14" s="65">
        <f>+Fixed!T52</f>
        <v>3079.4529503017993</v>
      </c>
    </row>
    <row r="15" spans="1:11" ht="15.75">
      <c r="A15" s="64" t="s">
        <v>1220</v>
      </c>
      <c r="B15" s="66">
        <f>SUM(B12:B14)</f>
        <v>13874.43021545</v>
      </c>
      <c r="C15" s="66">
        <f t="shared" ref="C15:K15" si="0">SUM(C12:C14)</f>
        <v>14268.6980979</v>
      </c>
      <c r="D15" s="66">
        <f t="shared" si="0"/>
        <v>15841.197955650001</v>
      </c>
      <c r="E15" s="66">
        <f t="shared" si="0"/>
        <v>17179.133851799998</v>
      </c>
      <c r="F15" s="66">
        <f t="shared" si="0"/>
        <v>18257.255205300004</v>
      </c>
      <c r="G15" s="66">
        <f t="shared" si="0"/>
        <v>20019.809081250001</v>
      </c>
      <c r="H15" s="66">
        <f t="shared" si="0"/>
        <v>21325.225114350003</v>
      </c>
      <c r="I15" s="66">
        <f t="shared" si="0"/>
        <v>23613.363445800002</v>
      </c>
      <c r="J15" s="66">
        <f t="shared" si="0"/>
        <v>26393.173494651215</v>
      </c>
      <c r="K15" s="66">
        <f t="shared" si="0"/>
        <v>28444.872237010211</v>
      </c>
    </row>
    <row r="16" spans="1:11" ht="15.75">
      <c r="A16" s="64" t="s">
        <v>279</v>
      </c>
      <c r="B16" s="65">
        <f>+Mobile!G23</f>
        <v>0</v>
      </c>
      <c r="C16" s="65">
        <f>+Mobile!H23</f>
        <v>0</v>
      </c>
      <c r="D16" s="65">
        <f>+Mobile!I23</f>
        <v>0</v>
      </c>
      <c r="E16" s="65">
        <f>+Mobile!J23</f>
        <v>0</v>
      </c>
      <c r="F16" s="65">
        <f>+Mobile!K23</f>
        <v>130.80000000000001</v>
      </c>
      <c r="G16" s="65">
        <f>+Mobile!L23</f>
        <v>361.62000000000006</v>
      </c>
      <c r="H16" s="65">
        <f>+Mobile!M23</f>
        <v>541.69760999999994</v>
      </c>
      <c r="I16" s="65">
        <f>+Mobile!N23</f>
        <v>673.21376399999997</v>
      </c>
      <c r="J16" s="65">
        <f>+Mobile!O23</f>
        <v>693.59264347938074</v>
      </c>
      <c r="K16" s="65">
        <f>+Mobile!P23</f>
        <v>1066.9650507343933</v>
      </c>
    </row>
    <row r="17" spans="1:11" ht="15.75">
      <c r="A17" s="64" t="s">
        <v>1221</v>
      </c>
      <c r="B17" s="66">
        <f>+B16+B15</f>
        <v>13874.43021545</v>
      </c>
      <c r="C17" s="66">
        <f t="shared" ref="C17:K17" si="1">+C16+C15</f>
        <v>14268.6980979</v>
      </c>
      <c r="D17" s="66">
        <f t="shared" si="1"/>
        <v>15841.197955650001</v>
      </c>
      <c r="E17" s="66">
        <f t="shared" si="1"/>
        <v>17179.133851799998</v>
      </c>
      <c r="F17" s="66">
        <f t="shared" si="1"/>
        <v>18388.055205300003</v>
      </c>
      <c r="G17" s="66">
        <f t="shared" si="1"/>
        <v>20381.42908125</v>
      </c>
      <c r="H17" s="66">
        <f t="shared" si="1"/>
        <v>21866.922724350003</v>
      </c>
      <c r="I17" s="66">
        <f t="shared" si="1"/>
        <v>24286.577209800002</v>
      </c>
      <c r="J17" s="66">
        <f t="shared" si="1"/>
        <v>27086.766138130595</v>
      </c>
      <c r="K17" s="66">
        <f t="shared" si="1"/>
        <v>29511.837287744605</v>
      </c>
    </row>
    <row r="18" spans="1:11" ht="15.75">
      <c r="A18" s="64" t="s">
        <v>1222</v>
      </c>
      <c r="B18" s="65">
        <f>+Fixed!K56</f>
        <v>3125</v>
      </c>
      <c r="C18" s="65">
        <f>+Fixed!L56</f>
        <v>2815</v>
      </c>
      <c r="D18" s="65">
        <f>+Fixed!M56</f>
        <v>3448</v>
      </c>
      <c r="E18" s="65">
        <f>+Fixed!N56</f>
        <v>4257.2629999999999</v>
      </c>
      <c r="F18" s="65">
        <f>+Fixed!O56</f>
        <v>3905</v>
      </c>
      <c r="G18" s="65">
        <f>+Fixed!P56</f>
        <v>4197.8819999999996</v>
      </c>
      <c r="H18" s="65">
        <f>+Fixed!Q56</f>
        <v>5179.7300000000005</v>
      </c>
      <c r="I18" s="65">
        <f>+Fixed!R56</f>
        <v>5402.9849999999997</v>
      </c>
      <c r="J18" s="65">
        <f>+Fixed!S56</f>
        <v>5763.7049999999999</v>
      </c>
      <c r="K18" s="65">
        <f>+Fixed!T56</f>
        <v>6244.3049075000008</v>
      </c>
    </row>
    <row r="19" spans="1:11" ht="15.75">
      <c r="A19" s="64" t="s">
        <v>69</v>
      </c>
      <c r="B19" s="65">
        <f>+B20-B18-B17</f>
        <v>-42.430215450000105</v>
      </c>
      <c r="C19" s="65">
        <f t="shared" ref="C19:K19" si="2">+C20-C18-C17</f>
        <v>203.30190210000001</v>
      </c>
      <c r="D19" s="65">
        <f t="shared" si="2"/>
        <v>146.80204434999905</v>
      </c>
      <c r="E19" s="65">
        <f t="shared" si="2"/>
        <v>167.60314820000349</v>
      </c>
      <c r="F19" s="65">
        <f t="shared" si="2"/>
        <v>89.944794699997146</v>
      </c>
      <c r="G19" s="65">
        <f t="shared" si="2"/>
        <v>54.688918750001903</v>
      </c>
      <c r="H19" s="65">
        <f t="shared" si="2"/>
        <v>108.90227564999805</v>
      </c>
      <c r="I19" s="65">
        <f t="shared" si="2"/>
        <v>180.97779019999871</v>
      </c>
      <c r="J19" s="65">
        <f t="shared" si="2"/>
        <v>235.27242726000259</v>
      </c>
      <c r="K19" s="65">
        <f t="shared" si="2"/>
        <v>270.56329134900079</v>
      </c>
    </row>
    <row r="20" spans="1:11" ht="15.75">
      <c r="A20" s="64" t="s">
        <v>1223</v>
      </c>
      <c r="B20" s="65">
        <f>+Master!P7</f>
        <v>16957</v>
      </c>
      <c r="C20" s="65">
        <f>+Master!Q7</f>
        <v>17287</v>
      </c>
      <c r="D20" s="65">
        <f>+Master!R7</f>
        <v>19436</v>
      </c>
      <c r="E20" s="65">
        <f>+Master!S7</f>
        <v>21604</v>
      </c>
      <c r="F20" s="65">
        <f>+Master!T7</f>
        <v>22383</v>
      </c>
      <c r="G20" s="65">
        <f>+Master!U7</f>
        <v>24634</v>
      </c>
      <c r="H20" s="65">
        <f>+Master!V7</f>
        <v>27155.555</v>
      </c>
      <c r="I20" s="65">
        <f>+Master!W7</f>
        <v>29870.54</v>
      </c>
      <c r="J20" s="65">
        <f>+Master!X7</f>
        <v>33085.7435653906</v>
      </c>
      <c r="K20" s="65">
        <f>+Master!Y7</f>
        <v>36026.705486593608</v>
      </c>
    </row>
    <row r="21" spans="1:11" ht="15.75">
      <c r="A21" s="64"/>
      <c r="B21" s="65"/>
      <c r="C21" s="65"/>
      <c r="D21" s="65"/>
      <c r="E21" s="65"/>
      <c r="F21" s="65"/>
      <c r="G21" s="65"/>
      <c r="H21" s="65"/>
      <c r="I21" s="65"/>
      <c r="J21" s="65"/>
      <c r="K21" s="65"/>
    </row>
    <row r="22" spans="1:11" ht="15.75">
      <c r="A22" s="64" t="s">
        <v>16</v>
      </c>
      <c r="B22" s="65">
        <f>+Master!P12</f>
        <v>6915</v>
      </c>
      <c r="C22" s="65">
        <f>+Master!Q12</f>
        <v>7715</v>
      </c>
      <c r="D22" s="65">
        <f>+Master!R12</f>
        <v>9347</v>
      </c>
      <c r="E22" s="65">
        <f>+Master!S12</f>
        <v>10161</v>
      </c>
      <c r="F22" s="65">
        <f>+Master!T12</f>
        <v>11037</v>
      </c>
      <c r="G22" s="65">
        <f>+Master!U12</f>
        <v>12116</v>
      </c>
      <c r="H22" s="65">
        <f>+Master!V12</f>
        <v>12769.018</v>
      </c>
      <c r="I22" s="65">
        <f>+Master!W12</f>
        <v>13319.993</v>
      </c>
      <c r="J22" s="65">
        <f>+Master!X12</f>
        <v>15052.832575733581</v>
      </c>
      <c r="K22" s="65">
        <f>+Master!Y12</f>
        <v>16703.957652064935</v>
      </c>
    </row>
    <row r="23" spans="1:11" ht="15.75">
      <c r="A23" s="64" t="s">
        <v>22</v>
      </c>
      <c r="B23" s="65">
        <f>+Master!P44</f>
        <v>4874</v>
      </c>
      <c r="C23" s="65">
        <f>+Master!Q44</f>
        <v>4692</v>
      </c>
      <c r="D23" s="65">
        <f>+Master!R44</f>
        <v>5753.1229999999996</v>
      </c>
      <c r="E23" s="65">
        <f>+Master!S44</f>
        <v>6535</v>
      </c>
      <c r="F23" s="65">
        <f>+Master!T44</f>
        <v>8081</v>
      </c>
      <c r="G23" s="65">
        <f>+Master!U44</f>
        <v>9466.5730000000003</v>
      </c>
      <c r="H23" s="65">
        <f>+Master!V44</f>
        <v>11836</v>
      </c>
      <c r="I23" s="65">
        <f>+Master!W44</f>
        <v>12949</v>
      </c>
      <c r="J23" s="65">
        <f>+Master!X44</f>
        <v>10918.295376578899</v>
      </c>
      <c r="K23" s="65">
        <f>+Master!Y44</f>
        <v>10087.477536246211</v>
      </c>
    </row>
    <row r="24" spans="1:11" ht="15.75">
      <c r="A24" s="64" t="s">
        <v>1224</v>
      </c>
      <c r="B24" s="67"/>
      <c r="C24" s="67"/>
      <c r="D24" s="67"/>
      <c r="E24" s="67"/>
      <c r="F24" s="67"/>
      <c r="G24" s="67"/>
      <c r="H24" s="67"/>
      <c r="I24" s="67"/>
      <c r="J24" s="67"/>
      <c r="K24" s="67"/>
    </row>
    <row r="25" spans="1:11" ht="15.75">
      <c r="A25" s="64" t="s">
        <v>1225</v>
      </c>
      <c r="B25" s="67"/>
      <c r="C25" s="67"/>
      <c r="D25" s="67"/>
      <c r="E25" s="67"/>
      <c r="F25" s="67"/>
      <c r="G25" s="67"/>
      <c r="H25" s="67"/>
      <c r="I25" s="67"/>
      <c r="J25" s="67"/>
      <c r="K25" s="6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795A-7615-471B-9865-AF8804049F7A}">
  <dimension ref="A3"/>
  <sheetViews>
    <sheetView workbookViewId="0"/>
  </sheetViews>
  <sheetFormatPr defaultRowHeight="15"/>
  <sheetData>
    <row r="3" spans="1:1">
      <c r="A3" t="s">
        <v>3009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20EEF-F0FA-421E-A3E0-5452515D30D6}">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31C35-7057-4027-88B3-C013B3122FC3}">
  <dimension ref="B3:P28"/>
  <sheetViews>
    <sheetView showGridLines="0" topLeftCell="B1" zoomScale="75" zoomScaleNormal="75" workbookViewId="0">
      <selection activeCell="B1" sqref="B1"/>
    </sheetView>
  </sheetViews>
  <sheetFormatPr defaultColWidth="8.85546875" defaultRowHeight="15.75"/>
  <cols>
    <col min="1" max="1" width="4.85546875" style="199" customWidth="1"/>
    <col min="2" max="2" width="27.5703125" style="199" customWidth="1"/>
    <col min="3" max="7" width="8.85546875" style="199"/>
    <col min="8" max="8" width="14.42578125" style="199" customWidth="1"/>
    <col min="9" max="9" width="3.42578125" style="199" customWidth="1"/>
    <col min="10" max="10" width="22.85546875" style="199" customWidth="1"/>
    <col min="11" max="15" width="8.85546875" style="199"/>
    <col min="16" max="16" width="15.5703125" style="199" customWidth="1"/>
    <col min="17" max="16384" width="8.85546875" style="199"/>
  </cols>
  <sheetData>
    <row r="3" spans="2:16">
      <c r="B3" s="402" t="s">
        <v>195</v>
      </c>
      <c r="C3" s="403">
        <v>2022</v>
      </c>
      <c r="D3" s="403" t="s">
        <v>2674</v>
      </c>
      <c r="E3" s="403" t="s">
        <v>2683</v>
      </c>
      <c r="F3" s="403" t="s">
        <v>2684</v>
      </c>
      <c r="G3" s="403" t="s">
        <v>3004</v>
      </c>
      <c r="H3" s="403" t="s">
        <v>3008</v>
      </c>
      <c r="I3" s="404"/>
      <c r="J3" s="402" t="str">
        <f t="shared" ref="J3:O3" si="0">B3</f>
        <v>MXN m</v>
      </c>
      <c r="K3" s="403">
        <f t="shared" si="0"/>
        <v>2022</v>
      </c>
      <c r="L3" s="403" t="str">
        <f t="shared" si="0"/>
        <v>2023e</v>
      </c>
      <c r="M3" s="403" t="str">
        <f t="shared" si="0"/>
        <v>2024e</v>
      </c>
      <c r="N3" s="403" t="str">
        <f t="shared" si="0"/>
        <v>2025e</v>
      </c>
      <c r="O3" s="403" t="str">
        <f t="shared" si="0"/>
        <v>2026e</v>
      </c>
      <c r="P3" s="403" t="str">
        <f t="shared" ref="P3" si="1">H3</f>
        <v>23-26e CAGR</v>
      </c>
    </row>
    <row r="4" spans="2:16">
      <c r="B4" s="405" t="s">
        <v>2870</v>
      </c>
      <c r="C4" s="406">
        <v>44</v>
      </c>
      <c r="D4" s="405"/>
      <c r="E4" s="405"/>
      <c r="F4" s="405"/>
      <c r="G4" s="405"/>
      <c r="H4" s="405"/>
      <c r="I4" s="407"/>
      <c r="J4" s="405" t="s">
        <v>336</v>
      </c>
      <c r="K4" s="408">
        <f>Valuation!O38</f>
        <v>4.8243058048649425</v>
      </c>
      <c r="L4" s="408">
        <f>Valuation!P38</f>
        <v>5.1818216916348936</v>
      </c>
      <c r="M4" s="408">
        <f ca="1">Valuation!Q38</f>
        <v>4.5282562896387688</v>
      </c>
      <c r="N4" s="408">
        <f ca="1">Valuation!R38</f>
        <v>3.9160630102285388</v>
      </c>
      <c r="O4" s="408">
        <f ca="1">Valuation!S38</f>
        <v>3.3294139828746077</v>
      </c>
      <c r="P4" s="405"/>
    </row>
    <row r="5" spans="2:16">
      <c r="B5" s="407" t="s">
        <v>2675</v>
      </c>
      <c r="C5" s="409">
        <f>Valuation!O3</f>
        <v>857.61749999999995</v>
      </c>
      <c r="D5" s="409">
        <f>Valuation!P3</f>
        <v>858.50049999999999</v>
      </c>
      <c r="E5" s="409">
        <f>Valuation!Q3</f>
        <v>858.50049999999999</v>
      </c>
      <c r="F5" s="409">
        <f>Valuation!R3</f>
        <v>858.50049999999999</v>
      </c>
      <c r="G5" s="409">
        <f>Valuation!S3</f>
        <v>858.50049999999999</v>
      </c>
      <c r="H5" s="407"/>
      <c r="I5" s="407"/>
      <c r="J5" s="407" t="s">
        <v>337</v>
      </c>
      <c r="K5" s="410">
        <f>Valuation!O39</f>
        <v>66.024072054156449</v>
      </c>
      <c r="L5" s="410">
        <f>Valuation!P39</f>
        <v>186.04617515647161</v>
      </c>
      <c r="M5" s="410">
        <f ca="1">Valuation!Q39</f>
        <v>16.486266903555997</v>
      </c>
      <c r="N5" s="410">
        <f ca="1">Valuation!R39</f>
        <v>9.8864879120975253</v>
      </c>
      <c r="O5" s="410">
        <f ca="1">Valuation!S39</f>
        <v>7.0621446937452514</v>
      </c>
      <c r="P5" s="407"/>
    </row>
    <row r="6" spans="2:16">
      <c r="B6" s="405" t="s">
        <v>2676</v>
      </c>
      <c r="C6" s="406">
        <f>C5*$C4</f>
        <v>37735.17</v>
      </c>
      <c r="D6" s="406">
        <f>D5*$C4</f>
        <v>37774.021999999997</v>
      </c>
      <c r="E6" s="406">
        <f>E5*$C4</f>
        <v>37774.021999999997</v>
      </c>
      <c r="F6" s="406">
        <f>F5*$C4</f>
        <v>37774.021999999997</v>
      </c>
      <c r="G6" s="406">
        <f>G5*$C4</f>
        <v>37774.021999999997</v>
      </c>
      <c r="H6" s="405"/>
      <c r="I6" s="407"/>
      <c r="J6" s="405" t="s">
        <v>338</v>
      </c>
      <c r="K6" s="408">
        <f>Valuation!O40</f>
        <v>90.443934320762267</v>
      </c>
      <c r="L6" s="408">
        <f>Valuation!P40</f>
        <v>269.63213790792986</v>
      </c>
      <c r="M6" s="408">
        <f ca="1">Valuation!Q40</f>
        <v>23.551809862222854</v>
      </c>
      <c r="N6" s="408">
        <f ca="1">Valuation!R40</f>
        <v>14.123554160139323</v>
      </c>
      <c r="O6" s="408">
        <f ca="1">Valuation!S40</f>
        <v>10.088778133921789</v>
      </c>
      <c r="P6" s="405"/>
    </row>
    <row r="7" spans="2:16">
      <c r="B7" s="407" t="s">
        <v>44</v>
      </c>
      <c r="C7" s="409">
        <f>Valuation!O11</f>
        <v>12842.623</v>
      </c>
      <c r="D7" s="409">
        <f>Valuation!P11</f>
        <v>20217.771000000001</v>
      </c>
      <c r="E7" s="409">
        <f ca="1">Valuation!Q11</f>
        <v>21977.452653119999</v>
      </c>
      <c r="F7" s="409">
        <f ca="1">Valuation!R11</f>
        <v>21977.467402100512</v>
      </c>
      <c r="G7" s="409">
        <f ca="1">Valuation!S11</f>
        <v>20608.634295958305</v>
      </c>
      <c r="H7" s="407"/>
      <c r="I7" s="407"/>
      <c r="J7" s="407" t="s">
        <v>1003</v>
      </c>
      <c r="K7" s="410">
        <f>Valuation!O41</f>
        <v>9.4353691680639269</v>
      </c>
      <c r="L7" s="410">
        <f>Valuation!P41</f>
        <v>11.276643044368695</v>
      </c>
      <c r="M7" s="410">
        <f ca="1">Valuation!Q41</f>
        <v>10.147066919752916</v>
      </c>
      <c r="N7" s="410">
        <f ca="1">Valuation!R41</f>
        <v>7.8291271354880774</v>
      </c>
      <c r="O7" s="410">
        <f ca="1">Valuation!S41</f>
        <v>6.3016140808327021</v>
      </c>
      <c r="P7" s="407"/>
    </row>
    <row r="8" spans="2:16">
      <c r="B8" s="405" t="s">
        <v>540</v>
      </c>
      <c r="C8" s="406">
        <f>Valuation!O9</f>
        <v>5020.5321598249429</v>
      </c>
      <c r="D8" s="406">
        <f>Valuation!P9</f>
        <v>5020.5321598249429</v>
      </c>
      <c r="E8" s="406">
        <f>Valuation!Q9</f>
        <v>5020.5321598249429</v>
      </c>
      <c r="F8" s="406">
        <f>Valuation!R9</f>
        <v>5020.5321598249429</v>
      </c>
      <c r="G8" s="406">
        <f>Valuation!S9</f>
        <v>5020.5321598249429</v>
      </c>
      <c r="H8" s="405"/>
      <c r="I8" s="407"/>
      <c r="J8" s="405" t="s">
        <v>1004</v>
      </c>
      <c r="K8" s="408">
        <f>Valuation!O42</f>
        <v>-74.240474469540288</v>
      </c>
      <c r="L8" s="408">
        <f>Valuation!P42</f>
        <v>-45.217276003319604</v>
      </c>
      <c r="M8" s="408">
        <f ca="1">Valuation!Q42</f>
        <v>32.163284725975437</v>
      </c>
      <c r="N8" s="408">
        <f ca="1">Valuation!R42</f>
        <v>15.916038201650679</v>
      </c>
      <c r="O8" s="408">
        <f ca="1">Valuation!S42</f>
        <v>10.639068242417403</v>
      </c>
      <c r="P8" s="405"/>
    </row>
    <row r="9" spans="2:16">
      <c r="B9" s="411" t="s">
        <v>2677</v>
      </c>
      <c r="C9" s="412">
        <f>Valuation!O12</f>
        <v>0</v>
      </c>
      <c r="D9" s="412">
        <f>Valuation!P12</f>
        <v>0</v>
      </c>
      <c r="E9" s="412">
        <f>Valuation!Q12</f>
        <v>-2618.4265249999999</v>
      </c>
      <c r="F9" s="412">
        <f>Valuation!R12</f>
        <v>-5367.7743762499995</v>
      </c>
      <c r="G9" s="412">
        <f>Valuation!S12</f>
        <v>-8392.0570126249986</v>
      </c>
      <c r="H9" s="407"/>
      <c r="I9" s="407"/>
      <c r="J9" s="407" t="s">
        <v>1006</v>
      </c>
      <c r="K9" s="418">
        <f>Valuation!O45</f>
        <v>-4.4685164960417433E-2</v>
      </c>
      <c r="L9" s="418">
        <f>Valuation!P45</f>
        <v>-7.1183095477238029E-2</v>
      </c>
      <c r="M9" s="418">
        <f ca="1">Valuation!Q45</f>
        <v>1.1177783979917472E-2</v>
      </c>
      <c r="N9" s="418">
        <f ca="1">Valuation!R45</f>
        <v>5.4958406398161304E-2</v>
      </c>
      <c r="O9" s="418">
        <f ca="1">Valuation!S45</f>
        <v>9.3202367875952818E-2</v>
      </c>
      <c r="P9" s="407"/>
    </row>
    <row r="10" spans="2:16">
      <c r="B10" s="405" t="s">
        <v>1427</v>
      </c>
      <c r="C10" s="406">
        <f>C6+C7+C8+C9</f>
        <v>55598.325159824941</v>
      </c>
      <c r="D10" s="406">
        <f>D6+D7+D8+D9</f>
        <v>63012.325159824941</v>
      </c>
      <c r="E10" s="406">
        <f ca="1">E6+E7+E8+E9</f>
        <v>62153.580287944933</v>
      </c>
      <c r="F10" s="406">
        <f ca="1">F6+F7+F8+F9</f>
        <v>59404.247185675456</v>
      </c>
      <c r="G10" s="406">
        <f ca="1">G6+G7+G8+G9</f>
        <v>55011.131443158243</v>
      </c>
      <c r="H10" s="405"/>
      <c r="I10" s="407"/>
      <c r="J10" s="405"/>
      <c r="K10" s="414"/>
      <c r="L10" s="414"/>
      <c r="M10" s="414"/>
      <c r="N10" s="414"/>
      <c r="O10" s="414"/>
      <c r="P10" s="405"/>
    </row>
    <row r="11" spans="2:16">
      <c r="B11" s="413" t="s">
        <v>325</v>
      </c>
      <c r="C11" s="407"/>
      <c r="D11" s="407"/>
      <c r="E11" s="407"/>
      <c r="F11" s="407"/>
      <c r="G11" s="407"/>
      <c r="H11" s="407"/>
      <c r="I11" s="407"/>
      <c r="J11" s="407"/>
      <c r="K11" s="407"/>
      <c r="L11" s="407"/>
      <c r="M11" s="407"/>
      <c r="N11" s="407"/>
      <c r="O11" s="407"/>
      <c r="P11" s="407"/>
    </row>
    <row r="12" spans="2:16">
      <c r="B12" s="405" t="str">
        <f>Valuation!B19</f>
        <v>Adjusted EBITDA</v>
      </c>
      <c r="C12" s="406">
        <f>Valuation!O19</f>
        <v>12769.018</v>
      </c>
      <c r="D12" s="406">
        <f>Valuation!P19</f>
        <v>13319.993</v>
      </c>
      <c r="E12" s="406">
        <f>Valuation!Q19</f>
        <v>15052.832575733581</v>
      </c>
      <c r="F12" s="406">
        <f>Valuation!R19</f>
        <v>16703.957652064935</v>
      </c>
      <c r="G12" s="406">
        <f>Valuation!S19</f>
        <v>18327.740334193342</v>
      </c>
      <c r="H12" s="405"/>
      <c r="I12" s="407"/>
      <c r="J12" s="405"/>
      <c r="K12" s="405"/>
      <c r="L12" s="405"/>
      <c r="M12" s="405"/>
      <c r="N12" s="405"/>
      <c r="O12" s="405"/>
      <c r="P12" s="405"/>
    </row>
    <row r="13" spans="2:16">
      <c r="B13" s="407" t="str">
        <f>Valuation!B20</f>
        <v xml:space="preserve">Less Capex </v>
      </c>
      <c r="C13" s="409">
        <f>Valuation!O20</f>
        <v>-11836</v>
      </c>
      <c r="D13" s="409">
        <f>Valuation!P20</f>
        <v>-12949</v>
      </c>
      <c r="E13" s="409">
        <f>Valuation!Q20</f>
        <v>-10918.295376578899</v>
      </c>
      <c r="F13" s="409">
        <f>Valuation!R20</f>
        <v>-10087.477536246211</v>
      </c>
      <c r="G13" s="409">
        <f>Valuation!S20</f>
        <v>-9687.2157358793829</v>
      </c>
      <c r="H13" s="407"/>
      <c r="I13" s="407"/>
      <c r="J13" s="415" t="s">
        <v>3003</v>
      </c>
      <c r="K13" s="407"/>
      <c r="L13" s="407"/>
      <c r="M13" s="407"/>
      <c r="N13" s="407"/>
      <c r="O13" s="407"/>
      <c r="P13" s="407"/>
    </row>
    <row r="14" spans="2:16">
      <c r="B14" s="405" t="str">
        <f>Valuation!B21</f>
        <v xml:space="preserve">Clean Net Interest </v>
      </c>
      <c r="C14" s="406">
        <f>Valuation!O21</f>
        <v>-1196</v>
      </c>
      <c r="D14" s="406">
        <f>Valuation!P21</f>
        <v>-1934.32</v>
      </c>
      <c r="E14" s="406">
        <f ca="1">Valuation!Q21</f>
        <v>-1927.1022094474192</v>
      </c>
      <c r="F14" s="406">
        <f ca="1">Valuation!R21</f>
        <v>-2004.982414803399</v>
      </c>
      <c r="G14" s="406">
        <f ca="1">Valuation!S21</f>
        <v>-1905.1750436563566</v>
      </c>
      <c r="H14" s="405"/>
      <c r="I14" s="407"/>
      <c r="J14" s="405" t="s">
        <v>2678</v>
      </c>
      <c r="K14" s="406">
        <f>Fixed!Q3</f>
        <v>11560.218000000001</v>
      </c>
      <c r="L14" s="406">
        <f>Fixed!R3</f>
        <v>15437.906999999999</v>
      </c>
      <c r="M14" s="406">
        <f>Fixed!S3</f>
        <v>16937.906999999999</v>
      </c>
      <c r="N14" s="406">
        <f>Fixed!T3</f>
        <v>17937.906999999999</v>
      </c>
      <c r="O14" s="406">
        <f>Fixed!U3</f>
        <v>18187.906999999999</v>
      </c>
      <c r="P14" s="414">
        <f>(O14/L14)^(1/3)-1</f>
        <v>5.6164181486573206E-2</v>
      </c>
    </row>
    <row r="15" spans="2:16">
      <c r="B15" s="407" t="str">
        <f>Valuation!B22</f>
        <v>IFRS 16 leases in D&amp;A</v>
      </c>
      <c r="C15" s="409">
        <f>Valuation!O22</f>
        <v>-106.1208</v>
      </c>
      <c r="D15" s="409">
        <f>Valuation!P22</f>
        <v>-108.243216</v>
      </c>
      <c r="E15" s="409">
        <f>Valuation!Q22</f>
        <v>-110.40808032000001</v>
      </c>
      <c r="F15" s="409">
        <f>Valuation!R22</f>
        <v>-112.61624192640001</v>
      </c>
      <c r="G15" s="409">
        <f>Valuation!S22</f>
        <v>-114.868566764928</v>
      </c>
      <c r="H15" s="407"/>
      <c r="I15" s="407"/>
      <c r="J15" s="415" t="s">
        <v>2679</v>
      </c>
      <c r="K15" s="407"/>
      <c r="L15" s="407"/>
      <c r="M15" s="407"/>
      <c r="N15" s="407"/>
      <c r="O15" s="407"/>
      <c r="P15" s="418"/>
    </row>
    <row r="16" spans="2:16">
      <c r="B16" s="405" t="s">
        <v>3154</v>
      </c>
      <c r="C16" s="406">
        <f>Valuation!O23</f>
        <v>-1416.9479524824808</v>
      </c>
      <c r="D16" s="406">
        <f>Valuation!P23</f>
        <v>-1290.0766599965857</v>
      </c>
      <c r="E16" s="406">
        <f ca="1">Valuation!Q23</f>
        <v>-1437.1241194690544</v>
      </c>
      <c r="F16" s="406">
        <f ca="1">Valuation!R23</f>
        <v>-1905.0586711156668</v>
      </c>
      <c r="G16" s="406">
        <f ca="1">Valuation!S23</f>
        <v>-2333.4477373355148</v>
      </c>
      <c r="H16" s="571"/>
      <c r="I16" s="407"/>
      <c r="J16" s="416" t="s">
        <v>350</v>
      </c>
      <c r="K16" s="406">
        <f>Fixed!Q12</f>
        <v>3675.6149999999998</v>
      </c>
      <c r="L16" s="406">
        <f>Fixed!R12</f>
        <v>3914.09</v>
      </c>
      <c r="M16" s="406">
        <f>Fixed!S12</f>
        <v>4064.09</v>
      </c>
      <c r="N16" s="406">
        <f>Fixed!T12</f>
        <v>4214.09</v>
      </c>
      <c r="O16" s="406">
        <f>Fixed!U12</f>
        <v>4354.09</v>
      </c>
      <c r="P16" s="414">
        <f t="shared" ref="P16:P26" si="2">(O16/L16)^(1/3)-1</f>
        <v>3.6148966321267961E-2</v>
      </c>
    </row>
    <row r="17" spans="2:16">
      <c r="B17" s="411" t="s">
        <v>3155</v>
      </c>
      <c r="C17" s="412">
        <f>Valuation!O24</f>
        <v>-168.411</v>
      </c>
      <c r="D17" s="412">
        <f>Valuation!P24</f>
        <v>-155</v>
      </c>
      <c r="E17" s="412">
        <f>Valuation!Q24</f>
        <v>-170.5</v>
      </c>
      <c r="F17" s="412">
        <f>Valuation!R24</f>
        <v>-187.55</v>
      </c>
      <c r="G17" s="412">
        <f>Valuation!S24</f>
        <v>-206.30500000000004</v>
      </c>
      <c r="H17" s="411"/>
      <c r="I17" s="407"/>
      <c r="J17" s="417" t="s">
        <v>172</v>
      </c>
      <c r="K17" s="409">
        <f>Fixed!Q21</f>
        <v>4137.8599999999997</v>
      </c>
      <c r="L17" s="409">
        <f>Fixed!R21</f>
        <v>4721.5519999999997</v>
      </c>
      <c r="M17" s="409">
        <f>Fixed!S21</f>
        <v>5281.5519999999997</v>
      </c>
      <c r="N17" s="409">
        <f>Fixed!T21</f>
        <v>5731.5519999999997</v>
      </c>
      <c r="O17" s="409">
        <f>Fixed!U21</f>
        <v>6031.5519999999997</v>
      </c>
      <c r="P17" s="418">
        <f t="shared" si="2"/>
        <v>8.5045873794585614E-2</v>
      </c>
    </row>
    <row r="18" spans="2:16">
      <c r="B18" s="405" t="s">
        <v>21</v>
      </c>
      <c r="C18" s="406">
        <f>Valuation!O25</f>
        <v>-1954.4617524824807</v>
      </c>
      <c r="D18" s="406">
        <f>Valuation!P25</f>
        <v>-3116.6468759965855</v>
      </c>
      <c r="E18" s="406">
        <f ca="1">Valuation!Q25</f>
        <v>489.4027899182081</v>
      </c>
      <c r="F18" s="406">
        <f ca="1">Valuation!R25</f>
        <v>2406.2727879732583</v>
      </c>
      <c r="G18" s="406">
        <f ca="1">Valuation!S25</f>
        <v>4080.7282505571607</v>
      </c>
      <c r="H18" s="571"/>
      <c r="J18" s="416" t="s">
        <v>197</v>
      </c>
      <c r="K18" s="406">
        <f>Fixed!Q30</f>
        <v>3404.125</v>
      </c>
      <c r="L18" s="406">
        <f>Fixed!R30</f>
        <v>4082.0549999999998</v>
      </c>
      <c r="M18" s="406">
        <f>Fixed!S30</f>
        <v>4682.0550000000003</v>
      </c>
      <c r="N18" s="406">
        <f>Fixed!T30</f>
        <v>5082.0550000000003</v>
      </c>
      <c r="O18" s="406">
        <f>Fixed!U30</f>
        <v>5182.0550000000003</v>
      </c>
      <c r="P18" s="414">
        <f t="shared" si="2"/>
        <v>8.2782069481437626E-2</v>
      </c>
    </row>
    <row r="19" spans="2:16">
      <c r="B19" s="415" t="s">
        <v>3007</v>
      </c>
      <c r="C19" s="407"/>
      <c r="D19" s="407"/>
      <c r="E19" s="407"/>
      <c r="F19" s="407"/>
      <c r="G19" s="407"/>
      <c r="H19" s="407"/>
      <c r="I19" s="418"/>
      <c r="J19" s="415" t="s">
        <v>239</v>
      </c>
      <c r="K19" s="409"/>
      <c r="L19" s="409"/>
      <c r="M19" s="409"/>
      <c r="N19" s="409"/>
      <c r="O19" s="409"/>
      <c r="P19" s="418"/>
    </row>
    <row r="20" spans="2:16">
      <c r="B20" s="405" t="s">
        <v>411</v>
      </c>
      <c r="C20" s="406">
        <f>Master!V7</f>
        <v>27155.555</v>
      </c>
      <c r="D20" s="406">
        <f>Master!W7</f>
        <v>29870.54</v>
      </c>
      <c r="E20" s="406">
        <f>Master!X7</f>
        <v>33085.7435653906</v>
      </c>
      <c r="F20" s="406">
        <f>Master!Y7</f>
        <v>36026.705486593608</v>
      </c>
      <c r="G20" s="406">
        <f>Master!Z7</f>
        <v>38748.862943517532</v>
      </c>
      <c r="H20" s="414">
        <f t="shared" ref="H20:H25" si="3">(G20/D20)^(1/3)-1</f>
        <v>9.0616246804549272E-2</v>
      </c>
      <c r="I20" s="418"/>
      <c r="J20" s="416" t="s">
        <v>350</v>
      </c>
      <c r="K20" s="406">
        <f>Fixed!Q13</f>
        <v>135.79499999999962</v>
      </c>
      <c r="L20" s="406">
        <f>Fixed!R13</f>
        <v>238.47500000000036</v>
      </c>
      <c r="M20" s="406">
        <f>Fixed!S13</f>
        <v>150</v>
      </c>
      <c r="N20" s="406">
        <f>Fixed!T13</f>
        <v>150</v>
      </c>
      <c r="O20" s="406">
        <f>Fixed!U13</f>
        <v>140</v>
      </c>
      <c r="P20" s="414">
        <f t="shared" si="2"/>
        <v>-0.16267306951680471</v>
      </c>
    </row>
    <row r="21" spans="2:16">
      <c r="B21" s="407" t="s">
        <v>281</v>
      </c>
      <c r="C21" s="409">
        <f>C12</f>
        <v>12769.018</v>
      </c>
      <c r="D21" s="409">
        <f>D12</f>
        <v>13319.993</v>
      </c>
      <c r="E21" s="409">
        <f>E12</f>
        <v>15052.832575733581</v>
      </c>
      <c r="F21" s="409">
        <f>F12</f>
        <v>16703.957652064935</v>
      </c>
      <c r="G21" s="409">
        <f>G12</f>
        <v>18327.740334193342</v>
      </c>
      <c r="H21" s="418">
        <f t="shared" si="3"/>
        <v>0.11224802228824782</v>
      </c>
      <c r="I21" s="418"/>
      <c r="J21" s="417" t="s">
        <v>172</v>
      </c>
      <c r="K21" s="409">
        <f>Fixed!Q22</f>
        <v>303.96699999999964</v>
      </c>
      <c r="L21" s="409">
        <f>Fixed!R22</f>
        <v>583.69200000000001</v>
      </c>
      <c r="M21" s="409">
        <f>Fixed!S22</f>
        <v>560</v>
      </c>
      <c r="N21" s="409">
        <f>Fixed!T22</f>
        <v>450</v>
      </c>
      <c r="O21" s="409">
        <f>Fixed!U22</f>
        <v>300</v>
      </c>
      <c r="P21" s="418">
        <f t="shared" si="2"/>
        <v>-0.19897542922785205</v>
      </c>
    </row>
    <row r="22" spans="2:16">
      <c r="B22" s="405" t="s">
        <v>200</v>
      </c>
      <c r="C22" s="414">
        <f>C21/C20</f>
        <v>0.47021753007810002</v>
      </c>
      <c r="D22" s="414">
        <f>D21/D20</f>
        <v>0.44592407770331571</v>
      </c>
      <c r="E22" s="414">
        <f>E21/E20</f>
        <v>0.45496431252884467</v>
      </c>
      <c r="F22" s="414">
        <f>F21/F20</f>
        <v>0.46365487563887503</v>
      </c>
      <c r="G22" s="414">
        <f>G21/G20</f>
        <v>0.47298782317584032</v>
      </c>
      <c r="H22" s="414">
        <f t="shared" si="3"/>
        <v>1.9834451895502703E-2</v>
      </c>
      <c r="I22" s="407"/>
      <c r="J22" s="416" t="s">
        <v>197</v>
      </c>
      <c r="K22" s="406">
        <f>Fixed!Q31</f>
        <v>373.00599999999986</v>
      </c>
      <c r="L22" s="406">
        <f>Fixed!R31</f>
        <v>677.92999999999984</v>
      </c>
      <c r="M22" s="406">
        <f>Fixed!S31</f>
        <v>600</v>
      </c>
      <c r="N22" s="406">
        <f>Fixed!T31</f>
        <v>400</v>
      </c>
      <c r="O22" s="406">
        <f>Fixed!U31</f>
        <v>100</v>
      </c>
      <c r="P22" s="414">
        <f t="shared" si="2"/>
        <v>-0.47162971863167058</v>
      </c>
    </row>
    <row r="23" spans="2:16">
      <c r="B23" s="407" t="s">
        <v>542</v>
      </c>
      <c r="C23" s="409">
        <f>Master!V22</f>
        <v>6528.8010000000004</v>
      </c>
      <c r="D23" s="409">
        <f>Master!W22</f>
        <v>6120.7780000000002</v>
      </c>
      <c r="E23" s="409">
        <f>Master!X22</f>
        <v>6717.5159410109345</v>
      </c>
      <c r="F23" s="409">
        <f ca="1">Master!Y22</f>
        <v>8355.1779851889551</v>
      </c>
      <c r="G23" s="409">
        <f ca="1">Master!Z22</f>
        <v>9683.3341681080728</v>
      </c>
      <c r="H23" s="418">
        <f t="shared" ca="1" si="3"/>
        <v>0.16521508163080423</v>
      </c>
      <c r="I23" s="418"/>
      <c r="J23" s="415" t="s">
        <v>271</v>
      </c>
      <c r="K23" s="409"/>
      <c r="L23" s="409"/>
      <c r="M23" s="409"/>
      <c r="N23" s="409"/>
      <c r="O23" s="409"/>
      <c r="P23" s="418"/>
    </row>
    <row r="24" spans="2:16">
      <c r="B24" s="405" t="s">
        <v>13</v>
      </c>
      <c r="C24" s="406">
        <f>Master!V29</f>
        <v>5349.4760000000006</v>
      </c>
      <c r="D24" s="406">
        <f>Master!W29</f>
        <v>4336.4580000000005</v>
      </c>
      <c r="E24" s="406">
        <f ca="1">Master!X29</f>
        <v>4790.4137315635153</v>
      </c>
      <c r="F24" s="406">
        <f ca="1">Master!Y29</f>
        <v>6350.1955703855565</v>
      </c>
      <c r="G24" s="406">
        <f ca="1">Master!Z29</f>
        <v>7778.1591244517167</v>
      </c>
      <c r="H24" s="414">
        <f t="shared" ca="1" si="3"/>
        <v>0.21501197896877011</v>
      </c>
      <c r="I24" s="407"/>
      <c r="J24" s="405" t="s">
        <v>2680</v>
      </c>
      <c r="K24" s="406">
        <f>Fixed!Q42</f>
        <v>4397.9939999999997</v>
      </c>
      <c r="L24" s="406">
        <f>Fixed!R42</f>
        <v>4945.826</v>
      </c>
      <c r="M24" s="406">
        <f>Fixed!S42</f>
        <v>5566.5464285714288</v>
      </c>
      <c r="N24" s="406">
        <f>Fixed!T42</f>
        <v>5963.3718253968254</v>
      </c>
      <c r="O24" s="406">
        <f>Fixed!U42</f>
        <v>6177.6575396825401</v>
      </c>
      <c r="P24" s="414">
        <f t="shared" si="2"/>
        <v>7.6948656207467936E-2</v>
      </c>
    </row>
    <row r="25" spans="2:16">
      <c r="B25" s="407" t="s">
        <v>17</v>
      </c>
      <c r="C25" s="409">
        <f>Master!V34</f>
        <v>3566.0840000000007</v>
      </c>
      <c r="D25" s="409">
        <f>Master!W34</f>
        <v>2879.9740000000006</v>
      </c>
      <c r="E25" s="409">
        <f ca="1">Master!X34</f>
        <v>3182.7896120944606</v>
      </c>
      <c r="F25" s="409">
        <f ca="1">Master!Y34</f>
        <v>4257.5868992698897</v>
      </c>
      <c r="G25" s="409">
        <f ca="1">Master!Z34</f>
        <v>5238.4063871162016</v>
      </c>
      <c r="H25" s="418">
        <f t="shared" ca="1" si="3"/>
        <v>0.22068480932585754</v>
      </c>
      <c r="I25" s="418"/>
      <c r="J25" s="407" t="s">
        <v>2681</v>
      </c>
      <c r="K25" s="419">
        <f>K24/K14</f>
        <v>0.38044213353069978</v>
      </c>
      <c r="L25" s="419">
        <f t="shared" ref="L25:O25" si="4">L24/L14</f>
        <v>0.32036894638632041</v>
      </c>
      <c r="M25" s="419">
        <f t="shared" si="4"/>
        <v>0.32864429050008537</v>
      </c>
      <c r="N25" s="419">
        <f t="shared" si="4"/>
        <v>0.33244524154333199</v>
      </c>
      <c r="O25" s="419">
        <f t="shared" si="4"/>
        <v>0.33965741850794268</v>
      </c>
      <c r="P25" s="418">
        <f t="shared" si="2"/>
        <v>1.9679208105353618E-2</v>
      </c>
    </row>
    <row r="26" spans="2:16">
      <c r="B26" s="405" t="s">
        <v>3005</v>
      </c>
      <c r="C26" s="420">
        <f>Master!V37</f>
        <v>7.0597864748355335</v>
      </c>
      <c r="D26" s="420">
        <f>Master!W37</f>
        <v>7.6704683956452273</v>
      </c>
      <c r="E26" s="420">
        <f ca="1">Master!X37</f>
        <v>8.1968432528452801</v>
      </c>
      <c r="F26" s="420">
        <f ca="1">Master!Y37</f>
        <v>9.6302235454454461</v>
      </c>
      <c r="G26" s="420">
        <f ca="1">Master!Z37</f>
        <v>10.540187774414708</v>
      </c>
      <c r="H26" s="414">
        <f t="shared" ref="H26:H27" ca="1" si="5">(G26/D26)^(1/3)-1</f>
        <v>0.11175430807320907</v>
      </c>
      <c r="I26" s="407"/>
      <c r="J26" s="405" t="s">
        <v>2682</v>
      </c>
      <c r="K26" s="406">
        <f>Fixed!Q39</f>
        <v>11217.599999999999</v>
      </c>
      <c r="L26" s="406">
        <f>Fixed!R39</f>
        <v>12717.697</v>
      </c>
      <c r="M26" s="406">
        <f>Fixed!S39</f>
        <v>14027.697</v>
      </c>
      <c r="N26" s="406">
        <f>Fixed!T39</f>
        <v>15027.697</v>
      </c>
      <c r="O26" s="406">
        <f>Fixed!U39</f>
        <v>15567.697</v>
      </c>
      <c r="P26" s="414">
        <f t="shared" si="2"/>
        <v>6.9724556387323222E-2</v>
      </c>
    </row>
    <row r="27" spans="2:16">
      <c r="B27" s="407" t="s">
        <v>3006</v>
      </c>
      <c r="C27" s="421">
        <f>Master!V38</f>
        <v>2.96</v>
      </c>
      <c r="D27" s="421">
        <f>Master!W38</f>
        <v>3.05</v>
      </c>
      <c r="E27" s="421">
        <f>Master!X38</f>
        <v>3.2025000000000001</v>
      </c>
      <c r="F27" s="421">
        <f>Master!Y38</f>
        <v>3.5227500000000003</v>
      </c>
      <c r="G27" s="421">
        <f>Master!Z38</f>
        <v>3.8750250000000008</v>
      </c>
      <c r="H27" s="418">
        <f t="shared" si="5"/>
        <v>8.3074231263342124E-2</v>
      </c>
      <c r="I27" s="407"/>
      <c r="J27" s="407" t="s">
        <v>176</v>
      </c>
      <c r="K27" s="422">
        <f>K26/K24</f>
        <v>2.550617395112408</v>
      </c>
      <c r="L27" s="422">
        <f>L26/L24</f>
        <v>2.5714000047717005</v>
      </c>
      <c r="M27" s="422">
        <f>M26/M24</f>
        <v>2.52</v>
      </c>
      <c r="N27" s="422">
        <f>N26/N24</f>
        <v>2.52</v>
      </c>
      <c r="O27" s="422">
        <f>O26/O24</f>
        <v>2.52</v>
      </c>
      <c r="P27" s="407"/>
    </row>
    <row r="28" spans="2:16">
      <c r="B28" s="423" t="s">
        <v>3156</v>
      </c>
      <c r="C28" s="424">
        <f>C7/C12</f>
        <v>1.0057643430371856</v>
      </c>
      <c r="D28" s="424">
        <f t="shared" ref="D28:G28" si="6">D7/D12</f>
        <v>1.517851473345369</v>
      </c>
      <c r="E28" s="424">
        <f t="shared" ca="1" si="6"/>
        <v>1.460021065307634</v>
      </c>
      <c r="F28" s="424">
        <f t="shared" ca="1" si="6"/>
        <v>1.3157042097376048</v>
      </c>
      <c r="G28" s="424">
        <f t="shared" ca="1" si="6"/>
        <v>1.124450364320668</v>
      </c>
      <c r="H28" s="423"/>
      <c r="I28" s="407"/>
      <c r="J28" s="423"/>
      <c r="K28" s="425"/>
      <c r="L28" s="425"/>
      <c r="M28" s="425"/>
      <c r="N28" s="425"/>
      <c r="O28" s="425"/>
      <c r="P28" s="426"/>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Y126"/>
  <sheetViews>
    <sheetView zoomScale="68" zoomScaleNormal="85" workbookViewId="0">
      <selection activeCell="Q2" sqref="Q2"/>
    </sheetView>
  </sheetViews>
  <sheetFormatPr defaultColWidth="9.140625" defaultRowHeight="15"/>
  <cols>
    <col min="1" max="1" width="3.28515625" style="203" customWidth="1"/>
    <col min="2" max="2" width="33" style="203" customWidth="1"/>
    <col min="3" max="5" width="10.42578125" style="203" customWidth="1"/>
    <col min="6" max="11" width="9.140625" style="203"/>
    <col min="12" max="12" width="9.85546875" style="203" bestFit="1" customWidth="1"/>
    <col min="13" max="16384" width="9.140625" style="203"/>
  </cols>
  <sheetData>
    <row r="2" spans="2:23">
      <c r="B2" s="440" t="s">
        <v>195</v>
      </c>
      <c r="C2" s="441"/>
      <c r="D2" s="442"/>
      <c r="E2" s="441">
        <v>2012</v>
      </c>
      <c r="F2" s="441">
        <f>E2+1</f>
        <v>2013</v>
      </c>
      <c r="G2" s="441">
        <f t="shared" ref="G2:R2" si="0">F2+1</f>
        <v>2014</v>
      </c>
      <c r="H2" s="441">
        <f t="shared" si="0"/>
        <v>2015</v>
      </c>
      <c r="I2" s="441">
        <f t="shared" si="0"/>
        <v>2016</v>
      </c>
      <c r="J2" s="441">
        <f t="shared" si="0"/>
        <v>2017</v>
      </c>
      <c r="K2" s="441">
        <f t="shared" si="0"/>
        <v>2018</v>
      </c>
      <c r="L2" s="441">
        <f t="shared" si="0"/>
        <v>2019</v>
      </c>
      <c r="M2" s="441">
        <f t="shared" si="0"/>
        <v>2020</v>
      </c>
      <c r="N2" s="441">
        <f t="shared" si="0"/>
        <v>2021</v>
      </c>
      <c r="O2" s="441">
        <f t="shared" si="0"/>
        <v>2022</v>
      </c>
      <c r="P2" s="441">
        <f t="shared" si="0"/>
        <v>2023</v>
      </c>
      <c r="Q2" s="441">
        <f t="shared" si="0"/>
        <v>2024</v>
      </c>
      <c r="R2" s="441">
        <f t="shared" si="0"/>
        <v>2025</v>
      </c>
      <c r="S2" s="441">
        <f t="shared" ref="S2" si="1">R2+1</f>
        <v>2026</v>
      </c>
      <c r="T2" s="441">
        <f t="shared" ref="T2" si="2">S2+1</f>
        <v>2027</v>
      </c>
      <c r="U2" s="441">
        <f t="shared" ref="U2" si="3">T2+1</f>
        <v>2028</v>
      </c>
      <c r="V2" s="441">
        <f t="shared" ref="V2" si="4">U2+1</f>
        <v>2029</v>
      </c>
      <c r="W2" s="441">
        <f t="shared" ref="W2" si="5">V2+1</f>
        <v>2030</v>
      </c>
    </row>
    <row r="3" spans="2:23">
      <c r="B3" s="443" t="s">
        <v>344</v>
      </c>
      <c r="C3" s="444">
        <v>51</v>
      </c>
      <c r="D3" s="445"/>
      <c r="E3" s="445">
        <f>Master!L325/2</f>
        <v>859.12649999999996</v>
      </c>
      <c r="F3" s="445">
        <f>Master!M325/2</f>
        <v>859.25699999999995</v>
      </c>
      <c r="G3" s="445">
        <f>Master!N325/2</f>
        <v>859.25699999999995</v>
      </c>
      <c r="H3" s="445">
        <f>Master!O325/2</f>
        <v>859.25699999999995</v>
      </c>
      <c r="I3" s="445">
        <f>Master!P325/2</f>
        <v>859.25699999999995</v>
      </c>
      <c r="J3" s="445">
        <f>Master!Q325/2</f>
        <v>859.25699999999995</v>
      </c>
      <c r="K3" s="445">
        <f>Master!R325/2</f>
        <v>859.25699999999995</v>
      </c>
      <c r="L3" s="445">
        <f>Master!S325/2</f>
        <v>859.25699999999995</v>
      </c>
      <c r="M3" s="445">
        <f>Master!T325/2</f>
        <v>860.03800000000001</v>
      </c>
      <c r="N3" s="445">
        <f>Master!U325/2</f>
        <v>857.476</v>
      </c>
      <c r="O3" s="445">
        <f>Master!V325/2</f>
        <v>857.61749999999995</v>
      </c>
      <c r="P3" s="445">
        <f>Master!W325/2</f>
        <v>858.50049999999999</v>
      </c>
      <c r="Q3" s="445">
        <f>Master!X325/2</f>
        <v>858.50049999999999</v>
      </c>
      <c r="R3" s="445">
        <f>Master!Y325/2</f>
        <v>858.50049999999999</v>
      </c>
      <c r="S3" s="445">
        <f>Master!Z325/2</f>
        <v>858.50049999999999</v>
      </c>
      <c r="T3" s="445">
        <f>Master!AA325/2</f>
        <v>858.50049999999999</v>
      </c>
      <c r="U3" s="445">
        <f>Master!AB325/2</f>
        <v>858.50049999999999</v>
      </c>
      <c r="V3" s="445">
        <f>Master!AC325/2</f>
        <v>858.50049999999999</v>
      </c>
      <c r="W3" s="445">
        <f>Master!AD325/2</f>
        <v>858.50049999999999</v>
      </c>
    </row>
    <row r="4" spans="2:23">
      <c r="B4" s="443"/>
      <c r="C4" s="446"/>
      <c r="D4" s="445"/>
      <c r="E4" s="445"/>
      <c r="F4" s="445"/>
      <c r="G4" s="445"/>
      <c r="H4" s="445"/>
      <c r="I4" s="445"/>
      <c r="J4" s="445"/>
      <c r="K4" s="445"/>
      <c r="L4" s="445"/>
      <c r="M4" s="445"/>
      <c r="N4" s="445"/>
      <c r="O4" s="445"/>
      <c r="P4" s="445"/>
      <c r="Q4" s="445"/>
      <c r="R4" s="445"/>
      <c r="S4" s="445"/>
      <c r="T4" s="445"/>
      <c r="U4" s="445"/>
      <c r="V4" s="445"/>
      <c r="W4" s="445"/>
    </row>
    <row r="5" spans="2:23">
      <c r="B5" s="447" t="s">
        <v>346</v>
      </c>
      <c r="C5" s="446"/>
      <c r="D5" s="443"/>
      <c r="E5" s="448"/>
      <c r="F5" s="445"/>
      <c r="G5" s="443"/>
      <c r="H5" s="443"/>
      <c r="I5" s="443"/>
      <c r="J5" s="448"/>
      <c r="K5" s="443"/>
      <c r="L5" s="443"/>
      <c r="M5" s="443"/>
      <c r="N5" s="443"/>
      <c r="O5" s="443"/>
      <c r="P5" s="443"/>
      <c r="Q5" s="443"/>
      <c r="R5" s="443"/>
      <c r="S5" s="443"/>
      <c r="T5" s="443"/>
      <c r="U5" s="443"/>
      <c r="V5" s="443"/>
      <c r="W5" s="443"/>
    </row>
    <row r="6" spans="2:23">
      <c r="B6" s="443" t="s">
        <v>317</v>
      </c>
      <c r="C6" s="445"/>
      <c r="D6" s="445"/>
      <c r="E6" s="445"/>
      <c r="F6" s="445">
        <f>$C$3*F3</f>
        <v>43822.106999999996</v>
      </c>
      <c r="G6" s="445">
        <f t="shared" ref="G6:O6" si="6">$C$3*G3</f>
        <v>43822.106999999996</v>
      </c>
      <c r="H6" s="445">
        <f t="shared" si="6"/>
        <v>43822.106999999996</v>
      </c>
      <c r="I6" s="445">
        <f t="shared" si="6"/>
        <v>43822.106999999996</v>
      </c>
      <c r="J6" s="445">
        <f t="shared" si="6"/>
        <v>43822.106999999996</v>
      </c>
      <c r="K6" s="445">
        <f t="shared" si="6"/>
        <v>43822.106999999996</v>
      </c>
      <c r="L6" s="445">
        <f>$C$3*L3</f>
        <v>43822.106999999996</v>
      </c>
      <c r="M6" s="445">
        <f t="shared" si="6"/>
        <v>43861.938000000002</v>
      </c>
      <c r="N6" s="445">
        <f t="shared" si="6"/>
        <v>43731.275999999998</v>
      </c>
      <c r="O6" s="445">
        <f t="shared" si="6"/>
        <v>43738.4925</v>
      </c>
      <c r="P6" s="445">
        <f t="shared" ref="P6:R6" si="7">$C$3*P3</f>
        <v>43783.525499999996</v>
      </c>
      <c r="Q6" s="445">
        <f t="shared" si="7"/>
        <v>43783.525499999996</v>
      </c>
      <c r="R6" s="445">
        <f t="shared" si="7"/>
        <v>43783.525499999996</v>
      </c>
      <c r="S6" s="445">
        <f t="shared" ref="S6:W6" si="8">$C$3*S3</f>
        <v>43783.525499999996</v>
      </c>
      <c r="T6" s="445">
        <f t="shared" si="8"/>
        <v>43783.525499999996</v>
      </c>
      <c r="U6" s="445">
        <f t="shared" si="8"/>
        <v>43783.525499999996</v>
      </c>
      <c r="V6" s="445">
        <f t="shared" si="8"/>
        <v>43783.525499999996</v>
      </c>
      <c r="W6" s="445">
        <f t="shared" si="8"/>
        <v>43783.525499999996</v>
      </c>
    </row>
    <row r="7" spans="2:23">
      <c r="B7" s="443" t="s">
        <v>318</v>
      </c>
      <c r="C7" s="445"/>
      <c r="D7" s="445"/>
      <c r="E7" s="445"/>
      <c r="F7" s="445">
        <f>G7</f>
        <v>0</v>
      </c>
      <c r="G7" s="449">
        <f>-Valuation!C85</f>
        <v>0</v>
      </c>
      <c r="H7" s="445">
        <f>G7</f>
        <v>0</v>
      </c>
      <c r="I7" s="445">
        <f t="shared" ref="I7:R10" si="9">H7</f>
        <v>0</v>
      </c>
      <c r="J7" s="445">
        <f t="shared" si="9"/>
        <v>0</v>
      </c>
      <c r="K7" s="445">
        <f t="shared" si="9"/>
        <v>0</v>
      </c>
      <c r="L7" s="445">
        <f t="shared" si="9"/>
        <v>0</v>
      </c>
      <c r="M7" s="445">
        <f t="shared" si="9"/>
        <v>0</v>
      </c>
      <c r="N7" s="445">
        <f t="shared" si="9"/>
        <v>0</v>
      </c>
      <c r="O7" s="445">
        <f t="shared" si="9"/>
        <v>0</v>
      </c>
      <c r="P7" s="445">
        <f t="shared" si="9"/>
        <v>0</v>
      </c>
      <c r="Q7" s="445">
        <f t="shared" si="9"/>
        <v>0</v>
      </c>
      <c r="R7" s="445">
        <f t="shared" si="9"/>
        <v>0</v>
      </c>
      <c r="S7" s="445">
        <f t="shared" ref="S7:S10" si="10">R7</f>
        <v>0</v>
      </c>
      <c r="T7" s="445">
        <f t="shared" ref="T7:T10" si="11">S7</f>
        <v>0</v>
      </c>
      <c r="U7" s="445">
        <f t="shared" ref="U7:U10" si="12">T7</f>
        <v>0</v>
      </c>
      <c r="V7" s="445">
        <f t="shared" ref="V7:V10" si="13">U7</f>
        <v>0</v>
      </c>
      <c r="W7" s="445">
        <f t="shared" ref="W7:W10" si="14">V7</f>
        <v>0</v>
      </c>
    </row>
    <row r="8" spans="2:23">
      <c r="B8" s="443" t="s">
        <v>319</v>
      </c>
      <c r="C8" s="446"/>
      <c r="D8" s="445"/>
      <c r="E8" s="445"/>
      <c r="F8" s="445">
        <f>G8</f>
        <v>0</v>
      </c>
      <c r="G8" s="449">
        <v>0</v>
      </c>
      <c r="H8" s="445">
        <f>G8</f>
        <v>0</v>
      </c>
      <c r="I8" s="445">
        <f t="shared" si="9"/>
        <v>0</v>
      </c>
      <c r="J8" s="445">
        <f t="shared" si="9"/>
        <v>0</v>
      </c>
      <c r="K8" s="445">
        <f t="shared" si="9"/>
        <v>0</v>
      </c>
      <c r="L8" s="445">
        <f t="shared" si="9"/>
        <v>0</v>
      </c>
      <c r="M8" s="445">
        <f t="shared" si="9"/>
        <v>0</v>
      </c>
      <c r="N8" s="445">
        <f t="shared" si="9"/>
        <v>0</v>
      </c>
      <c r="O8" s="445">
        <f t="shared" si="9"/>
        <v>0</v>
      </c>
      <c r="P8" s="445">
        <f t="shared" si="9"/>
        <v>0</v>
      </c>
      <c r="Q8" s="445">
        <f t="shared" si="9"/>
        <v>0</v>
      </c>
      <c r="R8" s="445">
        <f t="shared" si="9"/>
        <v>0</v>
      </c>
      <c r="S8" s="445">
        <f t="shared" si="10"/>
        <v>0</v>
      </c>
      <c r="T8" s="445">
        <f t="shared" si="11"/>
        <v>0</v>
      </c>
      <c r="U8" s="445">
        <f t="shared" si="12"/>
        <v>0</v>
      </c>
      <c r="V8" s="445">
        <f t="shared" si="13"/>
        <v>0</v>
      </c>
      <c r="W8" s="445">
        <f t="shared" si="14"/>
        <v>0</v>
      </c>
    </row>
    <row r="9" spans="2:23">
      <c r="B9" s="443" t="s">
        <v>320</v>
      </c>
      <c r="C9" s="445"/>
      <c r="D9" s="445"/>
      <c r="E9" s="445"/>
      <c r="F9" s="445">
        <f>G9</f>
        <v>5020.5321598249429</v>
      </c>
      <c r="G9" s="449">
        <f>Valuation!$C$84</f>
        <v>5020.5321598249429</v>
      </c>
      <c r="H9" s="445">
        <f>G9</f>
        <v>5020.5321598249429</v>
      </c>
      <c r="I9" s="445">
        <f t="shared" si="9"/>
        <v>5020.5321598249429</v>
      </c>
      <c r="J9" s="445">
        <f t="shared" si="9"/>
        <v>5020.5321598249429</v>
      </c>
      <c r="K9" s="445">
        <f t="shared" si="9"/>
        <v>5020.5321598249429</v>
      </c>
      <c r="L9" s="445">
        <f t="shared" si="9"/>
        <v>5020.5321598249429</v>
      </c>
      <c r="M9" s="445">
        <f t="shared" si="9"/>
        <v>5020.5321598249429</v>
      </c>
      <c r="N9" s="445">
        <f t="shared" si="9"/>
        <v>5020.5321598249429</v>
      </c>
      <c r="O9" s="445">
        <f t="shared" si="9"/>
        <v>5020.5321598249429</v>
      </c>
      <c r="P9" s="445">
        <f t="shared" si="9"/>
        <v>5020.5321598249429</v>
      </c>
      <c r="Q9" s="445">
        <f t="shared" si="9"/>
        <v>5020.5321598249429</v>
      </c>
      <c r="R9" s="445">
        <f t="shared" si="9"/>
        <v>5020.5321598249429</v>
      </c>
      <c r="S9" s="445">
        <f t="shared" si="10"/>
        <v>5020.5321598249429</v>
      </c>
      <c r="T9" s="445">
        <f t="shared" si="11"/>
        <v>5020.5321598249429</v>
      </c>
      <c r="U9" s="445">
        <f t="shared" si="12"/>
        <v>5020.5321598249429</v>
      </c>
      <c r="V9" s="445">
        <f t="shared" si="13"/>
        <v>5020.5321598249429</v>
      </c>
      <c r="W9" s="445">
        <f t="shared" si="14"/>
        <v>5020.5321598249429</v>
      </c>
    </row>
    <row r="10" spans="2:23">
      <c r="B10" s="443" t="s">
        <v>321</v>
      </c>
      <c r="C10" s="445"/>
      <c r="D10" s="445"/>
      <c r="E10" s="445"/>
      <c r="F10" s="445">
        <f>G10</f>
        <v>0</v>
      </c>
      <c r="G10" s="449">
        <v>0</v>
      </c>
      <c r="H10" s="445">
        <f>G10</f>
        <v>0</v>
      </c>
      <c r="I10" s="445">
        <f t="shared" si="9"/>
        <v>0</v>
      </c>
      <c r="J10" s="445">
        <f t="shared" si="9"/>
        <v>0</v>
      </c>
      <c r="K10" s="445">
        <f t="shared" si="9"/>
        <v>0</v>
      </c>
      <c r="L10" s="445">
        <f t="shared" si="9"/>
        <v>0</v>
      </c>
      <c r="M10" s="445">
        <f t="shared" si="9"/>
        <v>0</v>
      </c>
      <c r="N10" s="445">
        <f t="shared" si="9"/>
        <v>0</v>
      </c>
      <c r="O10" s="445">
        <f t="shared" si="9"/>
        <v>0</v>
      </c>
      <c r="P10" s="445">
        <f t="shared" si="9"/>
        <v>0</v>
      </c>
      <c r="Q10" s="445">
        <f t="shared" si="9"/>
        <v>0</v>
      </c>
      <c r="R10" s="445">
        <f t="shared" si="9"/>
        <v>0</v>
      </c>
      <c r="S10" s="445">
        <f t="shared" si="10"/>
        <v>0</v>
      </c>
      <c r="T10" s="445">
        <f t="shared" si="11"/>
        <v>0</v>
      </c>
      <c r="U10" s="445">
        <f t="shared" si="12"/>
        <v>0</v>
      </c>
      <c r="V10" s="445">
        <f t="shared" si="13"/>
        <v>0</v>
      </c>
      <c r="W10" s="445">
        <f t="shared" si="14"/>
        <v>0</v>
      </c>
    </row>
    <row r="11" spans="2:23">
      <c r="B11" s="443" t="s">
        <v>322</v>
      </c>
      <c r="C11" s="445"/>
      <c r="D11" s="445"/>
      <c r="E11" s="445"/>
      <c r="F11" s="445">
        <f>Master!M102</f>
        <v>-405.69999999999982</v>
      </c>
      <c r="G11" s="445">
        <f>Master!N102</f>
        <v>-1098</v>
      </c>
      <c r="H11" s="445">
        <f>Master!O102</f>
        <v>401</v>
      </c>
      <c r="I11" s="445">
        <f>Master!P102</f>
        <v>2484</v>
      </c>
      <c r="J11" s="445">
        <f>Master!Q102</f>
        <v>936</v>
      </c>
      <c r="K11" s="445">
        <f>Master!R102</f>
        <v>567.90000000000009</v>
      </c>
      <c r="L11" s="445">
        <f>Master!S102</f>
        <v>4794</v>
      </c>
      <c r="M11" s="445">
        <f>Master!T102</f>
        <v>3622.3360000000002</v>
      </c>
      <c r="N11" s="445">
        <f>Master!U102</f>
        <v>4668.2510000000002</v>
      </c>
      <c r="O11" s="445">
        <f>Master!V102</f>
        <v>12842.623</v>
      </c>
      <c r="P11" s="445">
        <f>Master!W102</f>
        <v>20217.771000000001</v>
      </c>
      <c r="Q11" s="445">
        <f ca="1">Master!X102</f>
        <v>21977.452653119999</v>
      </c>
      <c r="R11" s="445">
        <f ca="1">Master!Y102</f>
        <v>21977.467402100512</v>
      </c>
      <c r="S11" s="445">
        <f ca="1">Master!Z102</f>
        <v>20608.634295958305</v>
      </c>
      <c r="T11" s="445">
        <f ca="1">Master!AA102</f>
        <v>18328.007832177671</v>
      </c>
      <c r="U11" s="445">
        <f ca="1">Master!AB102</f>
        <v>15968.90484808305</v>
      </c>
      <c r="V11" s="445">
        <f ca="1">Master!AC102</f>
        <v>13635.71868480111</v>
      </c>
      <c r="W11" s="445">
        <f ca="1">Master!AD102</f>
        <v>11497.810848536479</v>
      </c>
    </row>
    <row r="12" spans="2:23">
      <c r="B12" s="450" t="s">
        <v>323</v>
      </c>
      <c r="C12" s="451"/>
      <c r="D12" s="451"/>
      <c r="E12" s="451"/>
      <c r="F12" s="451">
        <v>0</v>
      </c>
      <c r="G12" s="451">
        <v>0</v>
      </c>
      <c r="H12" s="451">
        <v>0</v>
      </c>
      <c r="I12" s="451">
        <v>0</v>
      </c>
      <c r="J12" s="451">
        <v>0</v>
      </c>
      <c r="K12" s="451">
        <v>0</v>
      </c>
      <c r="L12" s="451">
        <v>0</v>
      </c>
      <c r="M12" s="451">
        <v>0</v>
      </c>
      <c r="N12" s="451">
        <v>0</v>
      </c>
      <c r="O12" s="451">
        <v>0</v>
      </c>
      <c r="P12" s="451">
        <v>0</v>
      </c>
      <c r="Q12" s="451">
        <f>Master!X97+P12</f>
        <v>-2618.4265249999999</v>
      </c>
      <c r="R12" s="451">
        <f>Master!Y97+Q12</f>
        <v>-5367.7743762499995</v>
      </c>
      <c r="S12" s="451">
        <f>Master!Z97+R12</f>
        <v>-8392.0570126249986</v>
      </c>
      <c r="T12" s="451">
        <f>Master!AA97+S12</f>
        <v>-11718.767912637499</v>
      </c>
      <c r="U12" s="451">
        <f>Master!AB97+T12</f>
        <v>-15378.14990265125</v>
      </c>
      <c r="V12" s="451">
        <f>Master!AC97+U12</f>
        <v>-19403.470091666375</v>
      </c>
      <c r="W12" s="451">
        <f>Master!AD97+V12</f>
        <v>-23831.322299583015</v>
      </c>
    </row>
    <row r="13" spans="2:23">
      <c r="B13" s="443" t="s">
        <v>324</v>
      </c>
      <c r="C13" s="445"/>
      <c r="D13" s="445"/>
      <c r="E13" s="445"/>
      <c r="F13" s="445">
        <f t="shared" ref="F13:O13" si="15">SUM(F6:F12)</f>
        <v>48436.939159824942</v>
      </c>
      <c r="G13" s="445">
        <f t="shared" si="15"/>
        <v>47744.639159824939</v>
      </c>
      <c r="H13" s="445">
        <f>SUM(H6:H12)</f>
        <v>49243.639159824939</v>
      </c>
      <c r="I13" s="445">
        <f t="shared" si="15"/>
        <v>51326.639159824939</v>
      </c>
      <c r="J13" s="445">
        <f t="shared" si="15"/>
        <v>49778.639159824939</v>
      </c>
      <c r="K13" s="445">
        <f t="shared" si="15"/>
        <v>49410.539159824941</v>
      </c>
      <c r="L13" s="445">
        <f t="shared" si="15"/>
        <v>53636.639159824939</v>
      </c>
      <c r="M13" s="445">
        <f t="shared" si="15"/>
        <v>52504.806159824948</v>
      </c>
      <c r="N13" s="445">
        <f t="shared" si="15"/>
        <v>53420.059159824945</v>
      </c>
      <c r="O13" s="445">
        <f t="shared" si="15"/>
        <v>61601.647659824943</v>
      </c>
      <c r="P13" s="445">
        <f t="shared" ref="P13:R13" si="16">SUM(P6:P12)</f>
        <v>69021.82865982494</v>
      </c>
      <c r="Q13" s="445">
        <f t="shared" ca="1" si="16"/>
        <v>68163.083787944939</v>
      </c>
      <c r="R13" s="445">
        <f t="shared" ca="1" si="16"/>
        <v>65413.750685675448</v>
      </c>
      <c r="S13" s="445">
        <f t="shared" ref="S13:W13" ca="1" si="17">SUM(S6:S12)</f>
        <v>61020.634943158249</v>
      </c>
      <c r="T13" s="445">
        <f t="shared" ca="1" si="17"/>
        <v>55413.297579365113</v>
      </c>
      <c r="U13" s="445">
        <f t="shared" ca="1" si="17"/>
        <v>49394.812605256739</v>
      </c>
      <c r="V13" s="445">
        <f t="shared" ca="1" si="17"/>
        <v>43036.306252959679</v>
      </c>
      <c r="W13" s="445">
        <f t="shared" ca="1" si="17"/>
        <v>36470.546208778404</v>
      </c>
    </row>
    <row r="14" spans="2:23">
      <c r="B14" s="443"/>
      <c r="C14" s="445" t="s">
        <v>5</v>
      </c>
      <c r="D14" s="445"/>
      <c r="E14" s="443"/>
      <c r="F14" s="443"/>
      <c r="G14" s="443"/>
      <c r="H14" s="443"/>
      <c r="I14" s="443"/>
      <c r="J14" s="448"/>
      <c r="K14" s="443"/>
      <c r="L14" s="452"/>
      <c r="M14" s="443"/>
      <c r="N14" s="443"/>
      <c r="O14" s="443"/>
      <c r="P14" s="443"/>
      <c r="Q14" s="443"/>
      <c r="R14" s="443"/>
      <c r="S14" s="443"/>
      <c r="T14" s="443"/>
      <c r="U14" s="443"/>
      <c r="V14" s="443"/>
      <c r="W14" s="443"/>
    </row>
    <row r="15" spans="2:23">
      <c r="B15" s="443" t="s">
        <v>189</v>
      </c>
      <c r="C15" s="445"/>
      <c r="D15" s="445"/>
      <c r="E15" s="452"/>
      <c r="F15" s="453">
        <v>12.76</v>
      </c>
      <c r="G15" s="453">
        <v>13.31</v>
      </c>
      <c r="H15" s="453">
        <v>16.5</v>
      </c>
      <c r="I15" s="453">
        <v>18.600000000000001</v>
      </c>
      <c r="J15" s="453">
        <v>19</v>
      </c>
      <c r="K15" s="453">
        <v>19.5</v>
      </c>
      <c r="L15" s="453">
        <v>20</v>
      </c>
      <c r="M15" s="453">
        <v>21.5</v>
      </c>
      <c r="N15" s="453">
        <v>20.285299999999999</v>
      </c>
      <c r="O15" s="453">
        <v>20.100000000000001</v>
      </c>
      <c r="P15" s="453">
        <v>17</v>
      </c>
      <c r="Q15" s="454">
        <f t="shared" ref="Q15:R15" si="18">P15</f>
        <v>17</v>
      </c>
      <c r="R15" s="454">
        <f t="shared" si="18"/>
        <v>17</v>
      </c>
      <c r="S15" s="454">
        <f t="shared" ref="S15" si="19">R15</f>
        <v>17</v>
      </c>
      <c r="T15" s="454">
        <f t="shared" ref="T15" si="20">S15</f>
        <v>17</v>
      </c>
      <c r="U15" s="454">
        <f t="shared" ref="U15" si="21">T15</f>
        <v>17</v>
      </c>
      <c r="V15" s="454">
        <f t="shared" ref="V15" si="22">U15</f>
        <v>17</v>
      </c>
      <c r="W15" s="454">
        <f t="shared" ref="W15" si="23">V15</f>
        <v>17</v>
      </c>
    </row>
    <row r="16" spans="2:23">
      <c r="B16" s="443" t="s">
        <v>345</v>
      </c>
      <c r="C16" s="445"/>
      <c r="D16" s="445"/>
      <c r="E16" s="455"/>
      <c r="F16" s="455">
        <f>F6/F15</f>
        <v>3434.3344043887146</v>
      </c>
      <c r="G16" s="455">
        <f t="shared" ref="G16:O16" si="24">G6/G15</f>
        <v>3292.4197595792634</v>
      </c>
      <c r="H16" s="455">
        <f t="shared" si="24"/>
        <v>2655.8852727272724</v>
      </c>
      <c r="I16" s="455">
        <f t="shared" si="24"/>
        <v>2356.0272580645155</v>
      </c>
      <c r="J16" s="455">
        <f t="shared" si="24"/>
        <v>2306.4266842105262</v>
      </c>
      <c r="K16" s="455">
        <f t="shared" si="24"/>
        <v>2247.2875384615381</v>
      </c>
      <c r="L16" s="455">
        <f t="shared" si="24"/>
        <v>2191.1053499999998</v>
      </c>
      <c r="M16" s="455">
        <f t="shared" si="24"/>
        <v>2040.0901395348837</v>
      </c>
      <c r="N16" s="455">
        <f t="shared" si="24"/>
        <v>2155.8111538897624</v>
      </c>
      <c r="O16" s="455">
        <f t="shared" si="24"/>
        <v>2176.0444029850746</v>
      </c>
      <c r="P16" s="455">
        <f t="shared" ref="P16:R16" si="25">P6/P15</f>
        <v>2575.5014999999999</v>
      </c>
      <c r="Q16" s="455">
        <f t="shared" si="25"/>
        <v>2575.5014999999999</v>
      </c>
      <c r="R16" s="455">
        <f t="shared" si="25"/>
        <v>2575.5014999999999</v>
      </c>
      <c r="S16" s="455">
        <f t="shared" ref="S16:W16" si="26">S6/S15</f>
        <v>2575.5014999999999</v>
      </c>
      <c r="T16" s="455">
        <f t="shared" si="26"/>
        <v>2575.5014999999999</v>
      </c>
      <c r="U16" s="455">
        <f t="shared" si="26"/>
        <v>2575.5014999999999</v>
      </c>
      <c r="V16" s="455">
        <f t="shared" si="26"/>
        <v>2575.5014999999999</v>
      </c>
      <c r="W16" s="455">
        <f t="shared" si="26"/>
        <v>2575.5014999999999</v>
      </c>
    </row>
    <row r="17" spans="2:24">
      <c r="B17" s="443"/>
      <c r="C17" s="445"/>
      <c r="D17" s="445"/>
      <c r="E17" s="455"/>
      <c r="F17" s="455"/>
      <c r="G17" s="455"/>
      <c r="H17" s="455"/>
      <c r="I17" s="454"/>
      <c r="J17" s="454"/>
      <c r="K17" s="454"/>
      <c r="L17" s="455"/>
      <c r="M17" s="455"/>
      <c r="N17" s="455"/>
      <c r="O17" s="455"/>
      <c r="P17" s="455"/>
      <c r="Q17" s="455"/>
      <c r="R17" s="455"/>
      <c r="S17" s="455"/>
      <c r="T17" s="455"/>
      <c r="U17" s="455"/>
      <c r="V17" s="455"/>
      <c r="W17" s="455"/>
    </row>
    <row r="18" spans="2:24">
      <c r="B18" s="447" t="s">
        <v>325</v>
      </c>
      <c r="C18" s="445"/>
      <c r="D18" s="445"/>
      <c r="E18" s="443"/>
      <c r="F18" s="443"/>
      <c r="G18" s="448"/>
      <c r="H18" s="443"/>
      <c r="I18" s="454"/>
      <c r="J18" s="448"/>
      <c r="K18" s="443"/>
      <c r="L18" s="443"/>
      <c r="M18" s="443"/>
      <c r="N18" s="443"/>
      <c r="O18" s="443"/>
      <c r="P18" s="443"/>
      <c r="Q18" s="443"/>
      <c r="R18" s="443"/>
      <c r="S18" s="443"/>
      <c r="T18" s="443"/>
      <c r="U18" s="443"/>
      <c r="V18" s="443"/>
      <c r="W18" s="443"/>
    </row>
    <row r="19" spans="2:24">
      <c r="B19" s="443" t="s">
        <v>326</v>
      </c>
      <c r="C19" s="445"/>
      <c r="D19" s="445"/>
      <c r="E19" s="445"/>
      <c r="F19" s="445">
        <f>Master!M12</f>
        <v>4356</v>
      </c>
      <c r="G19" s="445">
        <f>Master!N12</f>
        <v>4847</v>
      </c>
      <c r="H19" s="445">
        <f>Master!O12</f>
        <v>5843</v>
      </c>
      <c r="I19" s="445">
        <f>Master!P12</f>
        <v>6915</v>
      </c>
      <c r="J19" s="445">
        <f>Master!Q12</f>
        <v>7715</v>
      </c>
      <c r="K19" s="445">
        <f>Master!R12</f>
        <v>9347</v>
      </c>
      <c r="L19" s="445">
        <f>Master!S12</f>
        <v>10161</v>
      </c>
      <c r="M19" s="445">
        <f>Master!T12</f>
        <v>11037</v>
      </c>
      <c r="N19" s="445">
        <f>Master!U12</f>
        <v>12116</v>
      </c>
      <c r="O19" s="445">
        <f>Master!V12</f>
        <v>12769.018</v>
      </c>
      <c r="P19" s="445">
        <f>Master!W12</f>
        <v>13319.993</v>
      </c>
      <c r="Q19" s="445">
        <f>Master!X12</f>
        <v>15052.832575733581</v>
      </c>
      <c r="R19" s="445">
        <f>Master!Y12</f>
        <v>16703.957652064935</v>
      </c>
      <c r="S19" s="445">
        <f>Master!Z12</f>
        <v>18327.740334193342</v>
      </c>
      <c r="T19" s="445">
        <f>Master!AA12</f>
        <v>19380.874705245034</v>
      </c>
      <c r="U19" s="445">
        <f>Master!AB12</f>
        <v>20348.811684158078</v>
      </c>
      <c r="V19" s="445">
        <f>Master!AC12</f>
        <v>21293.802702552686</v>
      </c>
      <c r="W19" s="445">
        <f>Master!AD12</f>
        <v>22256.816417354494</v>
      </c>
      <c r="X19" s="456">
        <f>(T19/Q19)^(1/3)-1</f>
        <v>8.7890157465585483E-2</v>
      </c>
    </row>
    <row r="20" spans="2:24">
      <c r="B20" s="443" t="s">
        <v>327</v>
      </c>
      <c r="C20" s="445"/>
      <c r="D20" s="445"/>
      <c r="E20" s="445"/>
      <c r="F20" s="445">
        <f>-Master!M44</f>
        <v>-2000</v>
      </c>
      <c r="G20" s="445">
        <f>-Master!N44</f>
        <v>-2336</v>
      </c>
      <c r="H20" s="445">
        <f>-Master!O44</f>
        <v>-3765</v>
      </c>
      <c r="I20" s="445">
        <f>-Master!P44</f>
        <v>-4874</v>
      </c>
      <c r="J20" s="445">
        <f>-Master!Q44</f>
        <v>-4692</v>
      </c>
      <c r="K20" s="445">
        <f>-Master!R44</f>
        <v>-5753.1229999999996</v>
      </c>
      <c r="L20" s="445">
        <f>-Master!S44</f>
        <v>-6535</v>
      </c>
      <c r="M20" s="445">
        <f>-Master!T44</f>
        <v>-8081</v>
      </c>
      <c r="N20" s="445">
        <f>-Master!U44</f>
        <v>-9466.5730000000003</v>
      </c>
      <c r="O20" s="445">
        <f>-Master!V44</f>
        <v>-11836</v>
      </c>
      <c r="P20" s="445">
        <f>-Master!W44</f>
        <v>-12949</v>
      </c>
      <c r="Q20" s="445">
        <f>-Master!X44</f>
        <v>-10918.295376578899</v>
      </c>
      <c r="R20" s="445">
        <f>-Master!Y44</f>
        <v>-10087.477536246211</v>
      </c>
      <c r="S20" s="445">
        <f>-Master!Z44</f>
        <v>-9687.2157358793829</v>
      </c>
      <c r="T20" s="445">
        <f>-Master!AA44</f>
        <v>-9427.2813729434729</v>
      </c>
      <c r="U20" s="445">
        <f>-Master!AB44</f>
        <v>-9903.9843102681043</v>
      </c>
      <c r="V20" s="445">
        <f>-Master!AC44</f>
        <v>-10371.713185924635</v>
      </c>
      <c r="W20" s="445">
        <f>-Master!AD44</f>
        <v>-10849.85768156236</v>
      </c>
      <c r="X20" s="456">
        <f t="shared" ref="X20:X25" si="27">(T20/Q20)^(1/3)-1</f>
        <v>-4.7765577631131872E-2</v>
      </c>
    </row>
    <row r="21" spans="2:24">
      <c r="B21" s="443" t="s">
        <v>328</v>
      </c>
      <c r="C21" s="445"/>
      <c r="D21" s="445"/>
      <c r="E21" s="445"/>
      <c r="F21" s="445">
        <f>-Master!M161</f>
        <v>-34</v>
      </c>
      <c r="G21" s="445">
        <f>-Master!N161</f>
        <v>36.900000000000006</v>
      </c>
      <c r="H21" s="445">
        <f>-Master!O161</f>
        <v>80.733000000000004</v>
      </c>
      <c r="I21" s="445">
        <f>-Master!P161</f>
        <v>213</v>
      </c>
      <c r="J21" s="445">
        <f>-Master!Q161</f>
        <v>-2.5</v>
      </c>
      <c r="K21" s="445">
        <f>-Master!R161</f>
        <v>-29.299999999999997</v>
      </c>
      <c r="L21" s="445">
        <f>-Master!S161</f>
        <v>-413</v>
      </c>
      <c r="M21" s="445">
        <f>-Master!T161</f>
        <v>-545</v>
      </c>
      <c r="N21" s="445">
        <f>-Master!U161</f>
        <v>-697</v>
      </c>
      <c r="O21" s="445">
        <f>-Master!V161</f>
        <v>-1196</v>
      </c>
      <c r="P21" s="445">
        <f>-Master!W161</f>
        <v>-1934.32</v>
      </c>
      <c r="Q21" s="445">
        <f ca="1">-Master!X161</f>
        <v>-1927.1022094474192</v>
      </c>
      <c r="R21" s="445">
        <f ca="1">-Master!Y161</f>
        <v>-2004.982414803399</v>
      </c>
      <c r="S21" s="445">
        <f ca="1">-Master!Z161</f>
        <v>-1905.1750436563566</v>
      </c>
      <c r="T21" s="445">
        <f ca="1">-Master!AA161</f>
        <v>-1639.0747507462811</v>
      </c>
      <c r="U21" s="445">
        <f ca="1">-Master!AB161</f>
        <v>-1367.2452702938772</v>
      </c>
      <c r="V21" s="445">
        <f ca="1">-Master!AC161</f>
        <v>-1228.4440639052707</v>
      </c>
      <c r="W21" s="445">
        <f ca="1">-Master!AD161</f>
        <v>-1306.3804451764161</v>
      </c>
      <c r="X21" s="456">
        <f t="shared" ca="1" si="27"/>
        <v>-5.2531739582657222E-2</v>
      </c>
    </row>
    <row r="22" spans="2:24">
      <c r="B22" s="443" t="s">
        <v>1594</v>
      </c>
      <c r="C22" s="445"/>
      <c r="D22" s="445"/>
      <c r="E22" s="445"/>
      <c r="F22" s="445"/>
      <c r="G22" s="445"/>
      <c r="H22" s="445"/>
      <c r="I22" s="445"/>
      <c r="J22" s="445"/>
      <c r="K22" s="445"/>
      <c r="L22" s="445">
        <f>-Master!S126</f>
        <v>-100</v>
      </c>
      <c r="M22" s="445">
        <f>-Master!T126</f>
        <v>-102</v>
      </c>
      <c r="N22" s="445">
        <f>-Master!U126</f>
        <v>-104.04</v>
      </c>
      <c r="O22" s="445">
        <f>-Master!V126</f>
        <v>-106.1208</v>
      </c>
      <c r="P22" s="445">
        <f>-Master!W126</f>
        <v>-108.243216</v>
      </c>
      <c r="Q22" s="445">
        <f>-Master!X126</f>
        <v>-110.40808032000001</v>
      </c>
      <c r="R22" s="445">
        <f>-Master!Y126</f>
        <v>-112.61624192640001</v>
      </c>
      <c r="S22" s="445">
        <f>-Master!Z126</f>
        <v>-114.868566764928</v>
      </c>
      <c r="T22" s="445">
        <f>-Master!AA126</f>
        <v>-117.16593810022657</v>
      </c>
      <c r="U22" s="445">
        <f>-Master!AB126</f>
        <v>-119.5092568622311</v>
      </c>
      <c r="V22" s="445">
        <f>-Master!AC126</f>
        <v>-121.89944199947573</v>
      </c>
      <c r="W22" s="445">
        <f>-Master!AD126</f>
        <v>-124.33743083946524</v>
      </c>
      <c r="X22" s="456">
        <f t="shared" si="27"/>
        <v>2.0000000000000018E-2</v>
      </c>
    </row>
    <row r="23" spans="2:24">
      <c r="B23" s="443" t="s">
        <v>329</v>
      </c>
      <c r="C23" s="445"/>
      <c r="D23" s="445"/>
      <c r="E23" s="445"/>
      <c r="F23" s="445">
        <f>-Master!M236</f>
        <v>-872</v>
      </c>
      <c r="G23" s="445">
        <f>-Master!N236</f>
        <v>-785.5</v>
      </c>
      <c r="H23" s="445">
        <f>-Master!O236</f>
        <v>-959</v>
      </c>
      <c r="I23" s="445">
        <f>-Master!P236</f>
        <v>-845</v>
      </c>
      <c r="J23" s="445">
        <f>-Master!Q236</f>
        <v>-1013</v>
      </c>
      <c r="K23" s="445">
        <f>-Master!R236</f>
        <v>-1347</v>
      </c>
      <c r="L23" s="445">
        <f>-Master!S236</f>
        <v>-1267</v>
      </c>
      <c r="M23" s="445">
        <f>-Master!T236</f>
        <v>-1430</v>
      </c>
      <c r="N23" s="445">
        <f ca="1">-Master!U236</f>
        <v>-1335.0124491413219</v>
      </c>
      <c r="O23" s="445">
        <f>-Master!V236</f>
        <v>-1416.9479524824808</v>
      </c>
      <c r="P23" s="445">
        <f>-Master!W236</f>
        <v>-1290.0766599965857</v>
      </c>
      <c r="Q23" s="445">
        <f ca="1">-Master!X236</f>
        <v>-1437.1241194690544</v>
      </c>
      <c r="R23" s="445">
        <f ca="1">-Master!Y236</f>
        <v>-1905.0586711156668</v>
      </c>
      <c r="S23" s="445">
        <f ca="1">-Master!Z236</f>
        <v>-2333.4477373355148</v>
      </c>
      <c r="T23" s="445">
        <f ca="1">-Master!AA236</f>
        <v>-2672.7826846112007</v>
      </c>
      <c r="U23" s="445">
        <f ca="1">-Master!AB236</f>
        <v>-3009.0100341846642</v>
      </c>
      <c r="V23" s="445">
        <f ca="1">-Master!AC236</f>
        <v>-3281.6998018695544</v>
      </c>
      <c r="W23" s="445">
        <f ca="1">-Master!AD236</f>
        <v>-3481.0411801798377</v>
      </c>
      <c r="X23" s="456">
        <f t="shared" ca="1" si="27"/>
        <v>0.22976781764908405</v>
      </c>
    </row>
    <row r="24" spans="2:24">
      <c r="B24" s="450" t="s">
        <v>330</v>
      </c>
      <c r="C24" s="451"/>
      <c r="D24" s="451"/>
      <c r="E24" s="451"/>
      <c r="F24" s="451">
        <f>Master!M32</f>
        <v>-131</v>
      </c>
      <c r="G24" s="451">
        <f>Master!N32</f>
        <v>-64.7</v>
      </c>
      <c r="H24" s="451">
        <f>Master!O32</f>
        <v>-161</v>
      </c>
      <c r="I24" s="451">
        <f>Master!P32</f>
        <v>-273</v>
      </c>
      <c r="J24" s="451">
        <f>Master!Q32</f>
        <v>-173</v>
      </c>
      <c r="K24" s="451">
        <f>Master!R32</f>
        <v>-174</v>
      </c>
      <c r="L24" s="451">
        <f>Master!S32</f>
        <v>-156</v>
      </c>
      <c r="M24" s="451">
        <f>Master!T32</f>
        <v>-171.60000000000002</v>
      </c>
      <c r="N24" s="451">
        <f>Master!U32</f>
        <v>-160.75700000000001</v>
      </c>
      <c r="O24" s="451">
        <f>Master!V32</f>
        <v>-168.411</v>
      </c>
      <c r="P24" s="451">
        <f>Master!W32</f>
        <v>-155</v>
      </c>
      <c r="Q24" s="451">
        <f>Master!X32</f>
        <v>-170.5</v>
      </c>
      <c r="R24" s="451">
        <f>Master!Y32</f>
        <v>-187.55</v>
      </c>
      <c r="S24" s="451">
        <f>Master!Z32</f>
        <v>-206.30500000000004</v>
      </c>
      <c r="T24" s="451">
        <f>Master!AA32</f>
        <v>-226.93550000000005</v>
      </c>
      <c r="U24" s="451">
        <f>Master!AB32</f>
        <v>-249.62905000000006</v>
      </c>
      <c r="V24" s="451">
        <f>Master!AC32</f>
        <v>-274.5919550000001</v>
      </c>
      <c r="W24" s="451">
        <f>Master!AD32</f>
        <v>-302.05115050000012</v>
      </c>
      <c r="X24" s="456">
        <f t="shared" si="27"/>
        <v>0.10000000000000009</v>
      </c>
    </row>
    <row r="25" spans="2:24">
      <c r="B25" s="443" t="s">
        <v>325</v>
      </c>
      <c r="C25" s="445"/>
      <c r="D25" s="445"/>
      <c r="E25" s="445"/>
      <c r="F25" s="445">
        <f>SUM(F19:F24)</f>
        <v>1319</v>
      </c>
      <c r="G25" s="445">
        <f>SUM(G19:G24)</f>
        <v>1697.7</v>
      </c>
      <c r="H25" s="445">
        <f>SUM(H19:H24)</f>
        <v>1038.7330000000002</v>
      </c>
      <c r="I25" s="445">
        <f t="shared" ref="I25:O25" si="28">SUM(I19:I24)</f>
        <v>1136</v>
      </c>
      <c r="J25" s="445">
        <f t="shared" si="28"/>
        <v>1834.5</v>
      </c>
      <c r="K25" s="445">
        <f t="shared" si="28"/>
        <v>2043.5770000000002</v>
      </c>
      <c r="L25" s="445">
        <f t="shared" si="28"/>
        <v>1690</v>
      </c>
      <c r="M25" s="445">
        <f t="shared" si="28"/>
        <v>707.4</v>
      </c>
      <c r="N25" s="445">
        <f t="shared" ca="1" si="28"/>
        <v>352.61755085867782</v>
      </c>
      <c r="O25" s="445">
        <f t="shared" si="28"/>
        <v>-1954.4617524824807</v>
      </c>
      <c r="P25" s="445">
        <f t="shared" ref="P25:Q25" si="29">SUM(P19:P24)</f>
        <v>-3116.6468759965855</v>
      </c>
      <c r="Q25" s="445">
        <f t="shared" ca="1" si="29"/>
        <v>489.4027899182081</v>
      </c>
      <c r="R25" s="445">
        <f ca="1">SUM(R19:R24)</f>
        <v>2406.2727879732583</v>
      </c>
      <c r="S25" s="445">
        <f t="shared" ref="S25:W25" ca="1" si="30">SUM(S19:S24)</f>
        <v>4080.7282505571607</v>
      </c>
      <c r="T25" s="445">
        <f t="shared" ca="1" si="30"/>
        <v>5297.6344588438533</v>
      </c>
      <c r="U25" s="445">
        <f t="shared" ca="1" si="30"/>
        <v>5699.4337625491999</v>
      </c>
      <c r="V25" s="445">
        <f t="shared" ca="1" si="30"/>
        <v>6015.4542538537517</v>
      </c>
      <c r="W25" s="445">
        <f t="shared" ca="1" si="30"/>
        <v>6193.1485290964147</v>
      </c>
      <c r="X25" s="456">
        <f t="shared" ca="1" si="27"/>
        <v>1.2121021736975779</v>
      </c>
    </row>
    <row r="26" spans="2:24">
      <c r="B26" s="443" t="s">
        <v>2824</v>
      </c>
      <c r="C26" s="445"/>
      <c r="D26" s="445"/>
      <c r="E26" s="445"/>
      <c r="F26" s="445"/>
      <c r="G26" s="445"/>
      <c r="H26" s="445"/>
      <c r="I26" s="445"/>
      <c r="J26" s="445"/>
      <c r="K26" s="445"/>
      <c r="L26" s="445"/>
      <c r="M26" s="445"/>
      <c r="N26" s="445"/>
      <c r="O26" s="445"/>
      <c r="P26" s="445">
        <f>P25-(P20*0.72)-0.2*Master!W7*0.72</f>
        <v>1905.2753640034134</v>
      </c>
      <c r="Q26" s="445">
        <f ca="1">Q25-(Q20*0.72)-0.2*Master!X7*0.72</f>
        <v>3586.2283876387673</v>
      </c>
      <c r="R26" s="445">
        <f ca="1">R25-(R20*0.72)-0.2*Master!Y7*0.72</f>
        <v>4481.4110240010514</v>
      </c>
      <c r="S26" s="445">
        <f ca="1">S25-(S20*0.72)-0.2*Master!Z7*0.72</f>
        <v>5475.6873165237912</v>
      </c>
      <c r="T26" s="445">
        <f ca="1">T25-(T20*0.72)-0.2*Master!AA7*0.72</f>
        <v>6182.9791443028935</v>
      </c>
      <c r="U26" s="445">
        <f ca="1">U25-(U20*0.72)-0.2*Master!AB7*0.72</f>
        <v>6629.5470716874197</v>
      </c>
      <c r="V26" s="445">
        <f ca="1">V25-(V20*0.72)-0.2*Master!AC7*0.72</f>
        <v>6989.4934052275421</v>
      </c>
      <c r="W26" s="445">
        <f ca="1">W25-(W20*0.72)-0.2*Master!AD7*0.72</f>
        <v>7212.0916852779237</v>
      </c>
      <c r="X26" s="456"/>
    </row>
    <row r="27" spans="2:24">
      <c r="B27" s="443"/>
      <c r="C27" s="445"/>
      <c r="D27" s="445"/>
      <c r="E27" s="445"/>
      <c r="F27" s="445"/>
      <c r="G27" s="443"/>
      <c r="H27" s="443"/>
      <c r="I27" s="452"/>
      <c r="J27" s="452"/>
      <c r="K27" s="443"/>
      <c r="L27" s="443"/>
      <c r="M27" s="448"/>
      <c r="N27" s="443"/>
      <c r="O27" s="443"/>
      <c r="P27" s="443"/>
      <c r="Q27" s="443"/>
      <c r="R27" s="443"/>
      <c r="S27" s="443"/>
      <c r="T27" s="443"/>
      <c r="U27" s="443"/>
      <c r="V27" s="443"/>
      <c r="W27" s="443"/>
    </row>
    <row r="28" spans="2:24">
      <c r="B28" s="443" t="s">
        <v>1002</v>
      </c>
      <c r="C28" s="445"/>
      <c r="D28" s="445"/>
      <c r="E28" s="445"/>
      <c r="F28" s="445">
        <f>Master!M22*(1-Master!M244)+Master!M19+Master!M20-Master!M44</f>
        <v>1559.12</v>
      </c>
      <c r="G28" s="445">
        <f>Master!N22*(1-Master!N244)+Master!N19+Master!N20-Master!N44</f>
        <v>1638.7439999999997</v>
      </c>
      <c r="H28" s="445">
        <f>Master!O22*(1-Master!O244)+Master!O19+Master!O20-Master!O44</f>
        <v>988.51999999999953</v>
      </c>
      <c r="I28" s="445">
        <f>Master!P22*(1-Master!P244)+Master!P19+Master!P20-Master!P44</f>
        <v>981.70000000000073</v>
      </c>
      <c r="J28" s="445">
        <f>Master!Q22*(1-Master!Q244)+Master!Q19+Master!Q20-Master!Q44</f>
        <v>1820.0999999999995</v>
      </c>
      <c r="K28" s="445">
        <f>Master!R22*(1-Master!R244)+Master!R19+Master!R20-Master!R44</f>
        <v>2260.7430000000004</v>
      </c>
      <c r="L28" s="445">
        <f>Master!S22*(1-Master!S244)+Master!S19+Master!S20-Master!S44</f>
        <v>2295.880000000001</v>
      </c>
      <c r="M28" s="445">
        <f>Master!T22*(1-Master!T244)+Master!T19+Master!T20-Master!T44</f>
        <v>1563.619999999999</v>
      </c>
      <c r="N28" s="445">
        <f ca="1">Master!U22*(1-Master!U244)+Master!U19+Master!U20-Master!U44</f>
        <v>1149.4669999999987</v>
      </c>
      <c r="O28" s="445">
        <f>Master!V22*(1-Master!V244)+Master!V19+Master!V20-Master!V44</f>
        <v>-829.75827000000027</v>
      </c>
      <c r="P28" s="445">
        <f>Master!W22*(1-Master!W244)+Master!W19+Master!W20-Master!W44</f>
        <v>-1526.4481800000012</v>
      </c>
      <c r="Q28" s="445">
        <f>Master!X22*(1-Master!X244)+Master!X19+Master!X20-Master!X44</f>
        <v>2119.2824168513998</v>
      </c>
      <c r="R28" s="445">
        <f ca="1">Master!Y22*(1-Master!Y244)+Master!Y19+Master!Y20-Master!Y44</f>
        <v>4109.9267202620358</v>
      </c>
      <c r="S28" s="445">
        <f ca="1">Master!Z22*(1-Master!Z244)+Master!Z19+Master!Z20-Master!Z44</f>
        <v>5735.5243478815373</v>
      </c>
      <c r="T28" s="445">
        <f ca="1">Master!AA22*(1-Master!AA244)+Master!AA19+Master!AA20-Master!AA44</f>
        <v>6789.0882224664765</v>
      </c>
      <c r="U28" s="445">
        <f ca="1">Master!AB22*(1-Master!AB244)+Master!AB19+Master!AB20-Master!AB44</f>
        <v>7025.6437586171414</v>
      </c>
      <c r="V28" s="445">
        <f ca="1">Master!AC22*(1-Master!AC244)+Master!AC19+Master!AC20-Master!AC44</f>
        <v>7271.8564955869169</v>
      </c>
      <c r="W28" s="445">
        <f ca="1">Master!AD22*(1-Master!AD244)+Master!AD19+Master!AD20-Master!AD44</f>
        <v>7534.0034220593698</v>
      </c>
    </row>
    <row r="29" spans="2:24">
      <c r="B29" s="443"/>
      <c r="C29" s="445"/>
      <c r="D29" s="445"/>
      <c r="E29" s="445"/>
      <c r="F29" s="445"/>
      <c r="G29" s="443"/>
      <c r="H29" s="443"/>
      <c r="I29" s="452"/>
      <c r="J29" s="452"/>
      <c r="K29" s="443"/>
      <c r="L29" s="443"/>
      <c r="M29" s="443"/>
      <c r="N29" s="443"/>
      <c r="O29" s="443"/>
      <c r="P29" s="443"/>
      <c r="Q29" s="443"/>
      <c r="R29" s="443"/>
      <c r="S29" s="443"/>
      <c r="T29" s="443"/>
      <c r="U29" s="443"/>
      <c r="V29" s="443"/>
      <c r="W29" s="443"/>
    </row>
    <row r="30" spans="2:24">
      <c r="B30" s="443" t="s">
        <v>331</v>
      </c>
      <c r="C30" s="445"/>
      <c r="D30" s="445"/>
      <c r="E30" s="445"/>
      <c r="F30" s="445">
        <f t="shared" ref="F30:O30" si="31">F6</f>
        <v>43822.106999999996</v>
      </c>
      <c r="G30" s="445">
        <f t="shared" si="31"/>
        <v>43822.106999999996</v>
      </c>
      <c r="H30" s="445">
        <f t="shared" si="31"/>
        <v>43822.106999999996</v>
      </c>
      <c r="I30" s="445">
        <f t="shared" si="31"/>
        <v>43822.106999999996</v>
      </c>
      <c r="J30" s="445">
        <f t="shared" si="31"/>
        <v>43822.106999999996</v>
      </c>
      <c r="K30" s="445">
        <f t="shared" si="31"/>
        <v>43822.106999999996</v>
      </c>
      <c r="L30" s="445">
        <f t="shared" si="31"/>
        <v>43822.106999999996</v>
      </c>
      <c r="M30" s="445">
        <f t="shared" si="31"/>
        <v>43861.938000000002</v>
      </c>
      <c r="N30" s="445">
        <f t="shared" si="31"/>
        <v>43731.275999999998</v>
      </c>
      <c r="O30" s="445">
        <f t="shared" si="31"/>
        <v>43738.4925</v>
      </c>
      <c r="P30" s="445">
        <f t="shared" ref="P30:R30" si="32">P6</f>
        <v>43783.525499999996</v>
      </c>
      <c r="Q30" s="445">
        <f t="shared" si="32"/>
        <v>43783.525499999996</v>
      </c>
      <c r="R30" s="445">
        <f t="shared" si="32"/>
        <v>43783.525499999996</v>
      </c>
      <c r="S30" s="445">
        <f t="shared" ref="S30:W30" si="33">S6</f>
        <v>43783.525499999996</v>
      </c>
      <c r="T30" s="445">
        <f t="shared" si="33"/>
        <v>43783.525499999996</v>
      </c>
      <c r="U30" s="445">
        <f t="shared" si="33"/>
        <v>43783.525499999996</v>
      </c>
      <c r="V30" s="445">
        <f t="shared" si="33"/>
        <v>43783.525499999996</v>
      </c>
      <c r="W30" s="445">
        <f t="shared" si="33"/>
        <v>43783.525499999996</v>
      </c>
    </row>
    <row r="31" spans="2:24">
      <c r="B31" s="443" t="s">
        <v>332</v>
      </c>
      <c r="C31" s="445"/>
      <c r="D31" s="445"/>
      <c r="E31" s="445"/>
      <c r="F31" s="445"/>
      <c r="G31" s="445"/>
      <c r="H31" s="445"/>
      <c r="I31" s="445"/>
      <c r="J31" s="445"/>
      <c r="K31" s="445"/>
      <c r="L31" s="445"/>
      <c r="M31" s="445"/>
      <c r="N31" s="445"/>
      <c r="O31" s="445"/>
      <c r="P31" s="445"/>
      <c r="Q31" s="445"/>
      <c r="R31" s="445"/>
      <c r="S31" s="445"/>
      <c r="T31" s="445"/>
      <c r="U31" s="445"/>
      <c r="V31" s="445"/>
      <c r="W31" s="445"/>
    </row>
    <row r="32" spans="2:24">
      <c r="B32" s="450" t="s">
        <v>333</v>
      </c>
      <c r="C32" s="451"/>
      <c r="D32" s="451"/>
      <c r="E32" s="451"/>
      <c r="F32" s="451">
        <f t="shared" ref="F32:O32" si="34">F8+F10</f>
        <v>0</v>
      </c>
      <c r="G32" s="451">
        <f t="shared" si="34"/>
        <v>0</v>
      </c>
      <c r="H32" s="451">
        <f t="shared" si="34"/>
        <v>0</v>
      </c>
      <c r="I32" s="451">
        <f t="shared" si="34"/>
        <v>0</v>
      </c>
      <c r="J32" s="451">
        <f t="shared" si="34"/>
        <v>0</v>
      </c>
      <c r="K32" s="451">
        <f t="shared" si="34"/>
        <v>0</v>
      </c>
      <c r="L32" s="451">
        <f t="shared" si="34"/>
        <v>0</v>
      </c>
      <c r="M32" s="451">
        <f t="shared" si="34"/>
        <v>0</v>
      </c>
      <c r="N32" s="451">
        <f t="shared" si="34"/>
        <v>0</v>
      </c>
      <c r="O32" s="451">
        <f t="shared" si="34"/>
        <v>0</v>
      </c>
      <c r="P32" s="451">
        <f t="shared" ref="P32:R32" si="35">P8+P10</f>
        <v>0</v>
      </c>
      <c r="Q32" s="451">
        <f t="shared" si="35"/>
        <v>0</v>
      </c>
      <c r="R32" s="451">
        <f t="shared" si="35"/>
        <v>0</v>
      </c>
      <c r="S32" s="451">
        <f t="shared" ref="S32:W32" si="36">S8+S10</f>
        <v>0</v>
      </c>
      <c r="T32" s="451">
        <f t="shared" si="36"/>
        <v>0</v>
      </c>
      <c r="U32" s="451">
        <f t="shared" si="36"/>
        <v>0</v>
      </c>
      <c r="V32" s="451">
        <f t="shared" si="36"/>
        <v>0</v>
      </c>
      <c r="W32" s="451">
        <f t="shared" si="36"/>
        <v>0</v>
      </c>
    </row>
    <row r="33" spans="2:25">
      <c r="B33" s="443" t="s">
        <v>334</v>
      </c>
      <c r="C33" s="445"/>
      <c r="D33" s="445"/>
      <c r="E33" s="445"/>
      <c r="F33" s="445">
        <f>SUM(F30:F32)</f>
        <v>43822.106999999996</v>
      </c>
      <c r="G33" s="445">
        <f>SUM(G30:G32)</f>
        <v>43822.106999999996</v>
      </c>
      <c r="H33" s="445">
        <f>SUM(H30:H32)</f>
        <v>43822.106999999996</v>
      </c>
      <c r="I33" s="445">
        <f t="shared" ref="I33:O33" si="37">SUM(I30:I32)</f>
        <v>43822.106999999996</v>
      </c>
      <c r="J33" s="445">
        <f t="shared" si="37"/>
        <v>43822.106999999996</v>
      </c>
      <c r="K33" s="445">
        <f t="shared" si="37"/>
        <v>43822.106999999996</v>
      </c>
      <c r="L33" s="445">
        <f t="shared" si="37"/>
        <v>43822.106999999996</v>
      </c>
      <c r="M33" s="445">
        <f t="shared" si="37"/>
        <v>43861.938000000002</v>
      </c>
      <c r="N33" s="445">
        <f t="shared" si="37"/>
        <v>43731.275999999998</v>
      </c>
      <c r="O33" s="445">
        <f t="shared" si="37"/>
        <v>43738.4925</v>
      </c>
      <c r="P33" s="445">
        <f t="shared" ref="P33:R33" si="38">SUM(P30:P32)</f>
        <v>43783.525499999996</v>
      </c>
      <c r="Q33" s="445">
        <f t="shared" si="38"/>
        <v>43783.525499999996</v>
      </c>
      <c r="R33" s="445">
        <f t="shared" si="38"/>
        <v>43783.525499999996</v>
      </c>
      <c r="S33" s="445">
        <f t="shared" ref="S33:W33" si="39">SUM(S30:S32)</f>
        <v>43783.525499999996</v>
      </c>
      <c r="T33" s="445">
        <f t="shared" si="39"/>
        <v>43783.525499999996</v>
      </c>
      <c r="U33" s="445">
        <f t="shared" si="39"/>
        <v>43783.525499999996</v>
      </c>
      <c r="V33" s="445">
        <f t="shared" si="39"/>
        <v>43783.525499999996</v>
      </c>
      <c r="W33" s="445">
        <f t="shared" si="39"/>
        <v>43783.525499999996</v>
      </c>
    </row>
    <row r="34" spans="2:25">
      <c r="B34" s="443"/>
      <c r="C34" s="445"/>
      <c r="D34" s="445"/>
      <c r="E34" s="445"/>
      <c r="F34" s="445"/>
      <c r="G34" s="443"/>
      <c r="H34" s="443"/>
      <c r="I34" s="443"/>
      <c r="J34" s="443"/>
      <c r="K34" s="443"/>
      <c r="L34" s="443"/>
      <c r="M34" s="443"/>
      <c r="N34" s="443"/>
      <c r="O34" s="443"/>
      <c r="P34" s="443"/>
      <c r="Q34" s="443"/>
      <c r="R34" s="443"/>
      <c r="S34" s="443"/>
      <c r="T34" s="443"/>
      <c r="U34" s="443"/>
      <c r="V34" s="443"/>
      <c r="W34" s="443"/>
    </row>
    <row r="35" spans="2:25">
      <c r="B35" s="443" t="s">
        <v>335</v>
      </c>
      <c r="C35" s="445"/>
      <c r="D35" s="457"/>
      <c r="E35" s="457">
        <f>Master!L37</f>
        <v>2.0073411773469916</v>
      </c>
      <c r="F35" s="457">
        <f>Master!M37</f>
        <v>2.2782473695297218</v>
      </c>
      <c r="G35" s="457">
        <f>Master!N37</f>
        <v>2.4758370832120429</v>
      </c>
      <c r="H35" s="457">
        <f>Master!O37</f>
        <v>3.0683490237744109</v>
      </c>
      <c r="I35" s="457">
        <f>Master!P37</f>
        <v>3.7117373076734448</v>
      </c>
      <c r="J35" s="457">
        <f>Master!Q37</f>
        <v>4.5104922674780328</v>
      </c>
      <c r="K35" s="457">
        <f>Master!R37</f>
        <v>5.4448857448973076</v>
      </c>
      <c r="L35" s="457">
        <f>Master!S37</f>
        <v>6.1970049786589572</v>
      </c>
      <c r="M35" s="457">
        <f>Master!T37</f>
        <v>6.6040066167942078</v>
      </c>
      <c r="N35" s="457">
        <f ca="1">Master!U37</f>
        <v>6.9581760376342965</v>
      </c>
      <c r="O35" s="457">
        <f>Master!V37</f>
        <v>7.0597864748355335</v>
      </c>
      <c r="P35" s="457">
        <f>Master!W37</f>
        <v>7.6704683956452273</v>
      </c>
      <c r="Q35" s="457">
        <f ca="1">Master!X37</f>
        <v>8.1968432528452801</v>
      </c>
      <c r="R35" s="457">
        <f ca="1">Master!Y37</f>
        <v>9.6302235454454461</v>
      </c>
      <c r="S35" s="457">
        <f ca="1">Master!Z37</f>
        <v>10.540187774414708</v>
      </c>
      <c r="T35" s="457">
        <f ca="1">Master!AA37</f>
        <v>10.818522449610722</v>
      </c>
      <c r="U35" s="457">
        <f ca="1">Master!AB37</f>
        <v>11.072660882183882</v>
      </c>
      <c r="V35" s="457">
        <f ca="1">Master!AC37</f>
        <v>11.461374466882859</v>
      </c>
      <c r="W35" s="457">
        <f ca="1">Master!AD37</f>
        <v>12.152746748863224</v>
      </c>
      <c r="Y35" s="457"/>
    </row>
    <row r="36" spans="2:25">
      <c r="B36" s="443" t="s">
        <v>19</v>
      </c>
      <c r="C36" s="445"/>
      <c r="D36" s="457"/>
      <c r="E36" s="457">
        <f>Master!L38</f>
        <v>0.620529</v>
      </c>
      <c r="F36" s="457">
        <f>Master!M38</f>
        <v>1.8254410000000001</v>
      </c>
      <c r="G36" s="457">
        <f>Master!N38</f>
        <v>1.1399999999999999</v>
      </c>
      <c r="H36" s="457">
        <f>Master!O38</f>
        <v>1.36</v>
      </c>
      <c r="I36" s="457">
        <f>Master!P38</f>
        <v>1.62</v>
      </c>
      <c r="J36" s="457">
        <f>Master!Q38</f>
        <v>1.78</v>
      </c>
      <c r="K36" s="457">
        <f>Master!R38</f>
        <v>2.1800000000000002</v>
      </c>
      <c r="L36" s="457">
        <f>Master!S38</f>
        <v>1.78</v>
      </c>
      <c r="M36" s="457">
        <f>Master!T38</f>
        <v>2.56</v>
      </c>
      <c r="N36" s="457">
        <f>Master!U38</f>
        <v>2.82</v>
      </c>
      <c r="O36" s="457">
        <f>Master!V38</f>
        <v>2.96</v>
      </c>
      <c r="P36" s="457">
        <f>Master!W38</f>
        <v>3.05</v>
      </c>
      <c r="Q36" s="457">
        <f>Master!X38</f>
        <v>3.2025000000000001</v>
      </c>
      <c r="R36" s="457">
        <f>Master!Y38</f>
        <v>3.5227500000000003</v>
      </c>
      <c r="S36" s="457">
        <f>Master!Z38</f>
        <v>3.8750250000000008</v>
      </c>
      <c r="T36" s="457">
        <f>Master!AA38</f>
        <v>4.2625275000000009</v>
      </c>
      <c r="U36" s="457">
        <f>Master!AB38</f>
        <v>4.6887802500000015</v>
      </c>
      <c r="V36" s="457">
        <f>Master!AC38</f>
        <v>5.157658275000002</v>
      </c>
      <c r="W36" s="457">
        <f>Master!AD38</f>
        <v>5.673424102500003</v>
      </c>
    </row>
    <row r="37" spans="2:25">
      <c r="B37" s="443"/>
      <c r="C37" s="445"/>
      <c r="D37" s="445"/>
      <c r="E37" s="458"/>
      <c r="F37" s="443"/>
      <c r="G37" s="458"/>
      <c r="H37" s="458" t="s">
        <v>5</v>
      </c>
      <c r="I37" s="458"/>
      <c r="J37" s="458"/>
      <c r="K37" s="458"/>
      <c r="L37" s="457"/>
      <c r="M37" s="458"/>
      <c r="N37" s="458"/>
      <c r="O37" s="458"/>
      <c r="P37" s="458"/>
      <c r="Q37" s="458"/>
      <c r="R37" s="458"/>
      <c r="S37" s="458"/>
      <c r="T37" s="458"/>
      <c r="U37" s="458"/>
      <c r="V37" s="458"/>
      <c r="W37" s="458"/>
    </row>
    <row r="38" spans="2:25">
      <c r="B38" s="443" t="s">
        <v>336</v>
      </c>
      <c r="C38" s="445"/>
      <c r="D38" s="457"/>
      <c r="E38" s="457"/>
      <c r="F38" s="457">
        <f t="shared" ref="F38:O38" si="40">F13/F19</f>
        <v>11.119591175350079</v>
      </c>
      <c r="G38" s="457">
        <f t="shared" si="40"/>
        <v>9.850348495940775</v>
      </c>
      <c r="H38" s="457">
        <f t="shared" si="40"/>
        <v>8.4278006434750878</v>
      </c>
      <c r="I38" s="457">
        <f t="shared" si="40"/>
        <v>7.422507470690519</v>
      </c>
      <c r="J38" s="457">
        <f t="shared" si="40"/>
        <v>6.452189132835378</v>
      </c>
      <c r="K38" s="457">
        <f>K13/K19</f>
        <v>5.2862457643976617</v>
      </c>
      <c r="L38" s="457">
        <f t="shared" si="40"/>
        <v>5.2786772128555199</v>
      </c>
      <c r="M38" s="457">
        <f t="shared" si="40"/>
        <v>4.7571628304634368</v>
      </c>
      <c r="N38" s="457">
        <f t="shared" si="40"/>
        <v>4.4090507725177401</v>
      </c>
      <c r="O38" s="457">
        <f t="shared" si="40"/>
        <v>4.8243058048649425</v>
      </c>
      <c r="P38" s="457">
        <f t="shared" ref="P38:R38" si="41">P13/P19</f>
        <v>5.1818216916348936</v>
      </c>
      <c r="Q38" s="457">
        <f t="shared" ca="1" si="41"/>
        <v>4.5282562896387688</v>
      </c>
      <c r="R38" s="457">
        <f t="shared" ca="1" si="41"/>
        <v>3.9160630102285388</v>
      </c>
      <c r="S38" s="457">
        <f t="shared" ref="S38:W38" ca="1" si="42">S13/S19</f>
        <v>3.3294139828746077</v>
      </c>
      <c r="T38" s="457">
        <f t="shared" ca="1" si="42"/>
        <v>2.8591742334709305</v>
      </c>
      <c r="U38" s="457">
        <f t="shared" ca="1" si="42"/>
        <v>2.4274052643433475</v>
      </c>
      <c r="V38" s="457">
        <f t="shared" ca="1" si="42"/>
        <v>2.0210718984355256</v>
      </c>
      <c r="W38" s="457">
        <f t="shared" ca="1" si="42"/>
        <v>1.6386236703799615</v>
      </c>
      <c r="Y38" s="457">
        <f>((N38*3)+(O38*9))/12</f>
        <v>4.7204920467781415</v>
      </c>
    </row>
    <row r="39" spans="2:25">
      <c r="B39" s="443" t="s">
        <v>337</v>
      </c>
      <c r="C39" s="459"/>
      <c r="D39" s="457"/>
      <c r="E39" s="457"/>
      <c r="F39" s="457">
        <f>F13/Master!M52</f>
        <v>20.558972478703286</v>
      </c>
      <c r="G39" s="457">
        <f>G13/Master!N52</f>
        <v>19.014193213789301</v>
      </c>
      <c r="H39" s="457">
        <f>H13/Master!O52</f>
        <v>23.697612685190059</v>
      </c>
      <c r="I39" s="457">
        <f>I13/Master!P52</f>
        <v>25.14778988722437</v>
      </c>
      <c r="J39" s="457">
        <f>J13/Master!Q52</f>
        <v>16.46663551433177</v>
      </c>
      <c r="K39" s="457">
        <f>K13/Master!R52</f>
        <v>13.748533731072303</v>
      </c>
      <c r="L39" s="457">
        <f>L13/Master!S52</f>
        <v>14.792233634811069</v>
      </c>
      <c r="M39" s="457">
        <f>M13/Master!T52</f>
        <v>17.762113044595718</v>
      </c>
      <c r="N39" s="457">
        <f>N13/Master!U52</f>
        <v>20.162872636168103</v>
      </c>
      <c r="O39" s="457">
        <f>O13/Master!V52</f>
        <v>66.024072054156449</v>
      </c>
      <c r="P39" s="457">
        <f>P13/Master!W52</f>
        <v>186.04617515647161</v>
      </c>
      <c r="Q39" s="457">
        <f ca="1">Q13/Master!X52</f>
        <v>16.486266903555997</v>
      </c>
      <c r="R39" s="457">
        <f ca="1">R13/Master!Y52</f>
        <v>9.8864879120975253</v>
      </c>
      <c r="S39" s="457">
        <f ca="1">S13/Master!Z52</f>
        <v>7.0621446937452514</v>
      </c>
      <c r="T39" s="457">
        <f ca="1">T13/Master!AA52</f>
        <v>5.5671651160929976</v>
      </c>
      <c r="U39" s="457">
        <f ca="1">U13/Master!AB52</f>
        <v>4.7291171828013274</v>
      </c>
      <c r="V39" s="457">
        <f ca="1">V13/Master!AC52</f>
        <v>3.9402997189722875</v>
      </c>
      <c r="W39" s="457">
        <f ca="1">W13/Master!AD52</f>
        <v>3.197219088234545</v>
      </c>
    </row>
    <row r="40" spans="2:25">
      <c r="B40" s="443" t="s">
        <v>338</v>
      </c>
      <c r="C40" s="460"/>
      <c r="D40" s="457"/>
      <c r="E40" s="457"/>
      <c r="F40" s="457">
        <f>F39/(1-Master!M244)</f>
        <v>28.554128442643453</v>
      </c>
      <c r="G40" s="457">
        <f>G39/(1-Master!N244)</f>
        <v>26.408601685818475</v>
      </c>
      <c r="H40" s="457">
        <f>H39/(1-Master!O244)</f>
        <v>32.913350951652859</v>
      </c>
      <c r="I40" s="457">
        <f>I39/(1-Master!P244)</f>
        <v>32.240756265672267</v>
      </c>
      <c r="J40" s="457">
        <f>J39/(1-Master!Q244)</f>
        <v>21.385240927703599</v>
      </c>
      <c r="K40" s="457">
        <f>K39/(1-Master!R244)</f>
        <v>17.626325296246542</v>
      </c>
      <c r="L40" s="457">
        <f>L39/(1-Master!S244)</f>
        <v>18.964402095911627</v>
      </c>
      <c r="M40" s="457">
        <f>M39/(1-Master!T244)</f>
        <v>22.771939800763739</v>
      </c>
      <c r="N40" s="457">
        <f>N39/(1-Master!U244)</f>
        <v>25.84983671303603</v>
      </c>
      <c r="O40" s="457">
        <f>O39/(1-Master!V244)</f>
        <v>90.443934320762267</v>
      </c>
      <c r="P40" s="457">
        <f>P39/(1-Master!W244)</f>
        <v>269.63213790792986</v>
      </c>
      <c r="Q40" s="457">
        <f ca="1">Q39/(1-Master!X244)</f>
        <v>23.551809862222854</v>
      </c>
      <c r="R40" s="457">
        <f ca="1">R39/(1-Master!Y244)</f>
        <v>14.123554160139323</v>
      </c>
      <c r="S40" s="457">
        <f ca="1">S39/(1-Master!Z244)</f>
        <v>10.088778133921789</v>
      </c>
      <c r="T40" s="457">
        <f ca="1">T39/(1-Master!AA244)</f>
        <v>7.9530930229899974</v>
      </c>
      <c r="U40" s="457">
        <f ca="1">U39/(1-Master!AB244)</f>
        <v>6.7558816897161824</v>
      </c>
      <c r="V40" s="457">
        <f ca="1">V39/(1-Master!AC244)</f>
        <v>5.6289995985318395</v>
      </c>
      <c r="W40" s="457">
        <f ca="1">W39/(1-Master!AD244)</f>
        <v>4.5674558403350645</v>
      </c>
    </row>
    <row r="41" spans="2:25">
      <c r="B41" s="443" t="s">
        <v>1003</v>
      </c>
      <c r="C41" s="460"/>
      <c r="D41" s="457"/>
      <c r="E41" s="457"/>
      <c r="F41" s="457">
        <f>F13/Master!M22</f>
        <v>17.019303991505602</v>
      </c>
      <c r="G41" s="457">
        <f>G13/Master!N22</f>
        <v>15.326347958341341</v>
      </c>
      <c r="H41" s="457">
        <f>H13/Master!O22</f>
        <v>12.65577978921227</v>
      </c>
      <c r="I41" s="457">
        <f>I13/Master!P22</f>
        <v>10.659738143265823</v>
      </c>
      <c r="J41" s="457">
        <f>J13/Master!Q22</f>
        <v>9.51790423706022</v>
      </c>
      <c r="K41" s="457">
        <f>K13/Master!R22</f>
        <v>8.1539579780888403</v>
      </c>
      <c r="L41" s="457">
        <f>L13/Master!S22</f>
        <v>8.8714255970600302</v>
      </c>
      <c r="M41" s="457">
        <f>M13/Master!T22</f>
        <v>8.2959086996089351</v>
      </c>
      <c r="N41" s="457">
        <f ca="1">N13/Master!U22</f>
        <v>7.835150947466258</v>
      </c>
      <c r="O41" s="457">
        <f>O13/Master!V22</f>
        <v>9.4353691680639269</v>
      </c>
      <c r="P41" s="457">
        <f>P13/Master!W22</f>
        <v>11.276643044368695</v>
      </c>
      <c r="Q41" s="457">
        <f ca="1">Q13/Master!X22</f>
        <v>10.147066919752916</v>
      </c>
      <c r="R41" s="457">
        <f ca="1">R13/Master!Y22</f>
        <v>7.8291271354880774</v>
      </c>
      <c r="S41" s="457">
        <f ca="1">S13/Master!Z22</f>
        <v>6.3016140808327021</v>
      </c>
      <c r="T41" s="457">
        <f ca="1">T13/Master!AA22</f>
        <v>5.2532666868330251</v>
      </c>
      <c r="U41" s="457">
        <f ca="1">U13/Master!AB22</f>
        <v>4.3339128426405411</v>
      </c>
      <c r="V41" s="457">
        <f ca="1">V13/Master!AC22</f>
        <v>3.5370048436538997</v>
      </c>
      <c r="W41" s="457">
        <f ca="1">W13/Master!AD22</f>
        <v>2.8250168092149774</v>
      </c>
    </row>
    <row r="42" spans="2:25">
      <c r="B42" s="443" t="s">
        <v>1004</v>
      </c>
      <c r="C42" s="460"/>
      <c r="D42" s="457"/>
      <c r="E42" s="457"/>
      <c r="F42" s="457">
        <f>F13/F28</f>
        <v>31.066844861091479</v>
      </c>
      <c r="G42" s="457">
        <f t="shared" ref="G42:O42" si="43">G13/G28</f>
        <v>29.134897921716234</v>
      </c>
      <c r="H42" s="457">
        <f t="shared" si="43"/>
        <v>49.815521344864003</v>
      </c>
      <c r="I42" s="457">
        <f t="shared" si="43"/>
        <v>52.283425852933583</v>
      </c>
      <c r="J42" s="457">
        <f t="shared" si="43"/>
        <v>27.349397923094859</v>
      </c>
      <c r="K42" s="457">
        <f t="shared" si="43"/>
        <v>21.855885060718947</v>
      </c>
      <c r="L42" s="457">
        <f t="shared" si="43"/>
        <v>23.362126574483387</v>
      </c>
      <c r="M42" s="457">
        <f t="shared" si="43"/>
        <v>33.579006510421316</v>
      </c>
      <c r="N42" s="457">
        <f t="shared" ca="1" si="43"/>
        <v>46.473764936118222</v>
      </c>
      <c r="O42" s="457">
        <f t="shared" si="43"/>
        <v>-74.240474469540288</v>
      </c>
      <c r="P42" s="457">
        <f t="shared" ref="P42:R42" si="44">P13/P28</f>
        <v>-45.217276003319604</v>
      </c>
      <c r="Q42" s="457">
        <f t="shared" ca="1" si="44"/>
        <v>32.163284725975437</v>
      </c>
      <c r="R42" s="457">
        <f t="shared" ca="1" si="44"/>
        <v>15.916038201650679</v>
      </c>
      <c r="S42" s="457">
        <f t="shared" ref="S42:W42" ca="1" si="45">S13/S28</f>
        <v>10.639068242417403</v>
      </c>
      <c r="T42" s="457">
        <f t="shared" ca="1" si="45"/>
        <v>8.1621118718108896</v>
      </c>
      <c r="U42" s="457">
        <f t="shared" ca="1" si="45"/>
        <v>7.0306457745843813</v>
      </c>
      <c r="V42" s="457">
        <f t="shared" ca="1" si="45"/>
        <v>5.9182007069415068</v>
      </c>
      <c r="W42" s="457">
        <f t="shared" ca="1" si="45"/>
        <v>4.8407923604060992</v>
      </c>
    </row>
    <row r="43" spans="2:25">
      <c r="B43" s="443"/>
      <c r="C43" s="460"/>
      <c r="D43" s="460"/>
      <c r="E43" s="460"/>
      <c r="F43" s="460"/>
      <c r="G43" s="457"/>
      <c r="H43" s="443"/>
      <c r="I43" s="458"/>
      <c r="J43" s="458"/>
      <c r="K43" s="458"/>
      <c r="L43" s="443"/>
      <c r="M43" s="443"/>
      <c r="N43" s="443"/>
      <c r="O43" s="443"/>
      <c r="P43" s="443"/>
      <c r="Q43" s="443"/>
      <c r="R43" s="443"/>
      <c r="S43" s="443"/>
      <c r="T43" s="443"/>
      <c r="U43" s="443"/>
      <c r="V43" s="443"/>
      <c r="W43" s="443"/>
    </row>
    <row r="44" spans="2:25">
      <c r="B44" s="443" t="s">
        <v>339</v>
      </c>
      <c r="C44" s="446"/>
      <c r="D44" s="457"/>
      <c r="E44" s="457"/>
      <c r="F44" s="457">
        <f t="shared" ref="F44:W44" si="46">1/F45</f>
        <v>33.223735405610306</v>
      </c>
      <c r="G44" s="457">
        <f>1/G45</f>
        <v>25.812632974023678</v>
      </c>
      <c r="H44" s="457">
        <f t="shared" si="46"/>
        <v>42.188037734432221</v>
      </c>
      <c r="I44" s="457">
        <f t="shared" si="46"/>
        <v>38.575798415492955</v>
      </c>
      <c r="J44" s="457">
        <f t="shared" si="46"/>
        <v>23.887766148814389</v>
      </c>
      <c r="K44" s="457">
        <f t="shared" si="46"/>
        <v>21.443824724979773</v>
      </c>
      <c r="L44" s="457">
        <f t="shared" si="46"/>
        <v>25.930240828402361</v>
      </c>
      <c r="M44" s="457">
        <f t="shared" si="46"/>
        <v>62.004435962680247</v>
      </c>
      <c r="N44" s="457">
        <f t="shared" ca="1" si="46"/>
        <v>124.01899988672609</v>
      </c>
      <c r="O44" s="457">
        <f t="shared" si="46"/>
        <v>-22.378791728436273</v>
      </c>
      <c r="P44" s="457">
        <f t="shared" si="46"/>
        <v>-14.048279205837101</v>
      </c>
      <c r="Q44" s="457">
        <f t="shared" ca="1" si="46"/>
        <v>89.463171036105777</v>
      </c>
      <c r="R44" s="457">
        <f ca="1">1/R45</f>
        <v>18.195578539072343</v>
      </c>
      <c r="S44" s="457">
        <f t="shared" ca="1" si="46"/>
        <v>10.729341140033529</v>
      </c>
      <c r="T44" s="457">
        <f t="shared" ca="1" si="46"/>
        <v>8.2647313324738594</v>
      </c>
      <c r="U44" s="457">
        <f t="shared" ca="1" si="46"/>
        <v>7.6820834005827319</v>
      </c>
      <c r="V44" s="457">
        <f t="shared" ca="1" si="46"/>
        <v>7.2785069343600179</v>
      </c>
      <c r="W44" s="457">
        <f t="shared" ca="1" si="46"/>
        <v>7.0696714755504244</v>
      </c>
    </row>
    <row r="45" spans="2:25">
      <c r="B45" s="443" t="s">
        <v>340</v>
      </c>
      <c r="C45" s="446"/>
      <c r="D45" s="461"/>
      <c r="E45" s="462"/>
      <c r="F45" s="461">
        <f t="shared" ref="F45:O45" si="47">F25/F33</f>
        <v>3.00989635208549E-2</v>
      </c>
      <c r="G45" s="461">
        <f>G25/G33</f>
        <v>3.8740720522634844E-2</v>
      </c>
      <c r="H45" s="462">
        <f t="shared" si="47"/>
        <v>2.3703401573091872E-2</v>
      </c>
      <c r="I45" s="461">
        <f t="shared" si="47"/>
        <v>2.5922989052078214E-2</v>
      </c>
      <c r="J45" s="461">
        <f t="shared" si="47"/>
        <v>4.1862432584540039E-2</v>
      </c>
      <c r="K45" s="461">
        <f t="shared" si="47"/>
        <v>4.6633472005351097E-2</v>
      </c>
      <c r="L45" s="461">
        <f t="shared" si="47"/>
        <v>3.85650101214896E-2</v>
      </c>
      <c r="M45" s="461">
        <f t="shared" si="47"/>
        <v>1.6127878344089581E-2</v>
      </c>
      <c r="N45" s="461">
        <f ca="1">N25/N33</f>
        <v>8.0632806337203114E-3</v>
      </c>
      <c r="O45" s="461">
        <f t="shared" si="47"/>
        <v>-4.4685164960417433E-2</v>
      </c>
      <c r="P45" s="461">
        <f>P25/P33</f>
        <v>-7.1183095477238029E-2</v>
      </c>
      <c r="Q45" s="461">
        <f t="shared" ref="Q45:R45" ca="1" si="48">Q25/Q33</f>
        <v>1.1177783979917472E-2</v>
      </c>
      <c r="R45" s="461">
        <f t="shared" ca="1" si="48"/>
        <v>5.4958406398161304E-2</v>
      </c>
      <c r="S45" s="461">
        <f t="shared" ref="S45:W45" ca="1" si="49">S25/S33</f>
        <v>9.3202367875952818E-2</v>
      </c>
      <c r="T45" s="461">
        <f t="shared" ca="1" si="49"/>
        <v>0.12099606868898334</v>
      </c>
      <c r="U45" s="461">
        <f t="shared" ca="1" si="49"/>
        <v>0.13017302050172275</v>
      </c>
      <c r="V45" s="461">
        <f t="shared" ca="1" si="49"/>
        <v>0.13739081504192147</v>
      </c>
      <c r="W45" s="461">
        <f t="shared" ca="1" si="49"/>
        <v>0.14144928847943994</v>
      </c>
    </row>
    <row r="46" spans="2:25">
      <c r="B46" s="443" t="s">
        <v>2823</v>
      </c>
      <c r="C46" s="446"/>
      <c r="D46" s="461"/>
      <c r="E46" s="462"/>
      <c r="F46" s="461"/>
      <c r="G46" s="461"/>
      <c r="H46" s="462"/>
      <c r="I46" s="461"/>
      <c r="J46" s="461"/>
      <c r="K46" s="461"/>
      <c r="L46" s="461"/>
      <c r="M46" s="461"/>
      <c r="N46" s="461"/>
      <c r="O46" s="461"/>
      <c r="P46" s="461">
        <f>P26/P6</f>
        <v>4.3515805140072916E-2</v>
      </c>
      <c r="Q46" s="461">
        <f ca="1">Q26/Q6</f>
        <v>8.1908168579041624E-2</v>
      </c>
      <c r="R46" s="461">
        <f t="shared" ref="R46:W46" ca="1" si="50">R26/R6</f>
        <v>0.10235381853846036</v>
      </c>
      <c r="S46" s="461">
        <f t="shared" ca="1" si="50"/>
        <v>0.12506273202060422</v>
      </c>
      <c r="T46" s="461">
        <f t="shared" ca="1" si="50"/>
        <v>0.14121702338252534</v>
      </c>
      <c r="U46" s="461">
        <f t="shared" ca="1" si="50"/>
        <v>0.15141647448393392</v>
      </c>
      <c r="V46" s="461">
        <f t="shared" ca="1" si="50"/>
        <v>0.15963751948726793</v>
      </c>
      <c r="W46" s="461">
        <f t="shared" ca="1" si="50"/>
        <v>0.16472158426981684</v>
      </c>
    </row>
    <row r="47" spans="2:25">
      <c r="B47" s="443" t="s">
        <v>341</v>
      </c>
      <c r="C47" s="446"/>
      <c r="D47" s="461"/>
      <c r="E47" s="461"/>
      <c r="F47" s="461">
        <f>F36/$C$3</f>
        <v>3.5792960784313731E-2</v>
      </c>
      <c r="G47" s="461">
        <f t="shared" ref="G47:O47" si="51">G36/$C$3</f>
        <v>2.2352941176470586E-2</v>
      </c>
      <c r="H47" s="461">
        <f t="shared" si="51"/>
        <v>2.6666666666666668E-2</v>
      </c>
      <c r="I47" s="461">
        <f t="shared" si="51"/>
        <v>3.1764705882352945E-2</v>
      </c>
      <c r="J47" s="461">
        <f t="shared" si="51"/>
        <v>3.4901960784313728E-2</v>
      </c>
      <c r="K47" s="461">
        <f t="shared" si="51"/>
        <v>4.2745098039215688E-2</v>
      </c>
      <c r="L47" s="461">
        <f t="shared" si="51"/>
        <v>3.4901960784313728E-2</v>
      </c>
      <c r="M47" s="461">
        <f t="shared" si="51"/>
        <v>5.0196078431372547E-2</v>
      </c>
      <c r="N47" s="461">
        <f t="shared" si="51"/>
        <v>5.529411764705882E-2</v>
      </c>
      <c r="O47" s="461">
        <f t="shared" si="51"/>
        <v>5.8039215686274508E-2</v>
      </c>
      <c r="P47" s="461">
        <f t="shared" ref="P47:R47" si="52">P36/$C$3</f>
        <v>5.9803921568627447E-2</v>
      </c>
      <c r="Q47" s="461">
        <f t="shared" si="52"/>
        <v>6.279411764705882E-2</v>
      </c>
      <c r="R47" s="461">
        <f t="shared" si="52"/>
        <v>6.9073529411764714E-2</v>
      </c>
      <c r="S47" s="461">
        <f t="shared" ref="S47:W47" si="53">S36/$C$3</f>
        <v>7.598088235294119E-2</v>
      </c>
      <c r="T47" s="461">
        <f t="shared" si="53"/>
        <v>8.357897058823531E-2</v>
      </c>
      <c r="U47" s="461">
        <f t="shared" si="53"/>
        <v>9.1936867647058856E-2</v>
      </c>
      <c r="V47" s="461">
        <f t="shared" si="53"/>
        <v>0.10113055441176474</v>
      </c>
      <c r="W47" s="461">
        <f t="shared" si="53"/>
        <v>0.11124360985294124</v>
      </c>
    </row>
    <row r="48" spans="2:25">
      <c r="B48" s="443" t="s">
        <v>342</v>
      </c>
      <c r="C48" s="446"/>
      <c r="D48" s="461"/>
      <c r="E48" s="461"/>
      <c r="F48" s="461"/>
      <c r="G48" s="461"/>
      <c r="H48" s="461"/>
      <c r="I48" s="461"/>
      <c r="J48" s="461"/>
      <c r="K48" s="461"/>
      <c r="L48" s="461"/>
      <c r="M48" s="461"/>
      <c r="N48" s="461"/>
      <c r="O48" s="461"/>
      <c r="P48" s="461"/>
      <c r="Q48" s="461"/>
      <c r="R48" s="461"/>
      <c r="S48" s="461"/>
      <c r="T48" s="461"/>
      <c r="U48" s="461"/>
      <c r="V48" s="461"/>
      <c r="W48" s="461"/>
    </row>
    <row r="49" spans="2:23">
      <c r="B49" s="443" t="s">
        <v>343</v>
      </c>
      <c r="C49" s="463"/>
      <c r="D49" s="457"/>
      <c r="E49" s="457"/>
      <c r="F49" s="457">
        <f>$C$3/F35</f>
        <v>22.385628831221901</v>
      </c>
      <c r="G49" s="457">
        <f t="shared" ref="G49:O49" si="54">$C$3/G35</f>
        <v>20.599093674546157</v>
      </c>
      <c r="H49" s="457">
        <f t="shared" si="54"/>
        <v>16.621316416365282</v>
      </c>
      <c r="I49" s="457">
        <f t="shared" si="54"/>
        <v>13.740196509749049</v>
      </c>
      <c r="J49" s="457">
        <f t="shared" si="54"/>
        <v>11.306969832921542</v>
      </c>
      <c r="K49" s="457">
        <f t="shared" si="54"/>
        <v>9.366587728272318</v>
      </c>
      <c r="L49" s="457">
        <f t="shared" si="54"/>
        <v>8.2297819955982181</v>
      </c>
      <c r="M49" s="457">
        <f t="shared" si="54"/>
        <v>7.7225846307157395</v>
      </c>
      <c r="N49" s="457">
        <f t="shared" ca="1" si="54"/>
        <v>7.3295070035824272</v>
      </c>
      <c r="O49" s="457">
        <f t="shared" si="54"/>
        <v>7.2240145196725809</v>
      </c>
      <c r="P49" s="457">
        <f t="shared" ref="P49:R49" si="55">$C$3/P35</f>
        <v>6.6488768833144984</v>
      </c>
      <c r="Q49" s="457">
        <f t="shared" ca="1" si="55"/>
        <v>6.2219074376342292</v>
      </c>
      <c r="R49" s="457">
        <f t="shared" ca="1" si="55"/>
        <v>5.2958272213857516</v>
      </c>
      <c r="S49" s="457">
        <f t="shared" ref="S49:W49" ca="1" si="56">$C$3/S35</f>
        <v>4.8386234753613779</v>
      </c>
      <c r="T49" s="457">
        <f t="shared" ca="1" si="56"/>
        <v>4.7141372805336381</v>
      </c>
      <c r="U49" s="457">
        <f t="shared" ca="1" si="56"/>
        <v>4.6059389466230245</v>
      </c>
      <c r="V49" s="457">
        <f t="shared" ca="1" si="56"/>
        <v>4.4497280973902624</v>
      </c>
      <c r="W49" s="457">
        <f t="shared" ca="1" si="56"/>
        <v>4.1965821434377029</v>
      </c>
    </row>
    <row r="50" spans="2:23">
      <c r="B50" s="443" t="s">
        <v>872</v>
      </c>
      <c r="C50" s="463"/>
      <c r="D50" s="457"/>
      <c r="E50" s="457"/>
      <c r="F50" s="448">
        <f>(Master!M22+Master!M31)/(Master!M85+Master!M80)</f>
        <v>0.13639849920192368</v>
      </c>
      <c r="G50" s="448">
        <f>(Master!N22+Master!N31)/(Master!N85+Master!N80)</f>
        <v>0.14490887603408595</v>
      </c>
      <c r="H50" s="448">
        <f>(Master!O22+Master!O31)/(Master!O85+Master!O80)</f>
        <v>0.14846321332725707</v>
      </c>
      <c r="I50" s="448">
        <f>(Master!P22+Master!P31)/(Master!P85+Master!P80)</f>
        <v>0.16353600263634865</v>
      </c>
      <c r="J50" s="448">
        <f>(Master!Q22+Master!Q31)/(Master!Q85+Master!Q80)</f>
        <v>0.16352567085466105</v>
      </c>
      <c r="K50" s="448">
        <f>(Master!R22+Master!R31)/(Master!R85+Master!R80)</f>
        <v>0.16676869941859024</v>
      </c>
      <c r="L50" s="448">
        <f>(Master!S22+Master!S31)/(Master!S85+Master!S80)</f>
        <v>0.13877515463019427</v>
      </c>
      <c r="M50" s="448">
        <f>(Master!T22+Master!T31)/(Master!T85+Master!T80)</f>
        <v>0.13556616348255443</v>
      </c>
      <c r="N50" s="448">
        <f ca="1">(Master!U22+Master!U31)/(Master!U85+Master!U80)</f>
        <v>0.13245867657964921</v>
      </c>
      <c r="O50" s="448">
        <f>(Master!V22+Master!V31)/(Master!V85+Master!V80)</f>
        <v>0.10335240669437683</v>
      </c>
      <c r="P50" s="448">
        <f>(Master!W22+Master!W31)/(Master!W85+Master!W80)</f>
        <v>8.5867803898737771E-2</v>
      </c>
      <c r="Q50" s="448">
        <f ca="1">(Master!X22+Master!X31)/(Master!X85+Master!X80)</f>
        <v>9.0342455390932122E-2</v>
      </c>
      <c r="R50" s="448">
        <f ca="1">(Master!Y22+Master!Y31)/(Master!Y85+Master!Y80)</f>
        <v>0.10757931382245506</v>
      </c>
      <c r="S50" s="448">
        <f ca="1">(Master!Z22+Master!Z31)/(Master!Z85+Master!Z80)</f>
        <v>0.12088198717391931</v>
      </c>
      <c r="T50" s="448">
        <f ca="1">(Master!AA22+Master!AA31)/(Master!AA85+Master!AA80)</f>
        <v>0.12867652829401205</v>
      </c>
      <c r="U50" s="448">
        <f ca="1">(Master!AB22+Master!AB31)/(Master!AB85+Master!AB80)</f>
        <v>0.13538791304270126</v>
      </c>
      <c r="V50" s="448">
        <f ca="1">(Master!AC22+Master!AC31)/(Master!AC85+Master!AC80)</f>
        <v>0.14108499044362829</v>
      </c>
      <c r="W50" s="448">
        <f ca="1">(Master!AD22+Master!AD31)/(Master!AD85+Master!AD80)</f>
        <v>0.14678363013359993</v>
      </c>
    </row>
    <row r="51" spans="2:23">
      <c r="B51" s="443" t="s">
        <v>874</v>
      </c>
      <c r="C51" s="463"/>
      <c r="D51" s="457"/>
      <c r="E51" s="457"/>
      <c r="F51" s="448">
        <f>Master!M22/(Master!M69-Master!M74)</f>
        <v>0.13996950769684749</v>
      </c>
      <c r="G51" s="448">
        <f>Master!N22/(Master!N69-Master!N74)</f>
        <v>0.13576222435282836</v>
      </c>
      <c r="H51" s="448">
        <f>Master!O22/(Master!O69-Master!O74)</f>
        <v>0.15873857702349869</v>
      </c>
      <c r="I51" s="448">
        <f>Master!P22/(Master!P69-Master!P74)</f>
        <v>0.17325129533678757</v>
      </c>
      <c r="J51" s="448">
        <f>Master!Q22/(Master!Q69-Master!Q74)</f>
        <v>0.15934919716035462</v>
      </c>
      <c r="K51" s="448">
        <f>Master!R22/(Master!R69-Master!R74)</f>
        <v>0.19201787185499714</v>
      </c>
      <c r="L51" s="448">
        <f>Master!S22/(Master!S69-Master!S74)</f>
        <v>0.14893826673892693</v>
      </c>
      <c r="M51" s="448">
        <f>Master!T22/(Master!T69-Master!T74)</f>
        <v>0.14537060431357238</v>
      </c>
      <c r="N51" s="448">
        <f ca="1">Master!U22/(Master!U69-Master!U74)</f>
        <v>0.16040382804747275</v>
      </c>
      <c r="O51" s="448">
        <f>Master!V22/(Master!V69-Master!V74)</f>
        <v>0.12753778429349219</v>
      </c>
      <c r="P51" s="448">
        <f>Master!W22/(Master!W69-Master!W74)</f>
        <v>0.10704702987409528</v>
      </c>
      <c r="Q51" s="448">
        <f ca="1">Master!X22/(Master!X69-Master!X74)</f>
        <v>0.1171986556410476</v>
      </c>
      <c r="R51" s="448">
        <f ca="1">Master!Y22/(Master!Y69-Master!Y74)</f>
        <v>0.14144811281100259</v>
      </c>
      <c r="S51" s="448">
        <f ca="1">Master!Z22/(Master!Z69-Master!Z74)</f>
        <v>0.15733745754846803</v>
      </c>
      <c r="T51" s="448">
        <f ca="1">Master!AA22/(Master!AA69-Master!AA74)</f>
        <v>0.16351368910196715</v>
      </c>
      <c r="U51" s="448">
        <f ca="1">Master!AB22/(Master!AB69-Master!AB74)</f>
        <v>0.16778503117222218</v>
      </c>
      <c r="V51" s="448">
        <f ca="1">Master!AC22/(Master!AC69-Master!AC74)</f>
        <v>0.16989943339586611</v>
      </c>
      <c r="W51" s="448">
        <f ca="1">Master!AD22/(Master!AD69-Master!AD74)</f>
        <v>0.17129574789758134</v>
      </c>
    </row>
    <row r="52" spans="2:23">
      <c r="B52" s="443" t="s">
        <v>873</v>
      </c>
      <c r="C52" s="463"/>
      <c r="D52" s="457"/>
      <c r="E52" s="457"/>
      <c r="F52" s="457">
        <f>F13/(Master!M85+Master!M80)</f>
        <v>3.3468722428242188</v>
      </c>
      <c r="G52" s="457">
        <f>G13/(Master!N85+Master!N80)</f>
        <v>2.9697480350702832</v>
      </c>
      <c r="H52" s="457">
        <f>H13/(Master!O85+Master!O80)</f>
        <v>2.4934750701212689</v>
      </c>
      <c r="I52" s="457">
        <f>I13/(Master!P85+Master!P80)</f>
        <v>2.1142955659838911</v>
      </c>
      <c r="J52" s="457">
        <f>J13/(Master!Q85+Master!Q80)</f>
        <v>1.9303024336832999</v>
      </c>
      <c r="K52" s="457">
        <f>K13/(Master!R85+Master!R80)</f>
        <v>1.748494780753141</v>
      </c>
      <c r="L52" s="457">
        <f>L13/(Master!S85+Master!S80)</f>
        <v>1.5575293771183594</v>
      </c>
      <c r="M52" s="457">
        <f>M13/(Master!T85+Master!T80)</f>
        <v>1.4529240937911123</v>
      </c>
      <c r="N52" s="457">
        <f>N13/(Master!U85+Master!U80)</f>
        <v>1.3679463974517236</v>
      </c>
      <c r="O52" s="457">
        <f>O13/(Master!V85+Master!V80)</f>
        <v>1.2956678392741154</v>
      </c>
      <c r="P52" s="457">
        <f>P13/(Master!W85+Master!W80)</f>
        <v>1.2297969055413773</v>
      </c>
      <c r="Q52" s="457">
        <f ca="1">Q13/(Master!X85+Master!X80)</f>
        <v>1.1662051916864451</v>
      </c>
      <c r="R52" s="457">
        <f ca="1">R13/(Master!Y85+Master!Y80)</f>
        <v>1.0910133705533118</v>
      </c>
      <c r="S52" s="457">
        <f ca="1">S13/(Master!Z85+Master!Z80)</f>
        <v>1.0035931412028545</v>
      </c>
      <c r="T52" s="457">
        <f ca="1">T13/(Master!AA85+Master!AA80)</f>
        <v>0.90538117913455696</v>
      </c>
      <c r="U52" s="457">
        <f ca="1">U13/(Master!AB85+Master!AB80)</f>
        <v>0.79723967438024923</v>
      </c>
      <c r="V52" s="457">
        <f ca="1">V13/(Master!AC85+Master!AC80)</f>
        <v>0.68331668441726778</v>
      </c>
      <c r="W52" s="457">
        <f ca="1">W13/(Master!AD85+Master!AD80)</f>
        <v>0.56775767480610773</v>
      </c>
    </row>
    <row r="53" spans="2:23">
      <c r="B53" s="443" t="s">
        <v>5</v>
      </c>
      <c r="C53" s="463"/>
      <c r="D53" s="457"/>
      <c r="E53" s="457"/>
      <c r="F53" s="457"/>
      <c r="G53" s="457"/>
      <c r="H53" s="457"/>
      <c r="I53" s="457"/>
      <c r="J53" s="457"/>
      <c r="K53" s="457"/>
      <c r="L53" s="457"/>
      <c r="M53" s="457"/>
      <c r="N53" s="457"/>
      <c r="O53" s="457"/>
      <c r="P53" s="457"/>
      <c r="Q53" s="457"/>
      <c r="R53" s="457"/>
      <c r="S53" s="457"/>
      <c r="T53" s="457"/>
      <c r="U53" s="457"/>
      <c r="V53" s="457"/>
      <c r="W53" s="457"/>
    </row>
    <row r="54" spans="2:23">
      <c r="B54" s="443" t="s">
        <v>1435</v>
      </c>
      <c r="C54" s="463"/>
      <c r="D54" s="457"/>
      <c r="E54" s="457"/>
      <c r="F54" s="457"/>
      <c r="G54" s="457"/>
      <c r="H54" s="457"/>
      <c r="I54" s="457"/>
      <c r="J54" s="572">
        <f>J11/J19</f>
        <v>0.12132209980557355</v>
      </c>
      <c r="K54" s="572">
        <f t="shared" ref="K54:O54" si="57">K11/K19</f>
        <v>6.0757462287364943E-2</v>
      </c>
      <c r="L54" s="572">
        <f t="shared" si="57"/>
        <v>0.47180395630351346</v>
      </c>
      <c r="M54" s="572">
        <f t="shared" si="57"/>
        <v>0.32819932952795144</v>
      </c>
      <c r="N54" s="572">
        <f t="shared" si="57"/>
        <v>0.38529638494552659</v>
      </c>
      <c r="O54" s="572">
        <f t="shared" si="57"/>
        <v>1.0057643430371856</v>
      </c>
      <c r="P54" s="572">
        <f t="shared" ref="P54:R54" si="58">P11/P19</f>
        <v>1.517851473345369</v>
      </c>
      <c r="Q54" s="572">
        <f t="shared" ca="1" si="58"/>
        <v>1.460021065307634</v>
      </c>
      <c r="R54" s="572">
        <f t="shared" ca="1" si="58"/>
        <v>1.3157042097376048</v>
      </c>
      <c r="S54" s="572">
        <f t="shared" ref="S54:W54" ca="1" si="59">S11/S19</f>
        <v>1.124450364320668</v>
      </c>
      <c r="T54" s="572">
        <f t="shared" ca="1" si="59"/>
        <v>0.94567495589956907</v>
      </c>
      <c r="U54" s="572">
        <f t="shared" ca="1" si="59"/>
        <v>0.7847585940615458</v>
      </c>
      <c r="V54" s="572">
        <f t="shared" ca="1" si="59"/>
        <v>0.64036090102245891</v>
      </c>
      <c r="W54" s="572">
        <f t="shared" ca="1" si="59"/>
        <v>0.51659728116242154</v>
      </c>
    </row>
    <row r="55" spans="2:23">
      <c r="B55" s="443"/>
      <c r="J55" s="392"/>
    </row>
    <row r="57" spans="2:23">
      <c r="B57" s="358" t="s">
        <v>309</v>
      </c>
      <c r="C57" s="358">
        <f>Master!N3</f>
        <v>2014</v>
      </c>
      <c r="D57" s="358">
        <f>Master!O3</f>
        <v>2015</v>
      </c>
      <c r="E57" s="358">
        <f>Master!P3</f>
        <v>2016</v>
      </c>
      <c r="F57" s="358">
        <f>Master!Q3</f>
        <v>2017</v>
      </c>
      <c r="G57" s="358">
        <f>Master!R3</f>
        <v>2018</v>
      </c>
      <c r="H57" s="358">
        <f>Master!S3</f>
        <v>2019</v>
      </c>
      <c r="I57" s="358">
        <f>Master!T3</f>
        <v>2020</v>
      </c>
      <c r="J57" s="358">
        <f>Master!U3</f>
        <v>2021</v>
      </c>
      <c r="K57" s="358">
        <f>Master!V3</f>
        <v>2022</v>
      </c>
      <c r="L57" s="358">
        <f>Master!W3</f>
        <v>2023</v>
      </c>
      <c r="M57" s="358">
        <f>Master!X3</f>
        <v>2024</v>
      </c>
      <c r="N57" s="358">
        <f>Master!Y3</f>
        <v>2025</v>
      </c>
      <c r="O57" s="358">
        <f>Master!Z3</f>
        <v>2026</v>
      </c>
      <c r="P57" s="358">
        <f>Master!AA3</f>
        <v>2027</v>
      </c>
      <c r="Q57" s="358">
        <f>Master!AB3</f>
        <v>2028</v>
      </c>
      <c r="R57" s="358">
        <f>Master!AC3</f>
        <v>2029</v>
      </c>
      <c r="S57" s="358">
        <f>Master!AD3</f>
        <v>2030</v>
      </c>
    </row>
    <row r="58" spans="2:23">
      <c r="B58" s="203" t="s">
        <v>24</v>
      </c>
      <c r="C58" s="392">
        <f>Master!N50</f>
        <v>2511</v>
      </c>
      <c r="D58" s="392">
        <f>Master!O50</f>
        <v>2078</v>
      </c>
      <c r="E58" s="392">
        <f>Master!P50</f>
        <v>2041</v>
      </c>
      <c r="F58" s="392">
        <f>Master!Q50</f>
        <v>3023</v>
      </c>
      <c r="G58" s="392">
        <f>Master!R50</f>
        <v>3594</v>
      </c>
      <c r="H58" s="392">
        <f>Master!S50</f>
        <v>3626</v>
      </c>
      <c r="I58" s="392">
        <f>Master!T50</f>
        <v>2956</v>
      </c>
      <c r="J58" s="392">
        <f>Master!U50</f>
        <v>2649.4269999999997</v>
      </c>
      <c r="K58" s="392">
        <f>Master!V50</f>
        <v>933.01800000000003</v>
      </c>
      <c r="L58" s="392">
        <f>Master!W50</f>
        <v>370.99300000000039</v>
      </c>
      <c r="M58" s="392">
        <f>Master!X50</f>
        <v>4134.5371991546817</v>
      </c>
      <c r="N58" s="392">
        <f>Master!Y50</f>
        <v>6616.4801158187238</v>
      </c>
      <c r="O58" s="392">
        <f>Master!Z50</f>
        <v>8640.5245983139594</v>
      </c>
      <c r="P58" s="392">
        <f>Master!AA50</f>
        <v>9953.5933323015615</v>
      </c>
      <c r="Q58" s="392">
        <f>Master!AB50</f>
        <v>10444.827373889973</v>
      </c>
      <c r="R58" s="392">
        <f>Master!AC50</f>
        <v>10922.089516628052</v>
      </c>
      <c r="S58" s="392">
        <f>Master!AD50</f>
        <v>11406.958735792134</v>
      </c>
    </row>
    <row r="59" spans="2:23">
      <c r="B59" s="203" t="s">
        <v>283</v>
      </c>
      <c r="C59" s="392">
        <f>C58*(1-0.28)</f>
        <v>1807.9199999999998</v>
      </c>
      <c r="D59" s="392">
        <f t="shared" ref="D59:N59" si="60">D58*(1-0.28)</f>
        <v>1496.1599999999999</v>
      </c>
      <c r="E59" s="392">
        <f t="shared" si="60"/>
        <v>1469.52</v>
      </c>
      <c r="F59" s="392">
        <f t="shared" si="60"/>
        <v>2176.56</v>
      </c>
      <c r="G59" s="392">
        <f t="shared" si="60"/>
        <v>2587.6799999999998</v>
      </c>
      <c r="H59" s="392">
        <f t="shared" si="60"/>
        <v>2610.7199999999998</v>
      </c>
      <c r="I59" s="392">
        <f t="shared" si="60"/>
        <v>2128.3199999999997</v>
      </c>
      <c r="J59" s="392">
        <f t="shared" si="60"/>
        <v>1907.5874399999998</v>
      </c>
      <c r="K59" s="392">
        <f t="shared" si="60"/>
        <v>671.77296000000001</v>
      </c>
      <c r="L59" s="392">
        <f t="shared" si="60"/>
        <v>267.11496000000028</v>
      </c>
      <c r="M59" s="392">
        <f t="shared" si="60"/>
        <v>2976.8667833913705</v>
      </c>
      <c r="N59" s="392">
        <f t="shared" si="60"/>
        <v>4763.8656833894811</v>
      </c>
      <c r="O59" s="392">
        <f t="shared" ref="O59:S59" si="61">O58*(1-0.28)</f>
        <v>6221.1777107860507</v>
      </c>
      <c r="P59" s="392">
        <f t="shared" si="61"/>
        <v>7166.5871992571238</v>
      </c>
      <c r="Q59" s="392">
        <f t="shared" si="61"/>
        <v>7520.2757092007805</v>
      </c>
      <c r="R59" s="392">
        <f t="shared" si="61"/>
        <v>7863.9044519721965</v>
      </c>
      <c r="S59" s="392">
        <f t="shared" si="61"/>
        <v>8213.0102897703364</v>
      </c>
    </row>
    <row r="61" spans="2:23">
      <c r="B61" s="203" t="s">
        <v>293</v>
      </c>
      <c r="C61" s="392">
        <f>NPV(C109,N59:S59)</f>
        <v>27992.381324215665</v>
      </c>
    </row>
    <row r="62" spans="2:23">
      <c r="C62" s="392"/>
    </row>
    <row r="63" spans="2:23">
      <c r="B63" s="203" t="s">
        <v>294</v>
      </c>
      <c r="C63" s="374">
        <v>0.02</v>
      </c>
    </row>
    <row r="64" spans="2:23">
      <c r="B64" s="203" t="s">
        <v>295</v>
      </c>
      <c r="C64" s="339">
        <f>1/(C109-C63)</f>
        <v>10.330578512396695</v>
      </c>
    </row>
    <row r="65" spans="2:19">
      <c r="B65" s="203" t="s">
        <v>296</v>
      </c>
      <c r="C65" s="392">
        <f>C64*S59</f>
        <v>84845.147621594384</v>
      </c>
    </row>
    <row r="66" spans="2:19">
      <c r="B66" s="203" t="s">
        <v>297</v>
      </c>
      <c r="C66" s="392">
        <f>C65/(1+C109)^6</f>
        <v>43729.506673283504</v>
      </c>
    </row>
    <row r="68" spans="2:19">
      <c r="B68" s="205" t="s">
        <v>298</v>
      </c>
      <c r="C68" s="393">
        <f>C66+C61</f>
        <v>71721.887997499172</v>
      </c>
    </row>
    <row r="70" spans="2:19">
      <c r="B70" s="358" t="s">
        <v>312</v>
      </c>
      <c r="C70" s="358">
        <f>C57</f>
        <v>2014</v>
      </c>
      <c r="D70" s="358">
        <f t="shared" ref="D70:N70" si="62">D57</f>
        <v>2015</v>
      </c>
      <c r="E70" s="358">
        <f t="shared" si="62"/>
        <v>2016</v>
      </c>
      <c r="F70" s="358">
        <f t="shared" si="62"/>
        <v>2017</v>
      </c>
      <c r="G70" s="358">
        <f t="shared" si="62"/>
        <v>2018</v>
      </c>
      <c r="H70" s="358">
        <f t="shared" si="62"/>
        <v>2019</v>
      </c>
      <c r="I70" s="358">
        <f t="shared" si="62"/>
        <v>2020</v>
      </c>
      <c r="J70" s="358">
        <f t="shared" si="62"/>
        <v>2021</v>
      </c>
      <c r="K70" s="358">
        <f t="shared" si="62"/>
        <v>2022</v>
      </c>
      <c r="L70" s="358">
        <f t="shared" si="62"/>
        <v>2023</v>
      </c>
      <c r="M70" s="358">
        <f t="shared" si="62"/>
        <v>2024</v>
      </c>
      <c r="N70" s="358">
        <f t="shared" si="62"/>
        <v>2025</v>
      </c>
      <c r="O70" s="358">
        <f t="shared" ref="O70:S70" si="63">O57</f>
        <v>2026</v>
      </c>
      <c r="P70" s="358">
        <f t="shared" si="63"/>
        <v>2027</v>
      </c>
      <c r="Q70" s="358">
        <f t="shared" si="63"/>
        <v>2028</v>
      </c>
      <c r="R70" s="358">
        <f t="shared" si="63"/>
        <v>2029</v>
      </c>
      <c r="S70" s="358">
        <f t="shared" si="63"/>
        <v>2030</v>
      </c>
    </row>
    <row r="71" spans="2:19">
      <c r="B71" s="203" t="s">
        <v>24</v>
      </c>
      <c r="C71" s="392">
        <f>Master!N51</f>
        <v>0</v>
      </c>
      <c r="D71" s="392">
        <f>Master!O51</f>
        <v>0</v>
      </c>
      <c r="E71" s="392">
        <f>Master!P51</f>
        <v>0</v>
      </c>
      <c r="F71" s="392">
        <f>Master!Q51</f>
        <v>0</v>
      </c>
      <c r="G71" s="392">
        <f>Master!R51</f>
        <v>0</v>
      </c>
      <c r="H71" s="392">
        <f>Master!S51</f>
        <v>0</v>
      </c>
      <c r="I71" s="392">
        <f>Master!T51</f>
        <v>0</v>
      </c>
      <c r="J71" s="392">
        <f>Master!U51</f>
        <v>0</v>
      </c>
      <c r="K71" s="392">
        <f>Master!V51</f>
        <v>0</v>
      </c>
      <c r="L71" s="392">
        <f>Master!W51</f>
        <v>0</v>
      </c>
      <c r="M71" s="392">
        <f>Master!X51</f>
        <v>0</v>
      </c>
      <c r="N71" s="392">
        <f>Master!Y51</f>
        <v>0</v>
      </c>
      <c r="O71" s="392">
        <f>Master!Z51</f>
        <v>0</v>
      </c>
      <c r="P71" s="392">
        <f>Master!AA51</f>
        <v>0</v>
      </c>
      <c r="Q71" s="392">
        <f>Master!AB51</f>
        <v>0</v>
      </c>
      <c r="R71" s="392">
        <f>Master!AC51</f>
        <v>0</v>
      </c>
      <c r="S71" s="392">
        <f>Master!AD51</f>
        <v>0</v>
      </c>
    </row>
    <row r="72" spans="2:19">
      <c r="B72" s="203" t="s">
        <v>283</v>
      </c>
      <c r="C72" s="392">
        <f>C71*(1-0.28)</f>
        <v>0</v>
      </c>
      <c r="D72" s="392">
        <f t="shared" ref="D72" si="64">D71*(1-0.28)</f>
        <v>0</v>
      </c>
      <c r="E72" s="392">
        <f t="shared" ref="E72" si="65">E71*(1-0.28)</f>
        <v>0</v>
      </c>
      <c r="F72" s="392">
        <f t="shared" ref="F72" si="66">F71*(1-0.28)</f>
        <v>0</v>
      </c>
      <c r="G72" s="392">
        <f t="shared" ref="G72" si="67">G71*(1-0.28)</f>
        <v>0</v>
      </c>
      <c r="H72" s="392">
        <f t="shared" ref="H72" si="68">H71*(1-0.28)</f>
        <v>0</v>
      </c>
      <c r="I72" s="392">
        <f t="shared" ref="I72" si="69">I71*(1-0.28)</f>
        <v>0</v>
      </c>
      <c r="J72" s="392">
        <f t="shared" ref="J72" si="70">J71*(1-0.28)</f>
        <v>0</v>
      </c>
      <c r="K72" s="392">
        <f t="shared" ref="K72" si="71">K71*(1-0.28)</f>
        <v>0</v>
      </c>
      <c r="L72" s="392">
        <f t="shared" ref="L72" si="72">L71*(1-0.28)</f>
        <v>0</v>
      </c>
      <c r="M72" s="392">
        <f t="shared" ref="M72" si="73">M71*(1-0.28)</f>
        <v>0</v>
      </c>
      <c r="N72" s="392">
        <f t="shared" ref="N72:S72" si="74">N71*(1-0.28)</f>
        <v>0</v>
      </c>
      <c r="O72" s="392">
        <f t="shared" si="74"/>
        <v>0</v>
      </c>
      <c r="P72" s="392">
        <f t="shared" si="74"/>
        <v>0</v>
      </c>
      <c r="Q72" s="392">
        <f t="shared" si="74"/>
        <v>0</v>
      </c>
      <c r="R72" s="392">
        <f t="shared" si="74"/>
        <v>0</v>
      </c>
      <c r="S72" s="392">
        <f t="shared" si="74"/>
        <v>0</v>
      </c>
    </row>
    <row r="74" spans="2:19">
      <c r="B74" s="203" t="s">
        <v>293</v>
      </c>
      <c r="C74" s="392">
        <f>NPV(C109,N72:S72)</f>
        <v>0</v>
      </c>
      <c r="N74" s="337"/>
    </row>
    <row r="75" spans="2:19">
      <c r="C75" s="392"/>
    </row>
    <row r="76" spans="2:19">
      <c r="B76" s="203" t="s">
        <v>294</v>
      </c>
      <c r="C76" s="338">
        <f>C63</f>
        <v>0.02</v>
      </c>
    </row>
    <row r="77" spans="2:19">
      <c r="B77" s="203" t="s">
        <v>295</v>
      </c>
      <c r="C77" s="339">
        <f>1/(C109-C76)</f>
        <v>10.330578512396695</v>
      </c>
    </row>
    <row r="78" spans="2:19">
      <c r="B78" s="203" t="s">
        <v>296</v>
      </c>
      <c r="C78" s="392">
        <f>C77*S72</f>
        <v>0</v>
      </c>
    </row>
    <row r="79" spans="2:19">
      <c r="B79" s="203" t="s">
        <v>297</v>
      </c>
      <c r="C79" s="392">
        <f>C78/(1+C109)^6</f>
        <v>0</v>
      </c>
    </row>
    <row r="81" spans="2:7">
      <c r="B81" s="205" t="s">
        <v>299</v>
      </c>
      <c r="C81" s="393">
        <f>C79+C74</f>
        <v>0</v>
      </c>
      <c r="D81" s="337">
        <f>C81/C83</f>
        <v>0</v>
      </c>
    </row>
    <row r="83" spans="2:7">
      <c r="B83" s="203" t="s">
        <v>300</v>
      </c>
      <c r="C83" s="392">
        <f>C68+C81</f>
        <v>71721.887997499172</v>
      </c>
      <c r="G83" s="203" t="s">
        <v>5</v>
      </c>
    </row>
    <row r="84" spans="2:7">
      <c r="B84" s="203" t="s">
        <v>537</v>
      </c>
      <c r="C84" s="392">
        <f>C83*0.07</f>
        <v>5020.5321598249429</v>
      </c>
    </row>
    <row r="85" spans="2:7">
      <c r="C85" s="392"/>
      <c r="E85" s="336"/>
    </row>
    <row r="86" spans="2:7">
      <c r="B86" s="203" t="s">
        <v>3041</v>
      </c>
      <c r="C86" s="392">
        <f ca="1">Master!X85</f>
        <v>21977.452653119999</v>
      </c>
      <c r="D86" s="336"/>
    </row>
    <row r="87" spans="2:7">
      <c r="B87" s="358" t="s">
        <v>1380</v>
      </c>
      <c r="C87" s="474">
        <f>-Valuation!Q12</f>
        <v>2618.4265249999999</v>
      </c>
      <c r="D87" s="336"/>
    </row>
    <row r="88" spans="2:7">
      <c r="B88" s="203" t="s">
        <v>301</v>
      </c>
      <c r="C88" s="392">
        <f ca="1">C83-C86-C84+C87</f>
        <v>47342.329709554237</v>
      </c>
    </row>
    <row r="89" spans="2:7">
      <c r="C89" s="392"/>
    </row>
    <row r="90" spans="2:7">
      <c r="B90" s="203" t="s">
        <v>302</v>
      </c>
      <c r="C90" s="336">
        <f>Master!X325/2</f>
        <v>858.50049999999999</v>
      </c>
    </row>
    <row r="91" spans="2:7">
      <c r="C91" s="336"/>
    </row>
    <row r="92" spans="2:7">
      <c r="B92" s="203" t="s">
        <v>303</v>
      </c>
      <c r="C92" s="336">
        <f ca="1">C88/C90</f>
        <v>55.145372320172484</v>
      </c>
      <c r="D92" s="336"/>
      <c r="E92" s="203" t="s">
        <v>5</v>
      </c>
    </row>
    <row r="93" spans="2:7" ht="15.75" thickBot="1">
      <c r="B93" s="203" t="s">
        <v>3243</v>
      </c>
      <c r="C93" s="336">
        <v>0</v>
      </c>
      <c r="D93" s="336"/>
    </row>
    <row r="94" spans="2:7" ht="15.75" thickBot="1">
      <c r="B94" s="464" t="s">
        <v>2857</v>
      </c>
      <c r="C94" s="465">
        <f ca="1">C92+C93</f>
        <v>55.145372320172484</v>
      </c>
      <c r="D94" s="336"/>
    </row>
    <row r="95" spans="2:7">
      <c r="C95" s="339"/>
    </row>
    <row r="96" spans="2:7">
      <c r="B96" s="203" t="s">
        <v>310</v>
      </c>
      <c r="C96" s="339">
        <f>Valuation!C3</f>
        <v>51</v>
      </c>
      <c r="E96" s="339"/>
    </row>
    <row r="97" spans="2:16">
      <c r="B97" s="203" t="s">
        <v>311</v>
      </c>
      <c r="C97" s="337">
        <f ca="1">C94/C96-1</f>
        <v>8.1281810199460569E-2</v>
      </c>
      <c r="E97" s="339"/>
    </row>
    <row r="100" spans="2:16">
      <c r="B100" s="203" t="s">
        <v>284</v>
      </c>
      <c r="C100" s="374">
        <v>0.09</v>
      </c>
    </row>
    <row r="101" spans="2:16">
      <c r="B101" s="203" t="s">
        <v>285</v>
      </c>
      <c r="C101" s="374">
        <v>0.01</v>
      </c>
    </row>
    <row r="102" spans="2:16">
      <c r="B102" s="203" t="s">
        <v>286</v>
      </c>
      <c r="C102" s="338">
        <f>C100+C101</f>
        <v>9.9999999999999992E-2</v>
      </c>
    </row>
    <row r="103" spans="2:16">
      <c r="B103" s="203" t="s">
        <v>14</v>
      </c>
      <c r="C103" s="466">
        <v>0.28000000000000003</v>
      </c>
    </row>
    <row r="104" spans="2:16">
      <c r="B104" s="203" t="s">
        <v>287</v>
      </c>
      <c r="C104" s="337">
        <f>C102*(1-C103)</f>
        <v>7.1999999999999995E-2</v>
      </c>
    </row>
    <row r="105" spans="2:16">
      <c r="B105" s="203" t="s">
        <v>288</v>
      </c>
      <c r="C105" s="374">
        <v>0.04</v>
      </c>
    </row>
    <row r="106" spans="2:16">
      <c r="B106" s="203" t="s">
        <v>289</v>
      </c>
      <c r="C106" s="353">
        <v>1.1499999999999999</v>
      </c>
    </row>
    <row r="107" spans="2:16">
      <c r="B107" s="203" t="s">
        <v>290</v>
      </c>
      <c r="C107" s="338">
        <f>C106*C105+C100</f>
        <v>0.13600000000000001</v>
      </c>
    </row>
    <row r="108" spans="2:16">
      <c r="B108" s="203" t="s">
        <v>291</v>
      </c>
      <c r="C108" s="466">
        <v>0.3</v>
      </c>
    </row>
    <row r="109" spans="2:16">
      <c r="B109" s="203" t="s">
        <v>292</v>
      </c>
      <c r="C109" s="338">
        <f>(1-C108)*C107+(C108*C104)</f>
        <v>0.1168</v>
      </c>
    </row>
    <row r="111" spans="2:16">
      <c r="B111" s="358" t="s">
        <v>336</v>
      </c>
      <c r="C111" s="358">
        <v>2015</v>
      </c>
      <c r="D111" s="358">
        <v>2016</v>
      </c>
      <c r="E111" s="467" t="s">
        <v>437</v>
      </c>
      <c r="P111" s="203" t="s">
        <v>5</v>
      </c>
    </row>
    <row r="112" spans="2:16">
      <c r="B112" s="203" t="s">
        <v>367</v>
      </c>
      <c r="C112" s="339">
        <f>Valuation!H38</f>
        <v>8.4278006434750878</v>
      </c>
      <c r="D112" s="339">
        <f>Valuation!I38</f>
        <v>7.422507470690519</v>
      </c>
      <c r="E112" s="337">
        <f>(Master!T12/Master!O12)^(1/5)-1</f>
        <v>0.13564614561998156</v>
      </c>
    </row>
    <row r="113" spans="2:6">
      <c r="B113" s="203" t="s">
        <v>350</v>
      </c>
      <c r="C113" s="339">
        <v>8.8705520135370577</v>
      </c>
      <c r="D113" s="339">
        <v>8.239219532204169</v>
      </c>
      <c r="E113" s="337">
        <v>7.0000000000000007E-2</v>
      </c>
    </row>
    <row r="114" spans="2:6">
      <c r="B114" s="203" t="s">
        <v>436</v>
      </c>
      <c r="C114" s="339">
        <v>5.5289668804585927</v>
      </c>
      <c r="D114" s="339">
        <v>5.2461250501628287</v>
      </c>
      <c r="E114" s="337">
        <v>3.0000000000000001E-3</v>
      </c>
    </row>
    <row r="115" spans="2:6">
      <c r="C115" s="339"/>
      <c r="D115" s="339"/>
    </row>
    <row r="116" spans="2:6">
      <c r="B116" s="203" t="s">
        <v>338</v>
      </c>
      <c r="C116" s="339"/>
      <c r="D116" s="339"/>
    </row>
    <row r="117" spans="2:6">
      <c r="B117" s="203" t="s">
        <v>367</v>
      </c>
      <c r="C117" s="339">
        <f>Valuation!H40</f>
        <v>32.913350951652859</v>
      </c>
      <c r="D117" s="339">
        <f>Valuation!I40</f>
        <v>32.240756265672267</v>
      </c>
      <c r="E117" s="337">
        <f>(Master!T52/Master!O52)^(1/5)-1</f>
        <v>7.3029785212241238E-2</v>
      </c>
    </row>
    <row r="118" spans="2:6">
      <c r="B118" s="203" t="s">
        <v>350</v>
      </c>
      <c r="C118" s="339">
        <v>25.765967418842607</v>
      </c>
      <c r="D118" s="339">
        <v>20.862287637962915</v>
      </c>
      <c r="E118" s="337">
        <v>0.158</v>
      </c>
    </row>
    <row r="119" spans="2:6">
      <c r="B119" s="203" t="s">
        <v>436</v>
      </c>
      <c r="C119" s="339">
        <v>16.680065881144237</v>
      </c>
      <c r="D119" s="339">
        <v>14.461422926152645</v>
      </c>
      <c r="E119" s="337">
        <v>3.6999999999999998E-2</v>
      </c>
    </row>
    <row r="121" spans="2:6">
      <c r="B121" s="358" t="s">
        <v>367</v>
      </c>
      <c r="C121" s="358">
        <v>2016</v>
      </c>
      <c r="D121" s="358">
        <f>C121+1</f>
        <v>2017</v>
      </c>
      <c r="E121" s="358">
        <f>D121+1</f>
        <v>2018</v>
      </c>
      <c r="F121" s="358" t="s">
        <v>1005</v>
      </c>
    </row>
    <row r="122" spans="2:6">
      <c r="B122" s="203" t="s">
        <v>336</v>
      </c>
      <c r="C122" s="339">
        <f>I38</f>
        <v>7.422507470690519</v>
      </c>
      <c r="D122" s="339">
        <f>J38</f>
        <v>6.452189132835378</v>
      </c>
      <c r="E122" s="339">
        <f>K38</f>
        <v>5.2862457643976617</v>
      </c>
      <c r="F122" s="338">
        <f>(K19/I19)^(1/2)-1</f>
        <v>0.16262599516251197</v>
      </c>
    </row>
    <row r="123" spans="2:6">
      <c r="B123" s="203" t="s">
        <v>1003</v>
      </c>
      <c r="C123" s="339">
        <f>I41</f>
        <v>10.659738143265823</v>
      </c>
      <c r="D123" s="339">
        <f>J41</f>
        <v>9.51790423706022</v>
      </c>
      <c r="E123" s="339">
        <f>K41</f>
        <v>8.1539579780888403</v>
      </c>
      <c r="F123" s="338">
        <f>(Master!R22/Master!P22)^(1/2)-1</f>
        <v>0.12183094666584959</v>
      </c>
    </row>
    <row r="124" spans="2:6">
      <c r="B124" s="203" t="s">
        <v>338</v>
      </c>
      <c r="C124" s="339">
        <f>I40</f>
        <v>32.240756265672267</v>
      </c>
      <c r="D124" s="339">
        <f>J40</f>
        <v>21.385240927703599</v>
      </c>
      <c r="E124" s="339">
        <f>K40</f>
        <v>17.626325296246542</v>
      </c>
      <c r="F124" s="338">
        <f>(Master!R52/Master!P52)^(1/2)-1</f>
        <v>0.32696693790279285</v>
      </c>
    </row>
    <row r="125" spans="2:6">
      <c r="B125" s="203" t="s">
        <v>1004</v>
      </c>
      <c r="C125" s="339">
        <f>I42</f>
        <v>52.283425852933583</v>
      </c>
      <c r="D125" s="339">
        <f>J42</f>
        <v>27.349397923094859</v>
      </c>
      <c r="E125" s="339">
        <f>K42</f>
        <v>21.855885060718947</v>
      </c>
      <c r="F125" s="338">
        <f>(K28/I28)^(1/2)-1</f>
        <v>0.51752621405003074</v>
      </c>
    </row>
    <row r="126" spans="2:6">
      <c r="B126" s="203" t="s">
        <v>1006</v>
      </c>
      <c r="C126" s="338">
        <f>I45</f>
        <v>2.5922989052078214E-2</v>
      </c>
      <c r="D126" s="338">
        <f>J45</f>
        <v>4.1862432584540039E-2</v>
      </c>
      <c r="E126" s="338">
        <f>K45</f>
        <v>4.6633472005351097E-2</v>
      </c>
      <c r="F126" s="338">
        <f>(K25/I25)^(1/2)-1</f>
        <v>0.34123950713247253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468"/>
  <sheetViews>
    <sheetView zoomScale="60" zoomScaleNormal="72" workbookViewId="0">
      <selection activeCell="AA12" sqref="AA12"/>
    </sheetView>
  </sheetViews>
  <sheetFormatPr defaultRowHeight="15" outlineLevelCol="1"/>
  <cols>
    <col min="1" max="1" width="4.140625" style="1" customWidth="1"/>
    <col min="2" max="2" width="42.85546875" style="1" customWidth="1"/>
    <col min="3" max="10" width="11.7109375" style="1" hidden="1" customWidth="1" outlineLevel="1"/>
    <col min="11" max="11" width="11.7109375" style="1" customWidth="1" collapsed="1"/>
    <col min="12" max="31" width="11.7109375" style="1" customWidth="1"/>
    <col min="32" max="32" width="9.85546875" style="1" bestFit="1" customWidth="1"/>
    <col min="33" max="33" width="9.140625" style="1"/>
    <col min="34" max="34" width="9.85546875" style="1" bestFit="1" customWidth="1"/>
    <col min="35" max="268" width="9.140625" style="1"/>
    <col min="269" max="269" width="34.7109375" style="1" customWidth="1"/>
    <col min="270" max="270" width="9.140625" style="1"/>
    <col min="271" max="286" width="9.5703125" style="1" customWidth="1"/>
    <col min="287" max="287" width="9.140625" style="1"/>
    <col min="288" max="288" width="9.85546875" style="1" bestFit="1" customWidth="1"/>
    <col min="289" max="289" width="9.140625" style="1"/>
    <col min="290" max="290" width="9.85546875" style="1" bestFit="1" customWidth="1"/>
    <col min="291" max="524" width="9.140625" style="1"/>
    <col min="525" max="525" width="34.7109375" style="1" customWidth="1"/>
    <col min="526" max="526" width="9.140625" style="1"/>
    <col min="527" max="542" width="9.5703125" style="1" customWidth="1"/>
    <col min="543" max="543" width="9.140625" style="1"/>
    <col min="544" max="544" width="9.85546875" style="1" bestFit="1" customWidth="1"/>
    <col min="545" max="545" width="9.140625" style="1"/>
    <col min="546" max="546" width="9.85546875" style="1" bestFit="1" customWidth="1"/>
    <col min="547" max="780" width="9.140625" style="1"/>
    <col min="781" max="781" width="34.7109375" style="1" customWidth="1"/>
    <col min="782" max="782" width="9.140625" style="1"/>
    <col min="783" max="798" width="9.5703125" style="1" customWidth="1"/>
    <col min="799" max="799" width="9.140625" style="1"/>
    <col min="800" max="800" width="9.85546875" style="1" bestFit="1" customWidth="1"/>
    <col min="801" max="801" width="9.140625" style="1"/>
    <col min="802" max="802" width="9.85546875" style="1" bestFit="1" customWidth="1"/>
    <col min="803" max="1036" width="9.140625" style="1"/>
    <col min="1037" max="1037" width="34.7109375" style="1" customWidth="1"/>
    <col min="1038" max="1038" width="9.140625" style="1"/>
    <col min="1039" max="1054" width="9.5703125" style="1" customWidth="1"/>
    <col min="1055" max="1055" width="9.140625" style="1"/>
    <col min="1056" max="1056" width="9.85546875" style="1" bestFit="1" customWidth="1"/>
    <col min="1057" max="1057" width="9.140625" style="1"/>
    <col min="1058" max="1058" width="9.85546875" style="1" bestFit="1" customWidth="1"/>
    <col min="1059" max="1292" width="9.140625" style="1"/>
    <col min="1293" max="1293" width="34.7109375" style="1" customWidth="1"/>
    <col min="1294" max="1294" width="9.140625" style="1"/>
    <col min="1295" max="1310" width="9.5703125" style="1" customWidth="1"/>
    <col min="1311" max="1311" width="9.140625" style="1"/>
    <col min="1312" max="1312" width="9.85546875" style="1" bestFit="1" customWidth="1"/>
    <col min="1313" max="1313" width="9.140625" style="1"/>
    <col min="1314" max="1314" width="9.85546875" style="1" bestFit="1" customWidth="1"/>
    <col min="1315" max="1548" width="9.140625" style="1"/>
    <col min="1549" max="1549" width="34.7109375" style="1" customWidth="1"/>
    <col min="1550" max="1550" width="9.140625" style="1"/>
    <col min="1551" max="1566" width="9.5703125" style="1" customWidth="1"/>
    <col min="1567" max="1567" width="9.140625" style="1"/>
    <col min="1568" max="1568" width="9.85546875" style="1" bestFit="1" customWidth="1"/>
    <col min="1569" max="1569" width="9.140625" style="1"/>
    <col min="1570" max="1570" width="9.85546875" style="1" bestFit="1" customWidth="1"/>
    <col min="1571" max="1804" width="9.140625" style="1"/>
    <col min="1805" max="1805" width="34.7109375" style="1" customWidth="1"/>
    <col min="1806" max="1806" width="9.140625" style="1"/>
    <col min="1807" max="1822" width="9.5703125" style="1" customWidth="1"/>
    <col min="1823" max="1823" width="9.140625" style="1"/>
    <col min="1824" max="1824" width="9.85546875" style="1" bestFit="1" customWidth="1"/>
    <col min="1825" max="1825" width="9.140625" style="1"/>
    <col min="1826" max="1826" width="9.85546875" style="1" bestFit="1" customWidth="1"/>
    <col min="1827" max="2060" width="9.140625" style="1"/>
    <col min="2061" max="2061" width="34.7109375" style="1" customWidth="1"/>
    <col min="2062" max="2062" width="9.140625" style="1"/>
    <col min="2063" max="2078" width="9.5703125" style="1" customWidth="1"/>
    <col min="2079" max="2079" width="9.140625" style="1"/>
    <col min="2080" max="2080" width="9.85546875" style="1" bestFit="1" customWidth="1"/>
    <col min="2081" max="2081" width="9.140625" style="1"/>
    <col min="2082" max="2082" width="9.85546875" style="1" bestFit="1" customWidth="1"/>
    <col min="2083" max="2316" width="9.140625" style="1"/>
    <col min="2317" max="2317" width="34.7109375" style="1" customWidth="1"/>
    <col min="2318" max="2318" width="9.140625" style="1"/>
    <col min="2319" max="2334" width="9.5703125" style="1" customWidth="1"/>
    <col min="2335" max="2335" width="9.140625" style="1"/>
    <col min="2336" max="2336" width="9.85546875" style="1" bestFit="1" customWidth="1"/>
    <col min="2337" max="2337" width="9.140625" style="1"/>
    <col min="2338" max="2338" width="9.85546875" style="1" bestFit="1" customWidth="1"/>
    <col min="2339" max="2572" width="9.140625" style="1"/>
    <col min="2573" max="2573" width="34.7109375" style="1" customWidth="1"/>
    <col min="2574" max="2574" width="9.140625" style="1"/>
    <col min="2575" max="2590" width="9.5703125" style="1" customWidth="1"/>
    <col min="2591" max="2591" width="9.140625" style="1"/>
    <col min="2592" max="2592" width="9.85546875" style="1" bestFit="1" customWidth="1"/>
    <col min="2593" max="2593" width="9.140625" style="1"/>
    <col min="2594" max="2594" width="9.85546875" style="1" bestFit="1" customWidth="1"/>
    <col min="2595" max="2828" width="9.140625" style="1"/>
    <col min="2829" max="2829" width="34.7109375" style="1" customWidth="1"/>
    <col min="2830" max="2830" width="9.140625" style="1"/>
    <col min="2831" max="2846" width="9.5703125" style="1" customWidth="1"/>
    <col min="2847" max="2847" width="9.140625" style="1"/>
    <col min="2848" max="2848" width="9.85546875" style="1" bestFit="1" customWidth="1"/>
    <col min="2849" max="2849" width="9.140625" style="1"/>
    <col min="2850" max="2850" width="9.85546875" style="1" bestFit="1" customWidth="1"/>
    <col min="2851" max="3084" width="9.140625" style="1"/>
    <col min="3085" max="3085" width="34.7109375" style="1" customWidth="1"/>
    <col min="3086" max="3086" width="9.140625" style="1"/>
    <col min="3087" max="3102" width="9.5703125" style="1" customWidth="1"/>
    <col min="3103" max="3103" width="9.140625" style="1"/>
    <col min="3104" max="3104" width="9.85546875" style="1" bestFit="1" customWidth="1"/>
    <col min="3105" max="3105" width="9.140625" style="1"/>
    <col min="3106" max="3106" width="9.85546875" style="1" bestFit="1" customWidth="1"/>
    <col min="3107" max="3340" width="9.140625" style="1"/>
    <col min="3341" max="3341" width="34.7109375" style="1" customWidth="1"/>
    <col min="3342" max="3342" width="9.140625" style="1"/>
    <col min="3343" max="3358" width="9.5703125" style="1" customWidth="1"/>
    <col min="3359" max="3359" width="9.140625" style="1"/>
    <col min="3360" max="3360" width="9.85546875" style="1" bestFit="1" customWidth="1"/>
    <col min="3361" max="3361" width="9.140625" style="1"/>
    <col min="3362" max="3362" width="9.85546875" style="1" bestFit="1" customWidth="1"/>
    <col min="3363" max="3596" width="9.140625" style="1"/>
    <col min="3597" max="3597" width="34.7109375" style="1" customWidth="1"/>
    <col min="3598" max="3598" width="9.140625" style="1"/>
    <col min="3599" max="3614" width="9.5703125" style="1" customWidth="1"/>
    <col min="3615" max="3615" width="9.140625" style="1"/>
    <col min="3616" max="3616" width="9.85546875" style="1" bestFit="1" customWidth="1"/>
    <col min="3617" max="3617" width="9.140625" style="1"/>
    <col min="3618" max="3618" width="9.85546875" style="1" bestFit="1" customWidth="1"/>
    <col min="3619" max="3852" width="9.140625" style="1"/>
    <col min="3853" max="3853" width="34.7109375" style="1" customWidth="1"/>
    <col min="3854" max="3854" width="9.140625" style="1"/>
    <col min="3855" max="3870" width="9.5703125" style="1" customWidth="1"/>
    <col min="3871" max="3871" width="9.140625" style="1"/>
    <col min="3872" max="3872" width="9.85546875" style="1" bestFit="1" customWidth="1"/>
    <col min="3873" max="3873" width="9.140625" style="1"/>
    <col min="3874" max="3874" width="9.85546875" style="1" bestFit="1" customWidth="1"/>
    <col min="3875" max="4108" width="9.140625" style="1"/>
    <col min="4109" max="4109" width="34.7109375" style="1" customWidth="1"/>
    <col min="4110" max="4110" width="9.140625" style="1"/>
    <col min="4111" max="4126" width="9.5703125" style="1" customWidth="1"/>
    <col min="4127" max="4127" width="9.140625" style="1"/>
    <col min="4128" max="4128" width="9.85546875" style="1" bestFit="1" customWidth="1"/>
    <col min="4129" max="4129" width="9.140625" style="1"/>
    <col min="4130" max="4130" width="9.85546875" style="1" bestFit="1" customWidth="1"/>
    <col min="4131" max="4364" width="9.140625" style="1"/>
    <col min="4365" max="4365" width="34.7109375" style="1" customWidth="1"/>
    <col min="4366" max="4366" width="9.140625" style="1"/>
    <col min="4367" max="4382" width="9.5703125" style="1" customWidth="1"/>
    <col min="4383" max="4383" width="9.140625" style="1"/>
    <col min="4384" max="4384" width="9.85546875" style="1" bestFit="1" customWidth="1"/>
    <col min="4385" max="4385" width="9.140625" style="1"/>
    <col min="4386" max="4386" width="9.85546875" style="1" bestFit="1" customWidth="1"/>
    <col min="4387" max="4620" width="9.140625" style="1"/>
    <col min="4621" max="4621" width="34.7109375" style="1" customWidth="1"/>
    <col min="4622" max="4622" width="9.140625" style="1"/>
    <col min="4623" max="4638" width="9.5703125" style="1" customWidth="1"/>
    <col min="4639" max="4639" width="9.140625" style="1"/>
    <col min="4640" max="4640" width="9.85546875" style="1" bestFit="1" customWidth="1"/>
    <col min="4641" max="4641" width="9.140625" style="1"/>
    <col min="4642" max="4642" width="9.85546875" style="1" bestFit="1" customWidth="1"/>
    <col min="4643" max="4876" width="9.140625" style="1"/>
    <col min="4877" max="4877" width="34.7109375" style="1" customWidth="1"/>
    <col min="4878" max="4878" width="9.140625" style="1"/>
    <col min="4879" max="4894" width="9.5703125" style="1" customWidth="1"/>
    <col min="4895" max="4895" width="9.140625" style="1"/>
    <col min="4896" max="4896" width="9.85546875" style="1" bestFit="1" customWidth="1"/>
    <col min="4897" max="4897" width="9.140625" style="1"/>
    <col min="4898" max="4898" width="9.85546875" style="1" bestFit="1" customWidth="1"/>
    <col min="4899" max="5132" width="9.140625" style="1"/>
    <col min="5133" max="5133" width="34.7109375" style="1" customWidth="1"/>
    <col min="5134" max="5134" width="9.140625" style="1"/>
    <col min="5135" max="5150" width="9.5703125" style="1" customWidth="1"/>
    <col min="5151" max="5151" width="9.140625" style="1"/>
    <col min="5152" max="5152" width="9.85546875" style="1" bestFit="1" customWidth="1"/>
    <col min="5153" max="5153" width="9.140625" style="1"/>
    <col min="5154" max="5154" width="9.85546875" style="1" bestFit="1" customWidth="1"/>
    <col min="5155" max="5388" width="9.140625" style="1"/>
    <col min="5389" max="5389" width="34.7109375" style="1" customWidth="1"/>
    <col min="5390" max="5390" width="9.140625" style="1"/>
    <col min="5391" max="5406" width="9.5703125" style="1" customWidth="1"/>
    <col min="5407" max="5407" width="9.140625" style="1"/>
    <col min="5408" max="5408" width="9.85546875" style="1" bestFit="1" customWidth="1"/>
    <col min="5409" max="5409" width="9.140625" style="1"/>
    <col min="5410" max="5410" width="9.85546875" style="1" bestFit="1" customWidth="1"/>
    <col min="5411" max="5644" width="9.140625" style="1"/>
    <col min="5645" max="5645" width="34.7109375" style="1" customWidth="1"/>
    <col min="5646" max="5646" width="9.140625" style="1"/>
    <col min="5647" max="5662" width="9.5703125" style="1" customWidth="1"/>
    <col min="5663" max="5663" width="9.140625" style="1"/>
    <col min="5664" max="5664" width="9.85546875" style="1" bestFit="1" customWidth="1"/>
    <col min="5665" max="5665" width="9.140625" style="1"/>
    <col min="5666" max="5666" width="9.85546875" style="1" bestFit="1" customWidth="1"/>
    <col min="5667" max="5900" width="9.140625" style="1"/>
    <col min="5901" max="5901" width="34.7109375" style="1" customWidth="1"/>
    <col min="5902" max="5902" width="9.140625" style="1"/>
    <col min="5903" max="5918" width="9.5703125" style="1" customWidth="1"/>
    <col min="5919" max="5919" width="9.140625" style="1"/>
    <col min="5920" max="5920" width="9.85546875" style="1" bestFit="1" customWidth="1"/>
    <col min="5921" max="5921" width="9.140625" style="1"/>
    <col min="5922" max="5922" width="9.85546875" style="1" bestFit="1" customWidth="1"/>
    <col min="5923" max="6156" width="9.140625" style="1"/>
    <col min="6157" max="6157" width="34.7109375" style="1" customWidth="1"/>
    <col min="6158" max="6158" width="9.140625" style="1"/>
    <col min="6159" max="6174" width="9.5703125" style="1" customWidth="1"/>
    <col min="6175" max="6175" width="9.140625" style="1"/>
    <col min="6176" max="6176" width="9.85546875" style="1" bestFit="1" customWidth="1"/>
    <col min="6177" max="6177" width="9.140625" style="1"/>
    <col min="6178" max="6178" width="9.85546875" style="1" bestFit="1" customWidth="1"/>
    <col min="6179" max="6412" width="9.140625" style="1"/>
    <col min="6413" max="6413" width="34.7109375" style="1" customWidth="1"/>
    <col min="6414" max="6414" width="9.140625" style="1"/>
    <col min="6415" max="6430" width="9.5703125" style="1" customWidth="1"/>
    <col min="6431" max="6431" width="9.140625" style="1"/>
    <col min="6432" max="6432" width="9.85546875" style="1" bestFit="1" customWidth="1"/>
    <col min="6433" max="6433" width="9.140625" style="1"/>
    <col min="6434" max="6434" width="9.85546875" style="1" bestFit="1" customWidth="1"/>
    <col min="6435" max="6668" width="9.140625" style="1"/>
    <col min="6669" max="6669" width="34.7109375" style="1" customWidth="1"/>
    <col min="6670" max="6670" width="9.140625" style="1"/>
    <col min="6671" max="6686" width="9.5703125" style="1" customWidth="1"/>
    <col min="6687" max="6687" width="9.140625" style="1"/>
    <col min="6688" max="6688" width="9.85546875" style="1" bestFit="1" customWidth="1"/>
    <col min="6689" max="6689" width="9.140625" style="1"/>
    <col min="6690" max="6690" width="9.85546875" style="1" bestFit="1" customWidth="1"/>
    <col min="6691" max="6924" width="9.140625" style="1"/>
    <col min="6925" max="6925" width="34.7109375" style="1" customWidth="1"/>
    <col min="6926" max="6926" width="9.140625" style="1"/>
    <col min="6927" max="6942" width="9.5703125" style="1" customWidth="1"/>
    <col min="6943" max="6943" width="9.140625" style="1"/>
    <col min="6944" max="6944" width="9.85546875" style="1" bestFit="1" customWidth="1"/>
    <col min="6945" max="6945" width="9.140625" style="1"/>
    <col min="6946" max="6946" width="9.85546875" style="1" bestFit="1" customWidth="1"/>
    <col min="6947" max="7180" width="9.140625" style="1"/>
    <col min="7181" max="7181" width="34.7109375" style="1" customWidth="1"/>
    <col min="7182" max="7182" width="9.140625" style="1"/>
    <col min="7183" max="7198" width="9.5703125" style="1" customWidth="1"/>
    <col min="7199" max="7199" width="9.140625" style="1"/>
    <col min="7200" max="7200" width="9.85546875" style="1" bestFit="1" customWidth="1"/>
    <col min="7201" max="7201" width="9.140625" style="1"/>
    <col min="7202" max="7202" width="9.85546875" style="1" bestFit="1" customWidth="1"/>
    <col min="7203" max="7436" width="9.140625" style="1"/>
    <col min="7437" max="7437" width="34.7109375" style="1" customWidth="1"/>
    <col min="7438" max="7438" width="9.140625" style="1"/>
    <col min="7439" max="7454" width="9.5703125" style="1" customWidth="1"/>
    <col min="7455" max="7455" width="9.140625" style="1"/>
    <col min="7456" max="7456" width="9.85546875" style="1" bestFit="1" customWidth="1"/>
    <col min="7457" max="7457" width="9.140625" style="1"/>
    <col min="7458" max="7458" width="9.85546875" style="1" bestFit="1" customWidth="1"/>
    <col min="7459" max="7692" width="9.140625" style="1"/>
    <col min="7693" max="7693" width="34.7109375" style="1" customWidth="1"/>
    <col min="7694" max="7694" width="9.140625" style="1"/>
    <col min="7695" max="7710" width="9.5703125" style="1" customWidth="1"/>
    <col min="7711" max="7711" width="9.140625" style="1"/>
    <col min="7712" max="7712" width="9.85546875" style="1" bestFit="1" customWidth="1"/>
    <col min="7713" max="7713" width="9.140625" style="1"/>
    <col min="7714" max="7714" width="9.85546875" style="1" bestFit="1" customWidth="1"/>
    <col min="7715" max="7948" width="9.140625" style="1"/>
    <col min="7949" max="7949" width="34.7109375" style="1" customWidth="1"/>
    <col min="7950" max="7950" width="9.140625" style="1"/>
    <col min="7951" max="7966" width="9.5703125" style="1" customWidth="1"/>
    <col min="7967" max="7967" width="9.140625" style="1"/>
    <col min="7968" max="7968" width="9.85546875" style="1" bestFit="1" customWidth="1"/>
    <col min="7969" max="7969" width="9.140625" style="1"/>
    <col min="7970" max="7970" width="9.85546875" style="1" bestFit="1" customWidth="1"/>
    <col min="7971" max="8204" width="9.140625" style="1"/>
    <col min="8205" max="8205" width="34.7109375" style="1" customWidth="1"/>
    <col min="8206" max="8206" width="9.140625" style="1"/>
    <col min="8207" max="8222" width="9.5703125" style="1" customWidth="1"/>
    <col min="8223" max="8223" width="9.140625" style="1"/>
    <col min="8224" max="8224" width="9.85546875" style="1" bestFit="1" customWidth="1"/>
    <col min="8225" max="8225" width="9.140625" style="1"/>
    <col min="8226" max="8226" width="9.85546875" style="1" bestFit="1" customWidth="1"/>
    <col min="8227" max="8460" width="9.140625" style="1"/>
    <col min="8461" max="8461" width="34.7109375" style="1" customWidth="1"/>
    <col min="8462" max="8462" width="9.140625" style="1"/>
    <col min="8463" max="8478" width="9.5703125" style="1" customWidth="1"/>
    <col min="8479" max="8479" width="9.140625" style="1"/>
    <col min="8480" max="8480" width="9.85546875" style="1" bestFit="1" customWidth="1"/>
    <col min="8481" max="8481" width="9.140625" style="1"/>
    <col min="8482" max="8482" width="9.85546875" style="1" bestFit="1" customWidth="1"/>
    <col min="8483" max="8716" width="9.140625" style="1"/>
    <col min="8717" max="8717" width="34.7109375" style="1" customWidth="1"/>
    <col min="8718" max="8718" width="9.140625" style="1"/>
    <col min="8719" max="8734" width="9.5703125" style="1" customWidth="1"/>
    <col min="8735" max="8735" width="9.140625" style="1"/>
    <col min="8736" max="8736" width="9.85546875" style="1" bestFit="1" customWidth="1"/>
    <col min="8737" max="8737" width="9.140625" style="1"/>
    <col min="8738" max="8738" width="9.85546875" style="1" bestFit="1" customWidth="1"/>
    <col min="8739" max="8972" width="9.140625" style="1"/>
    <col min="8973" max="8973" width="34.7109375" style="1" customWidth="1"/>
    <col min="8974" max="8974" width="9.140625" style="1"/>
    <col min="8975" max="8990" width="9.5703125" style="1" customWidth="1"/>
    <col min="8991" max="8991" width="9.140625" style="1"/>
    <col min="8992" max="8992" width="9.85546875" style="1" bestFit="1" customWidth="1"/>
    <col min="8993" max="8993" width="9.140625" style="1"/>
    <col min="8994" max="8994" width="9.85546875" style="1" bestFit="1" customWidth="1"/>
    <col min="8995" max="9228" width="9.140625" style="1"/>
    <col min="9229" max="9229" width="34.7109375" style="1" customWidth="1"/>
    <col min="9230" max="9230" width="9.140625" style="1"/>
    <col min="9231" max="9246" width="9.5703125" style="1" customWidth="1"/>
    <col min="9247" max="9247" width="9.140625" style="1"/>
    <col min="9248" max="9248" width="9.85546875" style="1" bestFit="1" customWidth="1"/>
    <col min="9249" max="9249" width="9.140625" style="1"/>
    <col min="9250" max="9250" width="9.85546875" style="1" bestFit="1" customWidth="1"/>
    <col min="9251" max="9484" width="9.140625" style="1"/>
    <col min="9485" max="9485" width="34.7109375" style="1" customWidth="1"/>
    <col min="9486" max="9486" width="9.140625" style="1"/>
    <col min="9487" max="9502" width="9.5703125" style="1" customWidth="1"/>
    <col min="9503" max="9503" width="9.140625" style="1"/>
    <col min="9504" max="9504" width="9.85546875" style="1" bestFit="1" customWidth="1"/>
    <col min="9505" max="9505" width="9.140625" style="1"/>
    <col min="9506" max="9506" width="9.85546875" style="1" bestFit="1" customWidth="1"/>
    <col min="9507" max="9740" width="9.140625" style="1"/>
    <col min="9741" max="9741" width="34.7109375" style="1" customWidth="1"/>
    <col min="9742" max="9742" width="9.140625" style="1"/>
    <col min="9743" max="9758" width="9.5703125" style="1" customWidth="1"/>
    <col min="9759" max="9759" width="9.140625" style="1"/>
    <col min="9760" max="9760" width="9.85546875" style="1" bestFit="1" customWidth="1"/>
    <col min="9761" max="9761" width="9.140625" style="1"/>
    <col min="9762" max="9762" width="9.85546875" style="1" bestFit="1" customWidth="1"/>
    <col min="9763" max="9996" width="9.140625" style="1"/>
    <col min="9997" max="9997" width="34.7109375" style="1" customWidth="1"/>
    <col min="9998" max="9998" width="9.140625" style="1"/>
    <col min="9999" max="10014" width="9.5703125" style="1" customWidth="1"/>
    <col min="10015" max="10015" width="9.140625" style="1"/>
    <col min="10016" max="10016" width="9.85546875" style="1" bestFit="1" customWidth="1"/>
    <col min="10017" max="10017" width="9.140625" style="1"/>
    <col min="10018" max="10018" width="9.85546875" style="1" bestFit="1" customWidth="1"/>
    <col min="10019" max="10252" width="9.140625" style="1"/>
    <col min="10253" max="10253" width="34.7109375" style="1" customWidth="1"/>
    <col min="10254" max="10254" width="9.140625" style="1"/>
    <col min="10255" max="10270" width="9.5703125" style="1" customWidth="1"/>
    <col min="10271" max="10271" width="9.140625" style="1"/>
    <col min="10272" max="10272" width="9.85546875" style="1" bestFit="1" customWidth="1"/>
    <col min="10273" max="10273" width="9.140625" style="1"/>
    <col min="10274" max="10274" width="9.85546875" style="1" bestFit="1" customWidth="1"/>
    <col min="10275" max="10508" width="9.140625" style="1"/>
    <col min="10509" max="10509" width="34.7109375" style="1" customWidth="1"/>
    <col min="10510" max="10510" width="9.140625" style="1"/>
    <col min="10511" max="10526" width="9.5703125" style="1" customWidth="1"/>
    <col min="10527" max="10527" width="9.140625" style="1"/>
    <col min="10528" max="10528" width="9.85546875" style="1" bestFit="1" customWidth="1"/>
    <col min="10529" max="10529" width="9.140625" style="1"/>
    <col min="10530" max="10530" width="9.85546875" style="1" bestFit="1" customWidth="1"/>
    <col min="10531" max="10764" width="9.140625" style="1"/>
    <col min="10765" max="10765" width="34.7109375" style="1" customWidth="1"/>
    <col min="10766" max="10766" width="9.140625" style="1"/>
    <col min="10767" max="10782" width="9.5703125" style="1" customWidth="1"/>
    <col min="10783" max="10783" width="9.140625" style="1"/>
    <col min="10784" max="10784" width="9.85546875" style="1" bestFit="1" customWidth="1"/>
    <col min="10785" max="10785" width="9.140625" style="1"/>
    <col min="10786" max="10786" width="9.85546875" style="1" bestFit="1" customWidth="1"/>
    <col min="10787" max="11020" width="9.140625" style="1"/>
    <col min="11021" max="11021" width="34.7109375" style="1" customWidth="1"/>
    <col min="11022" max="11022" width="9.140625" style="1"/>
    <col min="11023" max="11038" width="9.5703125" style="1" customWidth="1"/>
    <col min="11039" max="11039" width="9.140625" style="1"/>
    <col min="11040" max="11040" width="9.85546875" style="1" bestFit="1" customWidth="1"/>
    <col min="11041" max="11041" width="9.140625" style="1"/>
    <col min="11042" max="11042" width="9.85546875" style="1" bestFit="1" customWidth="1"/>
    <col min="11043" max="11276" width="9.140625" style="1"/>
    <col min="11277" max="11277" width="34.7109375" style="1" customWidth="1"/>
    <col min="11278" max="11278" width="9.140625" style="1"/>
    <col min="11279" max="11294" width="9.5703125" style="1" customWidth="1"/>
    <col min="11295" max="11295" width="9.140625" style="1"/>
    <col min="11296" max="11296" width="9.85546875" style="1" bestFit="1" customWidth="1"/>
    <col min="11297" max="11297" width="9.140625" style="1"/>
    <col min="11298" max="11298" width="9.85546875" style="1" bestFit="1" customWidth="1"/>
    <col min="11299" max="11532" width="9.140625" style="1"/>
    <col min="11533" max="11533" width="34.7109375" style="1" customWidth="1"/>
    <col min="11534" max="11534" width="9.140625" style="1"/>
    <col min="11535" max="11550" width="9.5703125" style="1" customWidth="1"/>
    <col min="11551" max="11551" width="9.140625" style="1"/>
    <col min="11552" max="11552" width="9.85546875" style="1" bestFit="1" customWidth="1"/>
    <col min="11553" max="11553" width="9.140625" style="1"/>
    <col min="11554" max="11554" width="9.85546875" style="1" bestFit="1" customWidth="1"/>
    <col min="11555" max="11788" width="9.140625" style="1"/>
    <col min="11789" max="11789" width="34.7109375" style="1" customWidth="1"/>
    <col min="11790" max="11790" width="9.140625" style="1"/>
    <col min="11791" max="11806" width="9.5703125" style="1" customWidth="1"/>
    <col min="11807" max="11807" width="9.140625" style="1"/>
    <col min="11808" max="11808" width="9.85546875" style="1" bestFit="1" customWidth="1"/>
    <col min="11809" max="11809" width="9.140625" style="1"/>
    <col min="11810" max="11810" width="9.85546875" style="1" bestFit="1" customWidth="1"/>
    <col min="11811" max="12044" width="9.140625" style="1"/>
    <col min="12045" max="12045" width="34.7109375" style="1" customWidth="1"/>
    <col min="12046" max="12046" width="9.140625" style="1"/>
    <col min="12047" max="12062" width="9.5703125" style="1" customWidth="1"/>
    <col min="12063" max="12063" width="9.140625" style="1"/>
    <col min="12064" max="12064" width="9.85546875" style="1" bestFit="1" customWidth="1"/>
    <col min="12065" max="12065" width="9.140625" style="1"/>
    <col min="12066" max="12066" width="9.85546875" style="1" bestFit="1" customWidth="1"/>
    <col min="12067" max="12300" width="9.140625" style="1"/>
    <col min="12301" max="12301" width="34.7109375" style="1" customWidth="1"/>
    <col min="12302" max="12302" width="9.140625" style="1"/>
    <col min="12303" max="12318" width="9.5703125" style="1" customWidth="1"/>
    <col min="12319" max="12319" width="9.140625" style="1"/>
    <col min="12320" max="12320" width="9.85546875" style="1" bestFit="1" customWidth="1"/>
    <col min="12321" max="12321" width="9.140625" style="1"/>
    <col min="12322" max="12322" width="9.85546875" style="1" bestFit="1" customWidth="1"/>
    <col min="12323" max="12556" width="9.140625" style="1"/>
    <col min="12557" max="12557" width="34.7109375" style="1" customWidth="1"/>
    <col min="12558" max="12558" width="9.140625" style="1"/>
    <col min="12559" max="12574" width="9.5703125" style="1" customWidth="1"/>
    <col min="12575" max="12575" width="9.140625" style="1"/>
    <col min="12576" max="12576" width="9.85546875" style="1" bestFit="1" customWidth="1"/>
    <col min="12577" max="12577" width="9.140625" style="1"/>
    <col min="12578" max="12578" width="9.85546875" style="1" bestFit="1" customWidth="1"/>
    <col min="12579" max="12812" width="9.140625" style="1"/>
    <col min="12813" max="12813" width="34.7109375" style="1" customWidth="1"/>
    <col min="12814" max="12814" width="9.140625" style="1"/>
    <col min="12815" max="12830" width="9.5703125" style="1" customWidth="1"/>
    <col min="12831" max="12831" width="9.140625" style="1"/>
    <col min="12832" max="12832" width="9.85546875" style="1" bestFit="1" customWidth="1"/>
    <col min="12833" max="12833" width="9.140625" style="1"/>
    <col min="12834" max="12834" width="9.85546875" style="1" bestFit="1" customWidth="1"/>
    <col min="12835" max="13068" width="9.140625" style="1"/>
    <col min="13069" max="13069" width="34.7109375" style="1" customWidth="1"/>
    <col min="13070" max="13070" width="9.140625" style="1"/>
    <col min="13071" max="13086" width="9.5703125" style="1" customWidth="1"/>
    <col min="13087" max="13087" width="9.140625" style="1"/>
    <col min="13088" max="13088" width="9.85546875" style="1" bestFit="1" customWidth="1"/>
    <col min="13089" max="13089" width="9.140625" style="1"/>
    <col min="13090" max="13090" width="9.85546875" style="1" bestFit="1" customWidth="1"/>
    <col min="13091" max="13324" width="9.140625" style="1"/>
    <col min="13325" max="13325" width="34.7109375" style="1" customWidth="1"/>
    <col min="13326" max="13326" width="9.140625" style="1"/>
    <col min="13327" max="13342" width="9.5703125" style="1" customWidth="1"/>
    <col min="13343" max="13343" width="9.140625" style="1"/>
    <col min="13344" max="13344" width="9.85546875" style="1" bestFit="1" customWidth="1"/>
    <col min="13345" max="13345" width="9.140625" style="1"/>
    <col min="13346" max="13346" width="9.85546875" style="1" bestFit="1" customWidth="1"/>
    <col min="13347" max="13580" width="9.140625" style="1"/>
    <col min="13581" max="13581" width="34.7109375" style="1" customWidth="1"/>
    <col min="13582" max="13582" width="9.140625" style="1"/>
    <col min="13583" max="13598" width="9.5703125" style="1" customWidth="1"/>
    <col min="13599" max="13599" width="9.140625" style="1"/>
    <col min="13600" max="13600" width="9.85546875" style="1" bestFit="1" customWidth="1"/>
    <col min="13601" max="13601" width="9.140625" style="1"/>
    <col min="13602" max="13602" width="9.85546875" style="1" bestFit="1" customWidth="1"/>
    <col min="13603" max="13836" width="9.140625" style="1"/>
    <col min="13837" max="13837" width="34.7109375" style="1" customWidth="1"/>
    <col min="13838" max="13838" width="9.140625" style="1"/>
    <col min="13839" max="13854" width="9.5703125" style="1" customWidth="1"/>
    <col min="13855" max="13855" width="9.140625" style="1"/>
    <col min="13856" max="13856" width="9.85546875" style="1" bestFit="1" customWidth="1"/>
    <col min="13857" max="13857" width="9.140625" style="1"/>
    <col min="13858" max="13858" width="9.85546875" style="1" bestFit="1" customWidth="1"/>
    <col min="13859" max="14092" width="9.140625" style="1"/>
    <col min="14093" max="14093" width="34.7109375" style="1" customWidth="1"/>
    <col min="14094" max="14094" width="9.140625" style="1"/>
    <col min="14095" max="14110" width="9.5703125" style="1" customWidth="1"/>
    <col min="14111" max="14111" width="9.140625" style="1"/>
    <col min="14112" max="14112" width="9.85546875" style="1" bestFit="1" customWidth="1"/>
    <col min="14113" max="14113" width="9.140625" style="1"/>
    <col min="14114" max="14114" width="9.85546875" style="1" bestFit="1" customWidth="1"/>
    <col min="14115" max="14348" width="9.140625" style="1"/>
    <col min="14349" max="14349" width="34.7109375" style="1" customWidth="1"/>
    <col min="14350" max="14350" width="9.140625" style="1"/>
    <col min="14351" max="14366" width="9.5703125" style="1" customWidth="1"/>
    <col min="14367" max="14367" width="9.140625" style="1"/>
    <col min="14368" max="14368" width="9.85546875" style="1" bestFit="1" customWidth="1"/>
    <col min="14369" max="14369" width="9.140625" style="1"/>
    <col min="14370" max="14370" width="9.85546875" style="1" bestFit="1" customWidth="1"/>
    <col min="14371" max="14604" width="9.140625" style="1"/>
    <col min="14605" max="14605" width="34.7109375" style="1" customWidth="1"/>
    <col min="14606" max="14606" width="9.140625" style="1"/>
    <col min="14607" max="14622" width="9.5703125" style="1" customWidth="1"/>
    <col min="14623" max="14623" width="9.140625" style="1"/>
    <col min="14624" max="14624" width="9.85546875" style="1" bestFit="1" customWidth="1"/>
    <col min="14625" max="14625" width="9.140625" style="1"/>
    <col min="14626" max="14626" width="9.85546875" style="1" bestFit="1" customWidth="1"/>
    <col min="14627" max="14860" width="9.140625" style="1"/>
    <col min="14861" max="14861" width="34.7109375" style="1" customWidth="1"/>
    <col min="14862" max="14862" width="9.140625" style="1"/>
    <col min="14863" max="14878" width="9.5703125" style="1" customWidth="1"/>
    <col min="14879" max="14879" width="9.140625" style="1"/>
    <col min="14880" max="14880" width="9.85546875" style="1" bestFit="1" customWidth="1"/>
    <col min="14881" max="14881" width="9.140625" style="1"/>
    <col min="14882" max="14882" width="9.85546875" style="1" bestFit="1" customWidth="1"/>
    <col min="14883" max="15116" width="9.140625" style="1"/>
    <col min="15117" max="15117" width="34.7109375" style="1" customWidth="1"/>
    <col min="15118" max="15118" width="9.140625" style="1"/>
    <col min="15119" max="15134" width="9.5703125" style="1" customWidth="1"/>
    <col min="15135" max="15135" width="9.140625" style="1"/>
    <col min="15136" max="15136" width="9.85546875" style="1" bestFit="1" customWidth="1"/>
    <col min="15137" max="15137" width="9.140625" style="1"/>
    <col min="15138" max="15138" width="9.85546875" style="1" bestFit="1" customWidth="1"/>
    <col min="15139" max="15372" width="9.140625" style="1"/>
    <col min="15373" max="15373" width="34.7109375" style="1" customWidth="1"/>
    <col min="15374" max="15374" width="9.140625" style="1"/>
    <col min="15375" max="15390" width="9.5703125" style="1" customWidth="1"/>
    <col min="15391" max="15391" width="9.140625" style="1"/>
    <col min="15392" max="15392" width="9.85546875" style="1" bestFit="1" customWidth="1"/>
    <col min="15393" max="15393" width="9.140625" style="1"/>
    <col min="15394" max="15394" width="9.85546875" style="1" bestFit="1" customWidth="1"/>
    <col min="15395" max="15628" width="9.140625" style="1"/>
    <col min="15629" max="15629" width="34.7109375" style="1" customWidth="1"/>
    <col min="15630" max="15630" width="9.140625" style="1"/>
    <col min="15631" max="15646" width="9.5703125" style="1" customWidth="1"/>
    <col min="15647" max="15647" width="9.140625" style="1"/>
    <col min="15648" max="15648" width="9.85546875" style="1" bestFit="1" customWidth="1"/>
    <col min="15649" max="15649" width="9.140625" style="1"/>
    <col min="15650" max="15650" width="9.85546875" style="1" bestFit="1" customWidth="1"/>
    <col min="15651" max="15884" width="9.140625" style="1"/>
    <col min="15885" max="15885" width="34.7109375" style="1" customWidth="1"/>
    <col min="15886" max="15886" width="9.140625" style="1"/>
    <col min="15887" max="15902" width="9.5703125" style="1" customWidth="1"/>
    <col min="15903" max="15903" width="9.140625" style="1"/>
    <col min="15904" max="15904" width="9.85546875" style="1" bestFit="1" customWidth="1"/>
    <col min="15905" max="15905" width="9.140625" style="1"/>
    <col min="15906" max="15906" width="9.85546875" style="1" bestFit="1" customWidth="1"/>
    <col min="15907" max="16140" width="9.140625" style="1"/>
    <col min="16141" max="16141" width="34.7109375" style="1" customWidth="1"/>
    <col min="16142" max="16142" width="9.140625" style="1"/>
    <col min="16143" max="16158" width="9.5703125" style="1" customWidth="1"/>
    <col min="16159" max="16159" width="9.140625" style="1"/>
    <col min="16160" max="16160" width="9.85546875" style="1" bestFit="1" customWidth="1"/>
    <col min="16161" max="16161" width="9.140625" style="1"/>
    <col min="16162" max="16162" width="9.85546875" style="1" bestFit="1" customWidth="1"/>
    <col min="16163" max="16384" width="9.140625" style="1"/>
  </cols>
  <sheetData>
    <row r="1" spans="1:39" ht="15.75">
      <c r="A1" s="340"/>
      <c r="B1" s="340"/>
      <c r="C1" s="340"/>
      <c r="D1" s="340"/>
      <c r="E1" s="340"/>
      <c r="F1" s="340"/>
      <c r="G1" s="340"/>
      <c r="H1" s="340"/>
      <c r="I1" s="686"/>
      <c r="J1" s="340"/>
      <c r="K1" s="340"/>
      <c r="L1" s="340"/>
      <c r="M1" s="340"/>
      <c r="N1" s="340"/>
      <c r="O1" s="340"/>
      <c r="P1" s="340"/>
      <c r="Q1" s="340"/>
      <c r="R1" s="340"/>
      <c r="S1" s="340"/>
      <c r="T1" s="340"/>
      <c r="U1" s="340"/>
      <c r="V1" s="340"/>
      <c r="W1" s="687"/>
      <c r="X1" s="340"/>
      <c r="Y1" s="340"/>
      <c r="Z1" s="340"/>
      <c r="AA1" s="340"/>
      <c r="AB1" s="340"/>
      <c r="AC1" s="340"/>
      <c r="AD1" s="340"/>
      <c r="AE1" s="340"/>
      <c r="AF1" s="367"/>
      <c r="AG1" s="340"/>
      <c r="AH1" s="340"/>
      <c r="AI1" s="340"/>
      <c r="AJ1" s="340"/>
      <c r="AK1" s="340"/>
      <c r="AL1" s="340"/>
      <c r="AM1" s="340"/>
    </row>
    <row r="2" spans="1:39" ht="15.75">
      <c r="A2" s="340"/>
      <c r="B2" s="340"/>
      <c r="C2" s="340"/>
      <c r="D2" s="340"/>
      <c r="E2" s="340"/>
      <c r="F2" s="340"/>
      <c r="G2" s="340"/>
      <c r="H2" s="340"/>
      <c r="I2" s="686"/>
      <c r="J2" s="340"/>
      <c r="K2" s="340"/>
      <c r="L2" s="340"/>
      <c r="M2" s="340"/>
      <c r="N2" s="340"/>
      <c r="O2" s="340"/>
      <c r="P2" s="340"/>
      <c r="Q2" s="688" t="s">
        <v>1375</v>
      </c>
      <c r="R2" s="688" t="s">
        <v>1374</v>
      </c>
      <c r="S2" s="340"/>
      <c r="T2" s="340"/>
      <c r="U2" s="340"/>
      <c r="V2" s="340"/>
      <c r="W2" s="340"/>
      <c r="X2" s="340"/>
      <c r="Y2" s="340"/>
      <c r="Z2" s="340"/>
      <c r="AA2" s="340"/>
      <c r="AB2" s="340"/>
      <c r="AC2" s="340"/>
      <c r="AD2" s="340"/>
      <c r="AE2" s="340"/>
      <c r="AF2" s="340"/>
      <c r="AG2" s="340"/>
      <c r="AH2" s="340"/>
      <c r="AI2" s="340"/>
      <c r="AJ2" s="340"/>
      <c r="AK2" s="340"/>
      <c r="AL2" s="340"/>
      <c r="AM2" s="340"/>
    </row>
    <row r="3" spans="1:39" ht="15.75">
      <c r="A3" s="340"/>
      <c r="B3" s="689" t="s">
        <v>0</v>
      </c>
      <c r="C3" s="689"/>
      <c r="D3" s="689">
        <v>2004</v>
      </c>
      <c r="E3" s="689">
        <v>2005</v>
      </c>
      <c r="F3" s="689">
        <v>2006</v>
      </c>
      <c r="G3" s="689">
        <v>2007</v>
      </c>
      <c r="H3" s="689">
        <v>2008</v>
      </c>
      <c r="I3" s="689">
        <v>2009</v>
      </c>
      <c r="J3" s="689">
        <v>2010</v>
      </c>
      <c r="K3" s="689">
        <v>2011</v>
      </c>
      <c r="L3" s="689">
        <v>2012</v>
      </c>
      <c r="M3" s="689">
        <v>2013</v>
      </c>
      <c r="N3" s="689">
        <f>M3+1</f>
        <v>2014</v>
      </c>
      <c r="O3" s="689">
        <f t="shared" ref="O3:T3" si="0">N3+1</f>
        <v>2015</v>
      </c>
      <c r="P3" s="689">
        <f t="shared" si="0"/>
        <v>2016</v>
      </c>
      <c r="Q3" s="689">
        <f t="shared" si="0"/>
        <v>2017</v>
      </c>
      <c r="R3" s="689">
        <f t="shared" si="0"/>
        <v>2018</v>
      </c>
      <c r="S3" s="689">
        <f t="shared" si="0"/>
        <v>2019</v>
      </c>
      <c r="T3" s="689">
        <f t="shared" si="0"/>
        <v>2020</v>
      </c>
      <c r="U3" s="689">
        <f t="shared" ref="U3" si="1">T3+1</f>
        <v>2021</v>
      </c>
      <c r="V3" s="689">
        <f t="shared" ref="V3" si="2">U3+1</f>
        <v>2022</v>
      </c>
      <c r="W3" s="689">
        <f t="shared" ref="W3" si="3">V3+1</f>
        <v>2023</v>
      </c>
      <c r="X3" s="689">
        <f t="shared" ref="X3" si="4">W3+1</f>
        <v>2024</v>
      </c>
      <c r="Y3" s="689">
        <f t="shared" ref="Y3" si="5">X3+1</f>
        <v>2025</v>
      </c>
      <c r="Z3" s="689">
        <f t="shared" ref="Z3" si="6">Y3+1</f>
        <v>2026</v>
      </c>
      <c r="AA3" s="689">
        <f t="shared" ref="AA3" si="7">Z3+1</f>
        <v>2027</v>
      </c>
      <c r="AB3" s="689">
        <f t="shared" ref="AB3" si="8">AA3+1</f>
        <v>2028</v>
      </c>
      <c r="AC3" s="689">
        <f t="shared" ref="AC3" si="9">AB3+1</f>
        <v>2029</v>
      </c>
      <c r="AD3" s="689">
        <f t="shared" ref="AD3" si="10">AC3+1</f>
        <v>2030</v>
      </c>
      <c r="AE3" s="690" t="s">
        <v>1425</v>
      </c>
      <c r="AF3" s="340"/>
      <c r="AG3" s="340"/>
      <c r="AH3" s="340"/>
      <c r="AI3" s="340"/>
      <c r="AJ3" s="340"/>
      <c r="AK3" s="340"/>
      <c r="AL3" s="340"/>
      <c r="AM3" s="340"/>
    </row>
    <row r="4" spans="1:39" ht="15.75">
      <c r="A4" s="340"/>
      <c r="B4" s="691"/>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340"/>
      <c r="AF4" s="340"/>
      <c r="AG4" s="340"/>
      <c r="AH4" s="340"/>
      <c r="AI4" s="340"/>
      <c r="AJ4" s="340"/>
      <c r="AK4" s="340"/>
      <c r="AL4" s="340"/>
      <c r="AM4" s="340"/>
    </row>
    <row r="5" spans="1:39" ht="15.75">
      <c r="A5" s="340"/>
      <c r="B5" s="692" t="s">
        <v>2070</v>
      </c>
      <c r="C5" s="691"/>
      <c r="D5" s="691"/>
      <c r="E5" s="693">
        <f>E7</f>
        <v>2885</v>
      </c>
      <c r="F5" s="693">
        <f t="shared" ref="F5:M5" si="11">F7</f>
        <v>3277</v>
      </c>
      <c r="G5" s="693">
        <f t="shared" si="11"/>
        <v>4166</v>
      </c>
      <c r="H5" s="693">
        <f t="shared" si="11"/>
        <v>5854</v>
      </c>
      <c r="I5" s="693">
        <f t="shared" si="11"/>
        <v>6895</v>
      </c>
      <c r="J5" s="693">
        <f t="shared" si="11"/>
        <v>7509</v>
      </c>
      <c r="K5" s="693">
        <f t="shared" si="11"/>
        <v>8249</v>
      </c>
      <c r="L5" s="693">
        <f t="shared" si="11"/>
        <v>8977</v>
      </c>
      <c r="M5" s="693">
        <f t="shared" si="11"/>
        <v>10068</v>
      </c>
      <c r="N5" s="693">
        <f>N7</f>
        <v>11475</v>
      </c>
      <c r="O5" s="693">
        <f>O7</f>
        <v>14557</v>
      </c>
      <c r="P5" s="693">
        <f>P7</f>
        <v>16957</v>
      </c>
      <c r="Q5" s="693">
        <f>Q7</f>
        <v>17287</v>
      </c>
      <c r="R5" s="693">
        <f>Fixed!M97</f>
        <v>19436</v>
      </c>
      <c r="S5" s="693">
        <f>Fixed!N97</f>
        <v>21604</v>
      </c>
      <c r="T5" s="693">
        <f>Fixed!O97</f>
        <v>22390.929000000004</v>
      </c>
      <c r="U5" s="693">
        <f>Fixed!P97</f>
        <v>24634.396000000001</v>
      </c>
      <c r="V5" s="693">
        <f>Fixed!Q97</f>
        <v>27155.291000000001</v>
      </c>
      <c r="W5" s="693">
        <f>Fixed!R97</f>
        <v>29870.541000000005</v>
      </c>
      <c r="X5" s="693">
        <f>Fixed!S97</f>
        <v>33085.7435653906</v>
      </c>
      <c r="Y5" s="693">
        <f>Fixed!T97</f>
        <v>36026.705486593608</v>
      </c>
      <c r="Z5" s="693">
        <f>Fixed!U97</f>
        <v>38748.862943517532</v>
      </c>
      <c r="AA5" s="693">
        <f>Fixed!V97</f>
        <v>40988.179882362921</v>
      </c>
      <c r="AB5" s="693">
        <f>Fixed!W97</f>
        <v>43060.801348991758</v>
      </c>
      <c r="AC5" s="693">
        <f>Fixed!X97</f>
        <v>45094.405156194065</v>
      </c>
      <c r="AD5" s="693">
        <f>Fixed!Y97</f>
        <v>47173.29426766243</v>
      </c>
      <c r="AE5" s="340"/>
      <c r="AF5" s="340"/>
      <c r="AG5" s="340"/>
      <c r="AH5" s="340"/>
      <c r="AI5" s="340"/>
      <c r="AJ5" s="340"/>
      <c r="AK5" s="340"/>
      <c r="AL5" s="340"/>
      <c r="AM5" s="340"/>
    </row>
    <row r="6" spans="1:39" ht="15.75">
      <c r="A6" s="340"/>
      <c r="B6" s="694"/>
      <c r="C6" s="695"/>
      <c r="D6" s="695"/>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384"/>
      <c r="AF6" s="340"/>
      <c r="AG6" s="340"/>
      <c r="AH6" s="340"/>
      <c r="AI6" s="340"/>
      <c r="AJ6" s="340"/>
      <c r="AK6" s="340"/>
      <c r="AL6" s="340"/>
      <c r="AM6" s="340"/>
    </row>
    <row r="7" spans="1:39" ht="15.75">
      <c r="A7" s="340"/>
      <c r="B7" s="691" t="s">
        <v>1</v>
      </c>
      <c r="C7" s="697"/>
      <c r="D7" s="697"/>
      <c r="E7" s="698">
        <v>2885</v>
      </c>
      <c r="F7" s="698">
        <v>3277</v>
      </c>
      <c r="G7" s="698">
        <v>4166</v>
      </c>
      <c r="H7" s="698">
        <v>5854</v>
      </c>
      <c r="I7" s="698">
        <v>6895</v>
      </c>
      <c r="J7" s="698">
        <v>7509</v>
      </c>
      <c r="K7" s="698">
        <v>8249</v>
      </c>
      <c r="L7" s="698">
        <v>8977</v>
      </c>
      <c r="M7" s="698">
        <v>10068</v>
      </c>
      <c r="N7" s="698">
        <v>11475</v>
      </c>
      <c r="O7" s="698">
        <v>14557</v>
      </c>
      <c r="P7" s="698">
        <v>16957</v>
      </c>
      <c r="Q7" s="698">
        <v>17287</v>
      </c>
      <c r="R7" s="698">
        <v>19436</v>
      </c>
      <c r="S7" s="698">
        <v>21604</v>
      </c>
      <c r="T7" s="698">
        <v>22383</v>
      </c>
      <c r="U7" s="698">
        <v>24634</v>
      </c>
      <c r="V7" s="698">
        <v>27155.555</v>
      </c>
      <c r="W7" s="698">
        <v>29870.54</v>
      </c>
      <c r="X7" s="697">
        <f>X5+X6</f>
        <v>33085.7435653906</v>
      </c>
      <c r="Y7" s="697">
        <f>Y5+Y6</f>
        <v>36026.705486593608</v>
      </c>
      <c r="Z7" s="697">
        <f t="shared" ref="Z7:AD7" si="12">Z5+Z6</f>
        <v>38748.862943517532</v>
      </c>
      <c r="AA7" s="697">
        <f t="shared" si="12"/>
        <v>40988.179882362921</v>
      </c>
      <c r="AB7" s="697">
        <f t="shared" si="12"/>
        <v>43060.801348991758</v>
      </c>
      <c r="AC7" s="697">
        <f t="shared" si="12"/>
        <v>45094.405156194065</v>
      </c>
      <c r="AD7" s="697">
        <f t="shared" si="12"/>
        <v>47173.29426766243</v>
      </c>
      <c r="AE7" s="699">
        <f>(Y7/R7)^(1/6)-1</f>
        <v>0.10833132971498594</v>
      </c>
      <c r="AF7" s="340"/>
      <c r="AG7" s="340"/>
      <c r="AH7" s="340"/>
      <c r="AI7" s="340"/>
      <c r="AJ7" s="340"/>
      <c r="AK7" s="340"/>
      <c r="AL7" s="340"/>
      <c r="AM7" s="340"/>
    </row>
    <row r="8" spans="1:39" ht="15.75">
      <c r="A8" s="340"/>
      <c r="B8" s="692" t="s">
        <v>2</v>
      </c>
      <c r="C8" s="700"/>
      <c r="D8" s="700"/>
      <c r="E8" s="701"/>
      <c r="F8" s="701">
        <f t="shared" ref="F8:T8" si="13">F7/E7-1</f>
        <v>0.13587521663778168</v>
      </c>
      <c r="G8" s="701">
        <f t="shared" si="13"/>
        <v>0.2712847116264876</v>
      </c>
      <c r="H8" s="701">
        <f t="shared" si="13"/>
        <v>0.40518482957273161</v>
      </c>
      <c r="I8" s="701">
        <f t="shared" si="13"/>
        <v>0.17782712675093948</v>
      </c>
      <c r="J8" s="701">
        <f t="shared" si="13"/>
        <v>8.9050036258158105E-2</v>
      </c>
      <c r="K8" s="701">
        <f t="shared" si="13"/>
        <v>9.8548408576375035E-2</v>
      </c>
      <c r="L8" s="701">
        <f t="shared" si="13"/>
        <v>8.8253121590495809E-2</v>
      </c>
      <c r="M8" s="701">
        <f t="shared" si="13"/>
        <v>0.121532806059931</v>
      </c>
      <c r="N8" s="701">
        <f t="shared" si="13"/>
        <v>0.13974970202622172</v>
      </c>
      <c r="O8" s="701">
        <f t="shared" si="13"/>
        <v>0.26858387799564265</v>
      </c>
      <c r="P8" s="701">
        <f t="shared" si="13"/>
        <v>0.16486913512399526</v>
      </c>
      <c r="Q8" s="701">
        <f>Q7/P7-1</f>
        <v>1.9460989561832953E-2</v>
      </c>
      <c r="R8" s="701">
        <f>R7/Q7-1</f>
        <v>0.12431306762306926</v>
      </c>
      <c r="S8" s="701">
        <f t="shared" si="13"/>
        <v>0.11154558551142202</v>
      </c>
      <c r="T8" s="701">
        <f t="shared" si="13"/>
        <v>3.6058137381966393E-2</v>
      </c>
      <c r="U8" s="701">
        <f t="shared" ref="U8" si="14">U7/T7-1</f>
        <v>0.10056739489791355</v>
      </c>
      <c r="V8" s="701">
        <f>V7/U7-1</f>
        <v>0.10236076154907847</v>
      </c>
      <c r="W8" s="701">
        <f>W7/V7-1</f>
        <v>9.9978991407098761E-2</v>
      </c>
      <c r="X8" s="701">
        <f>X7/W7-1</f>
        <v>0.10763794579510777</v>
      </c>
      <c r="Y8" s="701">
        <f>Y7/X7-1</f>
        <v>8.8889098574753023E-2</v>
      </c>
      <c r="Z8" s="701">
        <f t="shared" ref="Z8:AD8" si="15">Z7/Y7-1</f>
        <v>7.5559433485720806E-2</v>
      </c>
      <c r="AA8" s="701">
        <f t="shared" si="15"/>
        <v>5.7790519998213608E-2</v>
      </c>
      <c r="AB8" s="701">
        <f t="shared" si="15"/>
        <v>5.0566321133978409E-2</v>
      </c>
      <c r="AC8" s="701">
        <f t="shared" si="15"/>
        <v>4.7226334473450926E-2</v>
      </c>
      <c r="AD8" s="701">
        <f t="shared" si="15"/>
        <v>4.6100821249724699E-2</v>
      </c>
      <c r="AE8" s="340"/>
      <c r="AF8" s="340"/>
      <c r="AG8" s="340"/>
      <c r="AH8" s="340"/>
      <c r="AI8" s="340"/>
      <c r="AJ8" s="340"/>
      <c r="AK8" s="340"/>
      <c r="AL8" s="340"/>
      <c r="AM8" s="340"/>
    </row>
    <row r="9" spans="1:39" ht="15.75">
      <c r="A9" s="340"/>
      <c r="B9" s="692"/>
      <c r="C9" s="692"/>
      <c r="D9" s="692"/>
      <c r="E9" s="692"/>
      <c r="F9" s="692"/>
      <c r="G9" s="692"/>
      <c r="H9" s="702"/>
      <c r="I9" s="703"/>
      <c r="J9" s="703"/>
      <c r="K9" s="704"/>
      <c r="L9" s="692"/>
      <c r="M9" s="692"/>
      <c r="N9" s="705"/>
      <c r="O9" s="706"/>
      <c r="P9" s="707"/>
      <c r="Q9" s="692"/>
      <c r="R9" s="692"/>
      <c r="S9" s="692"/>
      <c r="T9" s="692"/>
      <c r="U9" s="692"/>
      <c r="V9" s="692"/>
      <c r="W9" s="692"/>
      <c r="X9" s="692"/>
      <c r="Y9" s="692"/>
      <c r="Z9" s="692"/>
      <c r="AA9" s="692"/>
      <c r="AB9" s="692"/>
      <c r="AC9" s="692"/>
      <c r="AD9" s="692"/>
      <c r="AE9" s="340"/>
      <c r="AF9" s="340"/>
      <c r="AG9" s="340"/>
      <c r="AH9" s="340"/>
      <c r="AI9" s="340"/>
      <c r="AJ9" s="340"/>
      <c r="AK9" s="340"/>
      <c r="AL9" s="340"/>
      <c r="AM9" s="340"/>
    </row>
    <row r="10" spans="1:39" ht="15.75">
      <c r="A10" s="340"/>
      <c r="B10" s="692" t="s">
        <v>278</v>
      </c>
      <c r="C10" s="692"/>
      <c r="D10" s="692"/>
      <c r="E10" s="693">
        <f>E12</f>
        <v>1554</v>
      </c>
      <c r="F10" s="693">
        <f t="shared" ref="F10:Q10" si="16">F12</f>
        <v>1545</v>
      </c>
      <c r="G10" s="693">
        <f t="shared" si="16"/>
        <v>2165</v>
      </c>
      <c r="H10" s="693">
        <f t="shared" si="16"/>
        <v>2890</v>
      </c>
      <c r="I10" s="693">
        <f t="shared" si="16"/>
        <v>2968</v>
      </c>
      <c r="J10" s="693">
        <f t="shared" si="16"/>
        <v>3075</v>
      </c>
      <c r="K10" s="693">
        <f t="shared" si="16"/>
        <v>3561</v>
      </c>
      <c r="L10" s="693">
        <f t="shared" si="16"/>
        <v>3777</v>
      </c>
      <c r="M10" s="693">
        <f t="shared" si="16"/>
        <v>4356</v>
      </c>
      <c r="N10" s="693">
        <f t="shared" si="16"/>
        <v>4847</v>
      </c>
      <c r="O10" s="693">
        <f t="shared" si="16"/>
        <v>5843</v>
      </c>
      <c r="P10" s="693">
        <f t="shared" si="16"/>
        <v>6915</v>
      </c>
      <c r="Q10" s="693">
        <f t="shared" si="16"/>
        <v>7715</v>
      </c>
      <c r="R10" s="693">
        <f>Fixed!M100</f>
        <v>9347</v>
      </c>
      <c r="S10" s="693">
        <f>Fixed!N100</f>
        <v>10161</v>
      </c>
      <c r="T10" s="693">
        <f>Fixed!O100</f>
        <v>11037</v>
      </c>
      <c r="U10" s="693">
        <f>Fixed!P100</f>
        <v>12116</v>
      </c>
      <c r="V10" s="693">
        <f>Fixed!Q100</f>
        <v>12769.018</v>
      </c>
      <c r="W10" s="693">
        <f>Fixed!R100</f>
        <v>13319.993</v>
      </c>
      <c r="X10" s="693">
        <f>Fixed!S100</f>
        <v>15052.832575733581</v>
      </c>
      <c r="Y10" s="693">
        <f>Fixed!T100</f>
        <v>16703.957652064935</v>
      </c>
      <c r="Z10" s="693">
        <f>Fixed!U100</f>
        <v>18327.740334193342</v>
      </c>
      <c r="AA10" s="693">
        <f>Fixed!V100</f>
        <v>19380.874705245034</v>
      </c>
      <c r="AB10" s="693">
        <f>Fixed!W100</f>
        <v>20348.811684158078</v>
      </c>
      <c r="AC10" s="693">
        <f>Fixed!X100</f>
        <v>21293.802702552686</v>
      </c>
      <c r="AD10" s="693">
        <f>Fixed!Y100</f>
        <v>22256.816417354494</v>
      </c>
      <c r="AE10" s="340"/>
      <c r="AF10" s="340"/>
      <c r="AG10" s="340"/>
      <c r="AH10" s="340"/>
      <c r="AI10" s="340"/>
      <c r="AJ10" s="340"/>
      <c r="AK10" s="340"/>
      <c r="AL10" s="340"/>
      <c r="AM10" s="340"/>
    </row>
    <row r="11" spans="1:39" ht="15.75">
      <c r="A11" s="340"/>
      <c r="B11" s="694"/>
      <c r="C11" s="694"/>
      <c r="D11" s="694"/>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340"/>
      <c r="AF11" s="340"/>
      <c r="AG11" s="340"/>
      <c r="AH11" s="340"/>
      <c r="AI11" s="340"/>
      <c r="AJ11" s="340"/>
      <c r="AK11" s="340"/>
      <c r="AL11" s="340"/>
      <c r="AM11" s="340"/>
    </row>
    <row r="12" spans="1:39" ht="15.75">
      <c r="A12" s="340"/>
      <c r="B12" s="691" t="s">
        <v>3</v>
      </c>
      <c r="C12" s="692"/>
      <c r="D12" s="692"/>
      <c r="E12" s="698">
        <v>1554</v>
      </c>
      <c r="F12" s="698">
        <v>1545</v>
      </c>
      <c r="G12" s="698">
        <v>2165</v>
      </c>
      <c r="H12" s="698">
        <v>2890</v>
      </c>
      <c r="I12" s="698">
        <v>2968</v>
      </c>
      <c r="J12" s="698">
        <v>3075</v>
      </c>
      <c r="K12" s="698">
        <v>3561</v>
      </c>
      <c r="L12" s="698">
        <v>3777</v>
      </c>
      <c r="M12" s="698">
        <v>4356</v>
      </c>
      <c r="N12" s="698">
        <v>4847</v>
      </c>
      <c r="O12" s="698">
        <v>5843</v>
      </c>
      <c r="P12" s="698">
        <v>6915</v>
      </c>
      <c r="Q12" s="698">
        <v>7715</v>
      </c>
      <c r="R12" s="698">
        <v>9347</v>
      </c>
      <c r="S12" s="698">
        <v>10161</v>
      </c>
      <c r="T12" s="698">
        <v>11037</v>
      </c>
      <c r="U12" s="698">
        <v>12116</v>
      </c>
      <c r="V12" s="698">
        <v>12769.018</v>
      </c>
      <c r="W12" s="698">
        <v>13319.993</v>
      </c>
      <c r="X12" s="697">
        <f>X10+X11</f>
        <v>15052.832575733581</v>
      </c>
      <c r="Y12" s="697">
        <f>Y10+Y11</f>
        <v>16703.957652064935</v>
      </c>
      <c r="Z12" s="697">
        <f t="shared" ref="Z12:AD12" si="17">Z10+Z11</f>
        <v>18327.740334193342</v>
      </c>
      <c r="AA12" s="697">
        <f t="shared" si="17"/>
        <v>19380.874705245034</v>
      </c>
      <c r="AB12" s="697">
        <f t="shared" si="17"/>
        <v>20348.811684158078</v>
      </c>
      <c r="AC12" s="697">
        <f t="shared" si="17"/>
        <v>21293.802702552686</v>
      </c>
      <c r="AD12" s="697">
        <f t="shared" si="17"/>
        <v>22256.816417354494</v>
      </c>
      <c r="AE12" s="699">
        <f>(Y12/R12)^(1/6)-1</f>
        <v>0.1016015109749584</v>
      </c>
      <c r="AF12" s="340"/>
      <c r="AG12" s="340"/>
      <c r="AH12" s="340"/>
      <c r="AI12" s="340"/>
      <c r="AJ12" s="340"/>
      <c r="AK12" s="340"/>
      <c r="AL12" s="340"/>
      <c r="AM12" s="340"/>
    </row>
    <row r="13" spans="1:39" ht="15.75">
      <c r="A13" s="340"/>
      <c r="B13" s="691" t="s">
        <v>200</v>
      </c>
      <c r="C13" s="692"/>
      <c r="D13" s="692"/>
      <c r="E13" s="708">
        <f t="shared" ref="E13:U13" si="18">E12/E7</f>
        <v>0.53864818024263428</v>
      </c>
      <c r="F13" s="708">
        <f t="shared" si="18"/>
        <v>0.47146780592004883</v>
      </c>
      <c r="G13" s="708">
        <f t="shared" si="18"/>
        <v>0.51968314930388859</v>
      </c>
      <c r="H13" s="708">
        <f t="shared" si="18"/>
        <v>0.49367953536043729</v>
      </c>
      <c r="I13" s="708">
        <f t="shared" si="18"/>
        <v>0.43045685279187818</v>
      </c>
      <c r="J13" s="708">
        <f t="shared" si="18"/>
        <v>0.40950858969236914</v>
      </c>
      <c r="K13" s="708">
        <f t="shared" si="18"/>
        <v>0.43168868953812584</v>
      </c>
      <c r="L13" s="708">
        <f t="shared" si="18"/>
        <v>0.42074189595633282</v>
      </c>
      <c r="M13" s="708">
        <f t="shared" si="18"/>
        <v>0.43265792610250298</v>
      </c>
      <c r="N13" s="708">
        <f t="shared" si="18"/>
        <v>0.42239651416122004</v>
      </c>
      <c r="O13" s="708">
        <f t="shared" si="18"/>
        <v>0.40138764855396031</v>
      </c>
      <c r="P13" s="708">
        <f t="shared" si="18"/>
        <v>0.40779619036386155</v>
      </c>
      <c r="Q13" s="708">
        <f t="shared" si="18"/>
        <v>0.44628911899114942</v>
      </c>
      <c r="R13" s="708">
        <f t="shared" ref="R13" si="19">R12/R7</f>
        <v>0.48091171022844209</v>
      </c>
      <c r="S13" s="708">
        <f t="shared" si="18"/>
        <v>0.47032956859840769</v>
      </c>
      <c r="T13" s="708">
        <f t="shared" ref="T13" si="20">T12/T7</f>
        <v>0.49309744002144484</v>
      </c>
      <c r="U13" s="708">
        <f t="shared" si="18"/>
        <v>0.49184054558739954</v>
      </c>
      <c r="V13" s="708">
        <f>V12/V7</f>
        <v>0.47021753007810002</v>
      </c>
      <c r="W13" s="708">
        <f>W12/W7</f>
        <v>0.44592407770331571</v>
      </c>
      <c r="X13" s="708">
        <f>X12/X7</f>
        <v>0.45496431252884467</v>
      </c>
      <c r="Y13" s="708">
        <f>Y12/Y7</f>
        <v>0.46365487563887503</v>
      </c>
      <c r="Z13" s="708">
        <f t="shared" ref="Z13:AD13" si="21">Z12/Z7</f>
        <v>0.47298782317584032</v>
      </c>
      <c r="AA13" s="708">
        <f t="shared" si="21"/>
        <v>0.47284057893930931</v>
      </c>
      <c r="AB13" s="708">
        <f t="shared" si="21"/>
        <v>0.4725599860355254</v>
      </c>
      <c r="AC13" s="708">
        <f t="shared" si="21"/>
        <v>0.47220498039162667</v>
      </c>
      <c r="AD13" s="708">
        <f t="shared" si="21"/>
        <v>0.47180967034162957</v>
      </c>
      <c r="AE13" s="709"/>
      <c r="AF13" s="340"/>
      <c r="AG13" s="340"/>
      <c r="AH13" s="340"/>
      <c r="AI13" s="340"/>
      <c r="AJ13" s="340"/>
      <c r="AK13" s="340"/>
      <c r="AL13" s="340"/>
      <c r="AM13" s="340"/>
    </row>
    <row r="14" spans="1:39" ht="15.75">
      <c r="A14" s="340"/>
      <c r="B14" s="692" t="s">
        <v>2</v>
      </c>
      <c r="C14" s="700"/>
      <c r="D14" s="700"/>
      <c r="E14" s="701" t="e">
        <f t="shared" ref="E14:J14" si="22">E12/D12-1</f>
        <v>#DIV/0!</v>
      </c>
      <c r="F14" s="701">
        <f t="shared" si="22"/>
        <v>-5.7915057915057799E-3</v>
      </c>
      <c r="G14" s="701">
        <f t="shared" si="22"/>
        <v>0.40129449838187692</v>
      </c>
      <c r="H14" s="701">
        <f t="shared" si="22"/>
        <v>0.33487297921478065</v>
      </c>
      <c r="I14" s="701">
        <f t="shared" si="22"/>
        <v>2.6989619377162599E-2</v>
      </c>
      <c r="J14" s="701">
        <f t="shared" si="22"/>
        <v>3.6051212938005284E-2</v>
      </c>
      <c r="K14" s="701">
        <f>K12/(J12-250)-1</f>
        <v>0.26053097345132747</v>
      </c>
      <c r="L14" s="708">
        <f t="shared" ref="L14:T14" si="23">L12/K12-1</f>
        <v>6.0657118786857644E-2</v>
      </c>
      <c r="M14" s="701">
        <f t="shared" si="23"/>
        <v>0.15329626687847497</v>
      </c>
      <c r="N14" s="701">
        <f t="shared" si="23"/>
        <v>0.11271808999081734</v>
      </c>
      <c r="O14" s="701">
        <f t="shared" si="23"/>
        <v>0.20548793067877047</v>
      </c>
      <c r="P14" s="701">
        <f>P12/O12-1</f>
        <v>0.18346739688516167</v>
      </c>
      <c r="Q14" s="701">
        <f t="shared" si="23"/>
        <v>0.11569052783803335</v>
      </c>
      <c r="R14" s="701">
        <f t="shared" si="23"/>
        <v>0.21153596889176929</v>
      </c>
      <c r="S14" s="701">
        <f t="shared" si="23"/>
        <v>8.7086765807210975E-2</v>
      </c>
      <c r="T14" s="701">
        <f t="shared" si="23"/>
        <v>8.6211987009152669E-2</v>
      </c>
      <c r="U14" s="701">
        <f t="shared" ref="U14" si="24">U12/T12-1</f>
        <v>9.7762073027090723E-2</v>
      </c>
      <c r="V14" s="701">
        <f>V12/U12-1</f>
        <v>5.3897160779134978E-2</v>
      </c>
      <c r="W14" s="701">
        <f>W12/V12-1</f>
        <v>4.314936356108201E-2</v>
      </c>
      <c r="X14" s="701">
        <f>X12/W12-1</f>
        <v>0.13009312960852015</v>
      </c>
      <c r="Y14" s="701">
        <f>Y12/X12-1</f>
        <v>0.10968866278318323</v>
      </c>
      <c r="Z14" s="701">
        <f t="shared" ref="Z14:AD14" si="25">Z12/Y12-1</f>
        <v>9.7209458737323562E-2</v>
      </c>
      <c r="AA14" s="701">
        <f t="shared" si="25"/>
        <v>5.7461222815717194E-2</v>
      </c>
      <c r="AB14" s="701">
        <f t="shared" si="25"/>
        <v>4.9942894406674654E-2</v>
      </c>
      <c r="AC14" s="701">
        <f t="shared" si="25"/>
        <v>4.6439616871106981E-2</v>
      </c>
      <c r="AD14" s="701">
        <f t="shared" si="25"/>
        <v>4.5225069859709199E-2</v>
      </c>
      <c r="AE14" s="340"/>
      <c r="AF14" s="340"/>
      <c r="AG14" s="340"/>
      <c r="AH14" s="340"/>
      <c r="AI14" s="340"/>
      <c r="AJ14" s="340"/>
      <c r="AK14" s="340"/>
      <c r="AL14" s="340"/>
      <c r="AM14" s="340"/>
    </row>
    <row r="15" spans="1:39" ht="15.75">
      <c r="A15" s="340"/>
      <c r="B15" s="692"/>
      <c r="C15" s="692"/>
      <c r="D15" s="692"/>
      <c r="E15" s="692"/>
      <c r="F15" s="692"/>
      <c r="G15" s="692"/>
      <c r="H15" s="710"/>
      <c r="I15" s="710"/>
      <c r="J15" s="710"/>
      <c r="K15" s="708"/>
      <c r="L15" s="708"/>
      <c r="M15" s="708"/>
      <c r="N15" s="705"/>
      <c r="O15" s="706"/>
      <c r="P15" s="708"/>
      <c r="Q15" s="708"/>
      <c r="R15" s="708"/>
      <c r="S15" s="708"/>
      <c r="T15" s="708"/>
      <c r="U15" s="708"/>
      <c r="V15" s="708"/>
      <c r="W15" s="708"/>
      <c r="X15" s="708"/>
      <c r="Y15" s="708"/>
      <c r="Z15" s="708"/>
      <c r="AA15" s="708"/>
      <c r="AB15" s="708"/>
      <c r="AC15" s="708"/>
      <c r="AD15" s="708"/>
      <c r="AE15" s="340"/>
      <c r="AF15" s="340"/>
      <c r="AG15" s="340"/>
      <c r="AH15" s="340"/>
      <c r="AI15" s="340"/>
      <c r="AJ15" s="340"/>
      <c r="AK15" s="340"/>
      <c r="AL15" s="340"/>
      <c r="AM15" s="340"/>
    </row>
    <row r="16" spans="1:39" ht="15.75">
      <c r="A16" s="340"/>
      <c r="B16" s="692" t="s">
        <v>282</v>
      </c>
      <c r="C16" s="692"/>
      <c r="D16" s="692"/>
      <c r="E16" s="692"/>
      <c r="F16" s="692"/>
      <c r="G16" s="692"/>
      <c r="H16" s="710"/>
      <c r="I16" s="710"/>
      <c r="J16" s="710"/>
      <c r="K16" s="708"/>
      <c r="L16" s="708"/>
      <c r="M16" s="708"/>
      <c r="N16" s="708"/>
      <c r="O16" s="708"/>
      <c r="P16" s="708"/>
      <c r="Q16" s="708"/>
      <c r="R16" s="708"/>
      <c r="S16" s="708"/>
      <c r="T16" s="708"/>
      <c r="U16" s="708"/>
      <c r="V16" s="708"/>
      <c r="W16" s="708"/>
      <c r="X16" s="711">
        <v>0</v>
      </c>
      <c r="Y16" s="711">
        <v>0</v>
      </c>
      <c r="Z16" s="711">
        <v>0</v>
      </c>
      <c r="AA16" s="711">
        <v>0</v>
      </c>
      <c r="AB16" s="711">
        <v>0</v>
      </c>
      <c r="AC16" s="711">
        <v>0</v>
      </c>
      <c r="AD16" s="711">
        <v>0</v>
      </c>
      <c r="AE16" s="340"/>
      <c r="AF16" s="340"/>
      <c r="AG16" s="340"/>
      <c r="AH16" s="340"/>
      <c r="AI16" s="340"/>
      <c r="AJ16" s="340"/>
      <c r="AK16" s="340"/>
      <c r="AL16" s="340"/>
      <c r="AM16" s="340"/>
    </row>
    <row r="17" spans="1:39" ht="15.75">
      <c r="A17" s="340"/>
      <c r="B17" s="691" t="s">
        <v>4</v>
      </c>
      <c r="C17" s="697"/>
      <c r="D17" s="697"/>
      <c r="E17" s="697">
        <f t="shared" ref="E17:N17" si="26">E12</f>
        <v>1554</v>
      </c>
      <c r="F17" s="697">
        <f t="shared" si="26"/>
        <v>1545</v>
      </c>
      <c r="G17" s="697">
        <f t="shared" si="26"/>
        <v>2165</v>
      </c>
      <c r="H17" s="697">
        <f t="shared" si="26"/>
        <v>2890</v>
      </c>
      <c r="I17" s="697">
        <f t="shared" si="26"/>
        <v>2968</v>
      </c>
      <c r="J17" s="697">
        <f t="shared" si="26"/>
        <v>3075</v>
      </c>
      <c r="K17" s="697">
        <f t="shared" si="26"/>
        <v>3561</v>
      </c>
      <c r="L17" s="697">
        <f t="shared" si="26"/>
        <v>3777</v>
      </c>
      <c r="M17" s="697">
        <f t="shared" si="26"/>
        <v>4356</v>
      </c>
      <c r="N17" s="697">
        <f t="shared" si="26"/>
        <v>4847</v>
      </c>
      <c r="O17" s="697">
        <f t="shared" ref="O17:U17" si="27">O12-O16</f>
        <v>5843</v>
      </c>
      <c r="P17" s="697">
        <f t="shared" si="27"/>
        <v>6915</v>
      </c>
      <c r="Q17" s="697">
        <f t="shared" ref="Q17:R17" si="28">Q12-Q16</f>
        <v>7715</v>
      </c>
      <c r="R17" s="697">
        <f t="shared" si="28"/>
        <v>9347</v>
      </c>
      <c r="S17" s="697">
        <f t="shared" ref="S17:T17" si="29">S12-S16</f>
        <v>10161</v>
      </c>
      <c r="T17" s="697">
        <f t="shared" si="29"/>
        <v>11037</v>
      </c>
      <c r="U17" s="697">
        <f t="shared" si="27"/>
        <v>12116</v>
      </c>
      <c r="V17" s="697">
        <f>V12-V16</f>
        <v>12769.018</v>
      </c>
      <c r="W17" s="697">
        <f>W12-W16</f>
        <v>13319.993</v>
      </c>
      <c r="X17" s="697">
        <f>X12-X16</f>
        <v>15052.832575733581</v>
      </c>
      <c r="Y17" s="697">
        <f>Y12-Y16</f>
        <v>16703.957652064935</v>
      </c>
      <c r="Z17" s="697">
        <f t="shared" ref="Z17:AD17" si="30">Z12-Z16</f>
        <v>18327.740334193342</v>
      </c>
      <c r="AA17" s="697">
        <f t="shared" si="30"/>
        <v>19380.874705245034</v>
      </c>
      <c r="AB17" s="697">
        <f t="shared" si="30"/>
        <v>20348.811684158078</v>
      </c>
      <c r="AC17" s="697">
        <f t="shared" si="30"/>
        <v>21293.802702552686</v>
      </c>
      <c r="AD17" s="697">
        <f t="shared" si="30"/>
        <v>22256.816417354494</v>
      </c>
      <c r="AE17" s="340"/>
      <c r="AF17" s="340"/>
      <c r="AG17" s="340"/>
      <c r="AH17" s="340"/>
      <c r="AI17" s="340"/>
      <c r="AJ17" s="340"/>
      <c r="AK17" s="340"/>
      <c r="AL17" s="340"/>
      <c r="AM17" s="340"/>
    </row>
    <row r="18" spans="1:39" ht="15.75">
      <c r="A18" s="340"/>
      <c r="B18" s="692"/>
      <c r="C18" s="692"/>
      <c r="D18" s="692"/>
      <c r="E18" s="693" t="s">
        <v>5</v>
      </c>
      <c r="F18" s="693"/>
      <c r="G18" s="693"/>
      <c r="H18" s="703"/>
      <c r="I18" s="703"/>
      <c r="J18" s="703"/>
      <c r="K18" s="703"/>
      <c r="L18" s="692"/>
      <c r="M18" s="692"/>
      <c r="N18" s="692"/>
      <c r="O18" s="692"/>
      <c r="P18" s="692"/>
      <c r="Q18" s="692"/>
      <c r="R18" s="692"/>
      <c r="S18" s="692"/>
      <c r="T18" s="701"/>
      <c r="U18" s="701"/>
      <c r="V18" s="701"/>
      <c r="W18" s="701"/>
      <c r="X18" s="701"/>
      <c r="Y18" s="701"/>
      <c r="Z18" s="701"/>
      <c r="AA18" s="701"/>
      <c r="AB18" s="701"/>
      <c r="AC18" s="701"/>
      <c r="AD18" s="701"/>
      <c r="AE18" s="340"/>
      <c r="AF18" s="340"/>
      <c r="AG18" s="340"/>
      <c r="AH18" s="340"/>
      <c r="AI18" s="340"/>
      <c r="AJ18" s="340"/>
      <c r="AK18" s="340"/>
      <c r="AL18" s="340"/>
      <c r="AM18" s="340"/>
    </row>
    <row r="19" spans="1:39" ht="15.75">
      <c r="A19" s="340"/>
      <c r="B19" s="692" t="s">
        <v>6</v>
      </c>
      <c r="C19" s="693"/>
      <c r="D19" s="693"/>
      <c r="E19" s="693">
        <f t="shared" ref="E19:R19" si="31">E108</f>
        <v>0</v>
      </c>
      <c r="F19" s="693">
        <f t="shared" si="31"/>
        <v>0</v>
      </c>
      <c r="G19" s="693">
        <f t="shared" si="31"/>
        <v>0</v>
      </c>
      <c r="H19" s="693">
        <f t="shared" si="31"/>
        <v>0</v>
      </c>
      <c r="I19" s="693">
        <f t="shared" si="31"/>
        <v>0</v>
      </c>
      <c r="J19" s="693">
        <f t="shared" si="31"/>
        <v>0</v>
      </c>
      <c r="K19" s="693">
        <f t="shared" si="31"/>
        <v>0</v>
      </c>
      <c r="L19" s="693">
        <f t="shared" si="31"/>
        <v>1057</v>
      </c>
      <c r="M19" s="693">
        <f>M108</f>
        <v>1250</v>
      </c>
      <c r="N19" s="693">
        <f t="shared" si="31"/>
        <v>1558.6596881959911</v>
      </c>
      <c r="O19" s="693">
        <f t="shared" si="31"/>
        <v>1851.2081983720318</v>
      </c>
      <c r="P19" s="693">
        <f t="shared" si="31"/>
        <v>1877.4840745931269</v>
      </c>
      <c r="Q19" s="693">
        <f t="shared" si="31"/>
        <v>2364.6981962095792</v>
      </c>
      <c r="R19" s="693">
        <f t="shared" si="31"/>
        <v>3181.64957479646</v>
      </c>
      <c r="S19" s="693">
        <f t="shared" ref="S19:T19" si="32">S108</f>
        <v>4070.5279947361491</v>
      </c>
      <c r="T19" s="693">
        <f t="shared" si="32"/>
        <v>4661.4850579178892</v>
      </c>
      <c r="U19" s="693">
        <f t="shared" ref="U19:V19" ca="1" si="33">U108</f>
        <v>4991.6720000000005</v>
      </c>
      <c r="V19" s="693">
        <f t="shared" si="33"/>
        <v>6184.5499999999993</v>
      </c>
      <c r="W19" s="693">
        <f>W108</f>
        <v>7143.1377199999997</v>
      </c>
      <c r="X19" s="693">
        <f>X108</f>
        <v>8279.8086283226457</v>
      </c>
      <c r="Y19" s="693">
        <f ca="1">Y108</f>
        <v>8293.0353476439795</v>
      </c>
      <c r="Z19" s="693">
        <f t="shared" ref="Z19:AD19" ca="1" si="34">Z108</f>
        <v>8588.6902043931095</v>
      </c>
      <c r="AA19" s="693">
        <f t="shared" ca="1" si="34"/>
        <v>8776.8049745311455</v>
      </c>
      <c r="AB19" s="693">
        <f t="shared" ca="1" si="34"/>
        <v>8895.8140103336191</v>
      </c>
      <c r="AC19" s="693">
        <f t="shared" ca="1" si="34"/>
        <v>9070.6402938320389</v>
      </c>
      <c r="AD19" s="693">
        <f t="shared" ca="1" si="34"/>
        <v>9291.2463722086432</v>
      </c>
      <c r="AE19" s="340"/>
      <c r="AF19" s="340"/>
      <c r="AG19" s="340"/>
      <c r="AH19" s="340"/>
      <c r="AI19" s="340"/>
      <c r="AJ19" s="340"/>
      <c r="AK19" s="340"/>
      <c r="AL19" s="340"/>
      <c r="AM19" s="340"/>
    </row>
    <row r="20" spans="1:39" ht="15.75">
      <c r="A20" s="340"/>
      <c r="B20" s="692" t="s">
        <v>7</v>
      </c>
      <c r="C20" s="693"/>
      <c r="D20" s="693"/>
      <c r="E20" s="693">
        <f t="shared" ref="E20:R20" si="35">E132</f>
        <v>0</v>
      </c>
      <c r="F20" s="693">
        <f t="shared" si="35"/>
        <v>0</v>
      </c>
      <c r="G20" s="693">
        <f t="shared" si="35"/>
        <v>0</v>
      </c>
      <c r="H20" s="693">
        <f t="shared" si="35"/>
        <v>0</v>
      </c>
      <c r="I20" s="693">
        <f t="shared" si="35"/>
        <v>0</v>
      </c>
      <c r="J20" s="693">
        <f t="shared" si="35"/>
        <v>0</v>
      </c>
      <c r="K20" s="693">
        <f t="shared" si="35"/>
        <v>0</v>
      </c>
      <c r="L20" s="693">
        <f t="shared" si="35"/>
        <v>309</v>
      </c>
      <c r="M20" s="693">
        <f t="shared" si="35"/>
        <v>260</v>
      </c>
      <c r="N20" s="693">
        <f t="shared" si="35"/>
        <v>173.14031180400892</v>
      </c>
      <c r="O20" s="693">
        <f t="shared" si="35"/>
        <v>100.79180162796816</v>
      </c>
      <c r="P20" s="693">
        <f t="shared" si="35"/>
        <v>222.51592540687301</v>
      </c>
      <c r="Q20" s="693">
        <f t="shared" si="35"/>
        <v>120.30180379042088</v>
      </c>
      <c r="R20" s="693">
        <f t="shared" si="35"/>
        <v>105.65042520354027</v>
      </c>
      <c r="S20" s="693">
        <f t="shared" ref="S20:T20" si="36">S132</f>
        <v>44.472005263851067</v>
      </c>
      <c r="T20" s="693">
        <f t="shared" si="36"/>
        <v>46.514942082111013</v>
      </c>
      <c r="U20" s="693">
        <f t="shared" ref="U20:Y20" ca="1" si="37">U132</f>
        <v>306.32799999999997</v>
      </c>
      <c r="V20" s="693">
        <f t="shared" si="37"/>
        <v>55.667000000000144</v>
      </c>
      <c r="W20" s="693">
        <f t="shared" si="37"/>
        <v>56.077280000000009</v>
      </c>
      <c r="X20" s="693">
        <f t="shared" si="37"/>
        <v>55.508006399999942</v>
      </c>
      <c r="Y20" s="693">
        <f t="shared" si="37"/>
        <v>55.74431923200013</v>
      </c>
      <c r="Z20" s="693">
        <f t="shared" ref="Z20:AD20" si="38">Z132</f>
        <v>55.715961692159986</v>
      </c>
      <c r="AA20" s="693">
        <f t="shared" si="38"/>
        <v>55.719364596940949</v>
      </c>
      <c r="AB20" s="693">
        <f t="shared" si="38"/>
        <v>55.718956248367107</v>
      </c>
      <c r="AC20" s="693">
        <f t="shared" si="38"/>
        <v>55.719005250195849</v>
      </c>
      <c r="AD20" s="693">
        <f t="shared" si="38"/>
        <v>55.71899936997638</v>
      </c>
      <c r="AE20" s="340"/>
      <c r="AF20" s="340"/>
      <c r="AG20" s="340"/>
      <c r="AH20" s="340"/>
      <c r="AI20" s="340"/>
      <c r="AJ20" s="340"/>
      <c r="AK20" s="340"/>
      <c r="AL20" s="340"/>
      <c r="AM20" s="340"/>
    </row>
    <row r="21" spans="1:39" ht="15.75">
      <c r="A21" s="340"/>
      <c r="B21" s="692"/>
      <c r="C21" s="692"/>
      <c r="D21" s="692"/>
      <c r="E21" s="693"/>
      <c r="F21" s="693"/>
      <c r="G21" s="693"/>
      <c r="H21" s="693"/>
      <c r="I21" s="693"/>
      <c r="J21" s="704"/>
      <c r="K21" s="704"/>
      <c r="L21" s="692"/>
      <c r="M21" s="693"/>
      <c r="N21" s="693"/>
      <c r="O21" s="693"/>
      <c r="P21" s="693"/>
      <c r="Q21" s="692"/>
      <c r="R21" s="692"/>
      <c r="S21" s="692"/>
      <c r="T21" s="692"/>
      <c r="U21" s="692"/>
      <c r="V21" s="692"/>
      <c r="W21" s="692"/>
      <c r="X21" s="692"/>
      <c r="Y21" s="692"/>
      <c r="Z21" s="692"/>
      <c r="AA21" s="692"/>
      <c r="AB21" s="692"/>
      <c r="AC21" s="692"/>
      <c r="AD21" s="692"/>
      <c r="AE21" s="340"/>
      <c r="AF21" s="340"/>
      <c r="AG21" s="340"/>
      <c r="AH21" s="340"/>
      <c r="AI21" s="340"/>
      <c r="AJ21" s="340"/>
      <c r="AK21" s="340"/>
      <c r="AL21" s="340"/>
      <c r="AM21" s="340"/>
    </row>
    <row r="22" spans="1:39" ht="15.75">
      <c r="A22" s="340"/>
      <c r="B22" s="691" t="s">
        <v>8</v>
      </c>
      <c r="C22" s="697"/>
      <c r="D22" s="697"/>
      <c r="E22" s="697">
        <f>E17-E19-E20+E21</f>
        <v>1554</v>
      </c>
      <c r="F22" s="697">
        <f t="shared" ref="F22:R22" si="39">F17-F19-F20</f>
        <v>1545</v>
      </c>
      <c r="G22" s="697">
        <f t="shared" si="39"/>
        <v>2165</v>
      </c>
      <c r="H22" s="697">
        <f t="shared" si="39"/>
        <v>2890</v>
      </c>
      <c r="I22" s="697">
        <f t="shared" si="39"/>
        <v>2968</v>
      </c>
      <c r="J22" s="697">
        <f t="shared" si="39"/>
        <v>3075</v>
      </c>
      <c r="K22" s="697">
        <f t="shared" si="39"/>
        <v>3561</v>
      </c>
      <c r="L22" s="697">
        <f t="shared" si="39"/>
        <v>2411</v>
      </c>
      <c r="M22" s="697">
        <f t="shared" si="39"/>
        <v>2846</v>
      </c>
      <c r="N22" s="697">
        <f t="shared" si="39"/>
        <v>3115.2</v>
      </c>
      <c r="O22" s="697">
        <f t="shared" si="39"/>
        <v>3891</v>
      </c>
      <c r="P22" s="697">
        <f t="shared" si="39"/>
        <v>4815</v>
      </c>
      <c r="Q22" s="697">
        <f t="shared" si="39"/>
        <v>5229.9999999999991</v>
      </c>
      <c r="R22" s="697">
        <f t="shared" si="39"/>
        <v>6059.7</v>
      </c>
      <c r="S22" s="697">
        <f t="shared" ref="S22:T22" si="40">S17-S19-S20</f>
        <v>6046</v>
      </c>
      <c r="T22" s="697">
        <f t="shared" si="40"/>
        <v>6329</v>
      </c>
      <c r="U22" s="697">
        <f t="shared" ref="U22" ca="1" si="41">U17-U19-U20</f>
        <v>6818</v>
      </c>
      <c r="V22" s="697">
        <f>V17-V19-V20</f>
        <v>6528.8010000000004</v>
      </c>
      <c r="W22" s="697">
        <f>W17-W19-W20</f>
        <v>6120.7780000000002</v>
      </c>
      <c r="X22" s="697">
        <f>X17-X19-X20</f>
        <v>6717.5159410109345</v>
      </c>
      <c r="Y22" s="697">
        <f ca="1">Y17-Y19-Y20</f>
        <v>8355.1779851889551</v>
      </c>
      <c r="Z22" s="697">
        <f t="shared" ref="Z22:AD22" ca="1" si="42">Z17-Z19-Z20</f>
        <v>9683.3341681080728</v>
      </c>
      <c r="AA22" s="697">
        <f t="shared" ca="1" si="42"/>
        <v>10548.350366116949</v>
      </c>
      <c r="AB22" s="697">
        <f t="shared" ca="1" si="42"/>
        <v>11397.278717576091</v>
      </c>
      <c r="AC22" s="697">
        <f t="shared" ca="1" si="42"/>
        <v>12167.443403470452</v>
      </c>
      <c r="AD22" s="697">
        <f t="shared" ca="1" si="42"/>
        <v>12909.851045775875</v>
      </c>
      <c r="AE22" s="340"/>
      <c r="AF22" s="340"/>
      <c r="AG22" s="340"/>
      <c r="AH22" s="340"/>
      <c r="AI22" s="340"/>
      <c r="AJ22" s="340"/>
      <c r="AK22" s="340"/>
      <c r="AL22" s="340"/>
      <c r="AM22" s="340"/>
    </row>
    <row r="23" spans="1:39" ht="15.75">
      <c r="A23" s="340"/>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340"/>
      <c r="AF23" s="340"/>
      <c r="AG23" s="340"/>
      <c r="AH23" s="340"/>
      <c r="AI23" s="340"/>
      <c r="AJ23" s="340"/>
      <c r="AK23" s="340"/>
      <c r="AL23" s="340"/>
      <c r="AM23" s="340"/>
    </row>
    <row r="24" spans="1:39" ht="15.75">
      <c r="A24" s="340"/>
      <c r="B24" s="692" t="s">
        <v>9</v>
      </c>
      <c r="C24" s="693"/>
      <c r="D24" s="693"/>
      <c r="E24" s="693">
        <f t="shared" ref="E24:M24" si="43">E159</f>
        <v>0</v>
      </c>
      <c r="F24" s="693">
        <f t="shared" si="43"/>
        <v>0</v>
      </c>
      <c r="G24" s="693">
        <f t="shared" si="43"/>
        <v>0</v>
      </c>
      <c r="H24" s="693">
        <f t="shared" si="43"/>
        <v>0</v>
      </c>
      <c r="I24" s="693">
        <f t="shared" si="43"/>
        <v>0</v>
      </c>
      <c r="J24" s="693">
        <f t="shared" si="43"/>
        <v>0</v>
      </c>
      <c r="K24" s="693">
        <f t="shared" si="43"/>
        <v>0</v>
      </c>
      <c r="L24" s="693">
        <f t="shared" si="43"/>
        <v>112</v>
      </c>
      <c r="M24" s="693">
        <f t="shared" si="43"/>
        <v>34</v>
      </c>
      <c r="N24" s="693">
        <f>-N159</f>
        <v>36.900000000000006</v>
      </c>
      <c r="O24" s="693">
        <f t="shared" ref="O24:AD24" si="44">-O159</f>
        <v>80.733000000000004</v>
      </c>
      <c r="P24" s="693">
        <f t="shared" si="44"/>
        <v>113</v>
      </c>
      <c r="Q24" s="693">
        <f t="shared" si="44"/>
        <v>-2.5</v>
      </c>
      <c r="R24" s="693">
        <f t="shared" si="44"/>
        <v>-29.299999999999997</v>
      </c>
      <c r="S24" s="693">
        <f t="shared" si="44"/>
        <v>-413</v>
      </c>
      <c r="T24" s="693">
        <f t="shared" si="44"/>
        <v>-545</v>
      </c>
      <c r="U24" s="693">
        <f t="shared" si="44"/>
        <v>-697</v>
      </c>
      <c r="V24" s="693">
        <f t="shared" si="44"/>
        <v>-1196</v>
      </c>
      <c r="W24" s="693">
        <f t="shared" si="44"/>
        <v>-1934.32</v>
      </c>
      <c r="X24" s="693">
        <f t="shared" ca="1" si="44"/>
        <v>-1927.1022094474192</v>
      </c>
      <c r="Y24" s="693">
        <f t="shared" ca="1" si="44"/>
        <v>-2004.982414803399</v>
      </c>
      <c r="Z24" s="693">
        <f t="shared" ca="1" si="44"/>
        <v>-1905.1750436563566</v>
      </c>
      <c r="AA24" s="693">
        <f t="shared" ca="1" si="44"/>
        <v>-1639.0747507462811</v>
      </c>
      <c r="AB24" s="693">
        <f t="shared" ca="1" si="44"/>
        <v>-1367.2452702938772</v>
      </c>
      <c r="AC24" s="693">
        <f t="shared" ca="1" si="44"/>
        <v>-1228.4440639052705</v>
      </c>
      <c r="AD24" s="693">
        <f t="shared" ca="1" si="44"/>
        <v>-1306.3804451764154</v>
      </c>
      <c r="AE24" s="340"/>
      <c r="AF24" s="340"/>
      <c r="AG24" s="340"/>
      <c r="AH24" s="340"/>
      <c r="AI24" s="340"/>
      <c r="AJ24" s="340"/>
      <c r="AK24" s="340"/>
      <c r="AL24" s="340"/>
      <c r="AM24" s="340"/>
    </row>
    <row r="25" spans="1:39" ht="15.75">
      <c r="A25" s="340"/>
      <c r="B25" s="692" t="s">
        <v>10</v>
      </c>
      <c r="C25" s="693"/>
      <c r="D25" s="693"/>
      <c r="E25" s="693"/>
      <c r="F25" s="693"/>
      <c r="G25" s="693"/>
      <c r="H25" s="693"/>
      <c r="I25" s="711"/>
      <c r="J25" s="711"/>
      <c r="K25" s="711"/>
      <c r="L25" s="711"/>
      <c r="M25" s="711"/>
      <c r="N25" s="711"/>
      <c r="O25" s="711"/>
      <c r="P25" s="711"/>
      <c r="Q25" s="711"/>
      <c r="R25" s="693"/>
      <c r="S25" s="693"/>
      <c r="T25" s="693"/>
      <c r="U25" s="693"/>
      <c r="V25" s="693"/>
      <c r="W25" s="693"/>
      <c r="X25" s="693"/>
      <c r="Y25" s="693"/>
      <c r="Z25" s="693"/>
      <c r="AA25" s="693"/>
      <c r="AB25" s="693"/>
      <c r="AC25" s="693"/>
      <c r="AD25" s="693"/>
      <c r="AE25" s="340"/>
      <c r="AF25" s="340"/>
      <c r="AG25" s="340"/>
      <c r="AH25" s="340"/>
      <c r="AI25" s="340"/>
      <c r="AJ25" s="340"/>
      <c r="AK25" s="340"/>
      <c r="AL25" s="340"/>
      <c r="AM25" s="340"/>
    </row>
    <row r="26" spans="1:39" ht="15.75">
      <c r="A26" s="340"/>
      <c r="B26" s="692" t="s">
        <v>11</v>
      </c>
      <c r="C26" s="693"/>
      <c r="D26" s="693"/>
      <c r="E26" s="693"/>
      <c r="F26" s="693"/>
      <c r="G26" s="693"/>
      <c r="H26" s="693"/>
      <c r="I26" s="693"/>
      <c r="J26" s="693"/>
      <c r="K26" s="693"/>
      <c r="L26" s="693"/>
      <c r="M26" s="693"/>
      <c r="N26" s="711">
        <v>48.2</v>
      </c>
      <c r="O26" s="711">
        <v>311</v>
      </c>
      <c r="P26" s="711">
        <v>46</v>
      </c>
      <c r="Q26" s="711">
        <v>95</v>
      </c>
      <c r="R26" s="711">
        <v>0</v>
      </c>
      <c r="S26" s="711">
        <v>48</v>
      </c>
      <c r="T26" s="711">
        <v>0</v>
      </c>
      <c r="U26" s="711">
        <v>-27</v>
      </c>
      <c r="V26" s="486">
        <v>16.675000000000001</v>
      </c>
      <c r="W26" s="711">
        <v>150</v>
      </c>
      <c r="X26" s="711"/>
      <c r="Y26" s="711"/>
      <c r="Z26" s="711"/>
      <c r="AA26" s="711"/>
      <c r="AB26" s="711"/>
      <c r="AC26" s="711"/>
      <c r="AD26" s="711"/>
      <c r="AE26" s="340"/>
      <c r="AF26" s="340"/>
      <c r="AG26" s="340"/>
      <c r="AH26" s="340"/>
      <c r="AI26" s="340"/>
      <c r="AJ26" s="340"/>
      <c r="AK26" s="340"/>
      <c r="AL26" s="340"/>
      <c r="AM26" s="340"/>
    </row>
    <row r="27" spans="1:39" ht="15.75">
      <c r="A27" s="340"/>
      <c r="B27" s="692" t="s">
        <v>12</v>
      </c>
      <c r="C27" s="693"/>
      <c r="D27" s="693"/>
      <c r="E27" s="693">
        <f t="shared" ref="E27:R27" si="45">E266</f>
        <v>0</v>
      </c>
      <c r="F27" s="693">
        <f t="shared" si="45"/>
        <v>0</v>
      </c>
      <c r="G27" s="693">
        <f t="shared" si="45"/>
        <v>0</v>
      </c>
      <c r="H27" s="693">
        <f t="shared" si="45"/>
        <v>0</v>
      </c>
      <c r="I27" s="693">
        <f t="shared" si="45"/>
        <v>0</v>
      </c>
      <c r="J27" s="693">
        <f t="shared" si="45"/>
        <v>0</v>
      </c>
      <c r="K27" s="693">
        <f t="shared" si="45"/>
        <v>0</v>
      </c>
      <c r="L27" s="693">
        <f t="shared" si="45"/>
        <v>3</v>
      </c>
      <c r="M27" s="693">
        <f t="shared" si="45"/>
        <v>15</v>
      </c>
      <c r="N27" s="693">
        <f t="shared" si="45"/>
        <v>3.4</v>
      </c>
      <c r="O27" s="693">
        <f t="shared" si="45"/>
        <v>0</v>
      </c>
      <c r="P27" s="693">
        <f t="shared" si="45"/>
        <v>0</v>
      </c>
      <c r="Q27" s="693">
        <f t="shared" si="45"/>
        <v>0</v>
      </c>
      <c r="R27" s="693">
        <f t="shared" si="45"/>
        <v>0</v>
      </c>
      <c r="S27" s="693">
        <f t="shared" ref="S27:T27" si="46">S266</f>
        <v>0</v>
      </c>
      <c r="T27" s="693">
        <f t="shared" si="46"/>
        <v>0</v>
      </c>
      <c r="U27" s="693">
        <f t="shared" ref="U27:Y27" si="47">U266</f>
        <v>0</v>
      </c>
      <c r="V27" s="693">
        <f t="shared" si="47"/>
        <v>0</v>
      </c>
      <c r="W27" s="693">
        <f t="shared" si="47"/>
        <v>0</v>
      </c>
      <c r="X27" s="693">
        <f t="shared" si="47"/>
        <v>0</v>
      </c>
      <c r="Y27" s="693">
        <f t="shared" si="47"/>
        <v>0</v>
      </c>
      <c r="Z27" s="693">
        <f t="shared" ref="Z27:AD27" si="48">Z266</f>
        <v>0</v>
      </c>
      <c r="AA27" s="693">
        <f t="shared" si="48"/>
        <v>0</v>
      </c>
      <c r="AB27" s="693">
        <f t="shared" si="48"/>
        <v>0</v>
      </c>
      <c r="AC27" s="693">
        <f t="shared" si="48"/>
        <v>0</v>
      </c>
      <c r="AD27" s="693">
        <f t="shared" si="48"/>
        <v>0</v>
      </c>
      <c r="AE27" s="340"/>
      <c r="AF27" s="340"/>
      <c r="AG27" s="340"/>
      <c r="AH27" s="340"/>
      <c r="AI27" s="340"/>
      <c r="AJ27" s="340"/>
      <c r="AK27" s="340"/>
      <c r="AL27" s="340"/>
      <c r="AM27" s="340"/>
    </row>
    <row r="28" spans="1:39" ht="15.75">
      <c r="A28" s="340"/>
      <c r="B28" s="692"/>
      <c r="C28" s="692"/>
      <c r="D28" s="692"/>
      <c r="E28" s="692"/>
      <c r="F28" s="692"/>
      <c r="G28" s="692"/>
      <c r="H28" s="692"/>
      <c r="I28" s="692"/>
      <c r="J28" s="692"/>
      <c r="K28" s="692"/>
      <c r="L28" s="692"/>
      <c r="M28" s="692"/>
      <c r="N28" s="692"/>
      <c r="O28" s="692"/>
      <c r="P28" s="692"/>
      <c r="Q28" s="692"/>
      <c r="R28" s="692"/>
      <c r="S28" s="692"/>
      <c r="T28" s="692"/>
      <c r="U28" s="692"/>
      <c r="V28" s="692"/>
      <c r="W28" s="692"/>
      <c r="X28" s="692"/>
      <c r="Y28" s="692"/>
      <c r="Z28" s="692"/>
      <c r="AA28" s="692"/>
      <c r="AB28" s="692"/>
      <c r="AC28" s="692"/>
      <c r="AD28" s="692"/>
      <c r="AE28" s="340"/>
      <c r="AF28" s="340"/>
      <c r="AG28" s="340"/>
      <c r="AH28" s="340"/>
      <c r="AI28" s="340"/>
      <c r="AJ28" s="340"/>
      <c r="AK28" s="340"/>
      <c r="AL28" s="340"/>
      <c r="AM28" s="340"/>
    </row>
    <row r="29" spans="1:39" ht="15.75">
      <c r="A29" s="340"/>
      <c r="B29" s="691" t="s">
        <v>13</v>
      </c>
      <c r="C29" s="697"/>
      <c r="D29" s="697"/>
      <c r="E29" s="697">
        <f t="shared" ref="E29:R29" si="49">E22+E24+E27+E25+E26</f>
        <v>1554</v>
      </c>
      <c r="F29" s="697">
        <f t="shared" si="49"/>
        <v>1545</v>
      </c>
      <c r="G29" s="697">
        <f t="shared" si="49"/>
        <v>2165</v>
      </c>
      <c r="H29" s="697">
        <f t="shared" si="49"/>
        <v>2890</v>
      </c>
      <c r="I29" s="697">
        <f t="shared" si="49"/>
        <v>2968</v>
      </c>
      <c r="J29" s="697">
        <f t="shared" si="49"/>
        <v>3075</v>
      </c>
      <c r="K29" s="697">
        <f t="shared" si="49"/>
        <v>3561</v>
      </c>
      <c r="L29" s="697">
        <f t="shared" si="49"/>
        <v>2526</v>
      </c>
      <c r="M29" s="697">
        <f t="shared" si="49"/>
        <v>2895</v>
      </c>
      <c r="N29" s="697">
        <f t="shared" si="49"/>
        <v>3203.7</v>
      </c>
      <c r="O29" s="697">
        <f t="shared" si="49"/>
        <v>4282.7330000000002</v>
      </c>
      <c r="P29" s="697">
        <f t="shared" si="49"/>
        <v>4974</v>
      </c>
      <c r="Q29" s="697">
        <f t="shared" si="49"/>
        <v>5322.4999999999991</v>
      </c>
      <c r="R29" s="697">
        <f t="shared" si="49"/>
        <v>6030.4</v>
      </c>
      <c r="S29" s="697">
        <f t="shared" ref="S29:T29" si="50">S22+S24+S27+S25+S26</f>
        <v>5681</v>
      </c>
      <c r="T29" s="697">
        <f t="shared" si="50"/>
        <v>5784</v>
      </c>
      <c r="U29" s="697">
        <f ca="1">U22+U24+U27+U25+U26</f>
        <v>6094</v>
      </c>
      <c r="V29" s="697">
        <f>V22+V24+V27+V25+V26</f>
        <v>5349.4760000000006</v>
      </c>
      <c r="W29" s="697">
        <f>W22+W24+W27+W25+W26</f>
        <v>4336.4580000000005</v>
      </c>
      <c r="X29" s="697">
        <f ca="1">X22+X24+X27+X25+X26</f>
        <v>4790.4137315635153</v>
      </c>
      <c r="Y29" s="697">
        <f ca="1">Y22+Y24+Y27+Y25+Y26</f>
        <v>6350.1955703855565</v>
      </c>
      <c r="Z29" s="697">
        <f t="shared" ref="Z29:AD29" ca="1" si="51">Z22+Z24+Z27+Z25+Z26</f>
        <v>7778.1591244517167</v>
      </c>
      <c r="AA29" s="697">
        <f t="shared" ca="1" si="51"/>
        <v>8909.2756153706687</v>
      </c>
      <c r="AB29" s="697">
        <f t="shared" ca="1" si="51"/>
        <v>10030.033447282214</v>
      </c>
      <c r="AC29" s="697">
        <f t="shared" ca="1" si="51"/>
        <v>10938.999339565182</v>
      </c>
      <c r="AD29" s="697">
        <f t="shared" ca="1" si="51"/>
        <v>11603.470600599459</v>
      </c>
      <c r="AE29" s="340"/>
      <c r="AF29" s="340"/>
      <c r="AG29" s="340"/>
      <c r="AH29" s="340"/>
      <c r="AI29" s="340"/>
      <c r="AJ29" s="340"/>
      <c r="AK29" s="340"/>
      <c r="AL29" s="340"/>
      <c r="AM29" s="340"/>
    </row>
    <row r="30" spans="1:39" ht="15.75">
      <c r="A30" s="340"/>
      <c r="B30" s="692"/>
      <c r="C30" s="692"/>
      <c r="D30" s="692"/>
      <c r="E30" s="692"/>
      <c r="F30" s="692"/>
      <c r="G30" s="692"/>
      <c r="H30" s="692"/>
      <c r="I30" s="692"/>
      <c r="J30" s="692"/>
      <c r="K30" s="692"/>
      <c r="L30" s="701"/>
      <c r="M30" s="701"/>
      <c r="N30" s="701"/>
      <c r="O30" s="701"/>
      <c r="P30" s="701"/>
      <c r="Q30" s="701"/>
      <c r="R30" s="701"/>
      <c r="S30" s="701"/>
      <c r="T30" s="701"/>
      <c r="U30" s="701"/>
      <c r="V30" s="701"/>
      <c r="W30" s="701"/>
      <c r="X30" s="701"/>
      <c r="Y30" s="701"/>
      <c r="Z30" s="701"/>
      <c r="AA30" s="701"/>
      <c r="AB30" s="701"/>
      <c r="AC30" s="701"/>
      <c r="AD30" s="701"/>
      <c r="AE30" s="340"/>
      <c r="AF30" s="340"/>
      <c r="AG30" s="340"/>
      <c r="AH30" s="340"/>
      <c r="AI30" s="340"/>
      <c r="AJ30" s="340"/>
      <c r="AK30" s="340"/>
      <c r="AL30" s="340"/>
      <c r="AM30" s="340"/>
    </row>
    <row r="31" spans="1:39" ht="15.75">
      <c r="A31" s="340"/>
      <c r="B31" s="692" t="s">
        <v>14</v>
      </c>
      <c r="C31" s="693"/>
      <c r="D31" s="693"/>
      <c r="E31" s="693">
        <f t="shared" ref="E31:R31" si="52">-E234</f>
        <v>0</v>
      </c>
      <c r="F31" s="693">
        <f t="shared" si="52"/>
        <v>0</v>
      </c>
      <c r="G31" s="693">
        <f t="shared" si="52"/>
        <v>0</v>
      </c>
      <c r="H31" s="693">
        <f t="shared" si="52"/>
        <v>0</v>
      </c>
      <c r="I31" s="693">
        <f t="shared" si="52"/>
        <v>0</v>
      </c>
      <c r="J31" s="693">
        <f t="shared" si="52"/>
        <v>0</v>
      </c>
      <c r="K31" s="693">
        <f t="shared" si="52"/>
        <v>0</v>
      </c>
      <c r="L31" s="693">
        <f t="shared" si="52"/>
        <v>-502</v>
      </c>
      <c r="M31" s="693">
        <f t="shared" si="52"/>
        <v>-872</v>
      </c>
      <c r="N31" s="693">
        <f t="shared" si="52"/>
        <v>-785.5</v>
      </c>
      <c r="O31" s="693">
        <f t="shared" si="52"/>
        <v>-959</v>
      </c>
      <c r="P31" s="693">
        <f t="shared" si="52"/>
        <v>-845</v>
      </c>
      <c r="Q31" s="693">
        <f t="shared" si="52"/>
        <v>-1013</v>
      </c>
      <c r="R31" s="693">
        <f t="shared" si="52"/>
        <v>-1347</v>
      </c>
      <c r="S31" s="693">
        <f t="shared" ref="S31:T31" si="53">-S234</f>
        <v>-1267</v>
      </c>
      <c r="T31" s="693">
        <f t="shared" si="53"/>
        <v>-1430</v>
      </c>
      <c r="U31" s="693">
        <f>-U234</f>
        <v>-1645.319</v>
      </c>
      <c r="V31" s="693">
        <f>-V234</f>
        <v>-1614.981</v>
      </c>
      <c r="W31" s="693">
        <f>-W234</f>
        <v>-1301.4839999999999</v>
      </c>
      <c r="X31" s="693">
        <f ca="1">-X234</f>
        <v>-1437.1241194690544</v>
      </c>
      <c r="Y31" s="693">
        <f ca="1">-Y234</f>
        <v>-1905.0586711156668</v>
      </c>
      <c r="Z31" s="693">
        <f t="shared" ref="Z31:AD31" ca="1" si="54">-Z234</f>
        <v>-2333.4477373355148</v>
      </c>
      <c r="AA31" s="693">
        <f t="shared" ca="1" si="54"/>
        <v>-2672.7826846112007</v>
      </c>
      <c r="AB31" s="693">
        <f t="shared" ca="1" si="54"/>
        <v>-3009.0100341846642</v>
      </c>
      <c r="AC31" s="693">
        <f t="shared" ca="1" si="54"/>
        <v>-3281.6998018695544</v>
      </c>
      <c r="AD31" s="693">
        <f t="shared" ca="1" si="54"/>
        <v>-3481.0411801798377</v>
      </c>
      <c r="AE31" s="340"/>
      <c r="AF31" s="340"/>
      <c r="AG31" s="340"/>
      <c r="AH31" s="340"/>
      <c r="AI31" s="340"/>
      <c r="AJ31" s="340"/>
      <c r="AK31" s="340"/>
      <c r="AL31" s="340"/>
      <c r="AM31" s="340"/>
    </row>
    <row r="32" spans="1:39" ht="15.75">
      <c r="A32" s="340"/>
      <c r="B32" s="692" t="s">
        <v>15</v>
      </c>
      <c r="C32" s="693"/>
      <c r="D32" s="693"/>
      <c r="E32" s="693">
        <f t="shared" ref="E32:R32" si="55">-E275</f>
        <v>0</v>
      </c>
      <c r="F32" s="693">
        <f t="shared" si="55"/>
        <v>0</v>
      </c>
      <c r="G32" s="693">
        <f t="shared" si="55"/>
        <v>0</v>
      </c>
      <c r="H32" s="693">
        <f t="shared" si="55"/>
        <v>0</v>
      </c>
      <c r="I32" s="693">
        <f t="shared" si="55"/>
        <v>0</v>
      </c>
      <c r="J32" s="693">
        <f t="shared" si="55"/>
        <v>0</v>
      </c>
      <c r="K32" s="693">
        <f t="shared" si="55"/>
        <v>0</v>
      </c>
      <c r="L32" s="693">
        <f t="shared" si="55"/>
        <v>-95</v>
      </c>
      <c r="M32" s="693">
        <f t="shared" si="55"/>
        <v>-131</v>
      </c>
      <c r="N32" s="693">
        <f t="shared" si="55"/>
        <v>-64.7</v>
      </c>
      <c r="O32" s="693">
        <f t="shared" si="55"/>
        <v>-161</v>
      </c>
      <c r="P32" s="693">
        <f t="shared" si="55"/>
        <v>-273</v>
      </c>
      <c r="Q32" s="693">
        <f t="shared" si="55"/>
        <v>-173</v>
      </c>
      <c r="R32" s="693">
        <f t="shared" si="55"/>
        <v>-174</v>
      </c>
      <c r="S32" s="693">
        <f t="shared" ref="S32:T32" si="56">-S275</f>
        <v>-156</v>
      </c>
      <c r="T32" s="693">
        <f t="shared" si="56"/>
        <v>-171.60000000000002</v>
      </c>
      <c r="U32" s="693">
        <f t="shared" ref="U32:Y32" si="57">-U275</f>
        <v>-160.75700000000001</v>
      </c>
      <c r="V32" s="693">
        <f t="shared" si="57"/>
        <v>-168.411</v>
      </c>
      <c r="W32" s="693">
        <f t="shared" si="57"/>
        <v>-155</v>
      </c>
      <c r="X32" s="693">
        <f t="shared" si="57"/>
        <v>-170.5</v>
      </c>
      <c r="Y32" s="693">
        <f t="shared" si="57"/>
        <v>-187.55</v>
      </c>
      <c r="Z32" s="693">
        <f t="shared" ref="Z32:AD32" si="58">-Z275</f>
        <v>-206.30500000000004</v>
      </c>
      <c r="AA32" s="693">
        <f t="shared" si="58"/>
        <v>-226.93550000000005</v>
      </c>
      <c r="AB32" s="693">
        <f t="shared" si="58"/>
        <v>-249.62905000000006</v>
      </c>
      <c r="AC32" s="693">
        <f t="shared" si="58"/>
        <v>-274.5919550000001</v>
      </c>
      <c r="AD32" s="693">
        <f t="shared" si="58"/>
        <v>-302.05115050000012</v>
      </c>
      <c r="AE32" s="340"/>
      <c r="AF32" s="340"/>
      <c r="AG32" s="340"/>
      <c r="AH32" s="340"/>
      <c r="AI32" s="340"/>
      <c r="AJ32" s="340"/>
      <c r="AK32" s="340"/>
      <c r="AL32" s="340"/>
      <c r="AM32" s="340"/>
    </row>
    <row r="33" spans="1:39" ht="15.75">
      <c r="A33" s="340"/>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340"/>
      <c r="AF33" s="340"/>
      <c r="AG33" s="340"/>
      <c r="AH33" s="340"/>
      <c r="AI33" s="340"/>
      <c r="AJ33" s="340"/>
      <c r="AK33" s="340"/>
      <c r="AL33" s="340"/>
      <c r="AM33" s="340"/>
    </row>
    <row r="34" spans="1:39" ht="15.75">
      <c r="A34" s="340"/>
      <c r="B34" s="691" t="s">
        <v>17</v>
      </c>
      <c r="C34" s="697"/>
      <c r="D34" s="697"/>
      <c r="E34" s="697">
        <f t="shared" ref="E34:R34" si="59">SUM(E29:E32)</f>
        <v>1554</v>
      </c>
      <c r="F34" s="697">
        <f t="shared" si="59"/>
        <v>1545</v>
      </c>
      <c r="G34" s="697">
        <f t="shared" si="59"/>
        <v>2165</v>
      </c>
      <c r="H34" s="697">
        <f t="shared" si="59"/>
        <v>2890</v>
      </c>
      <c r="I34" s="697">
        <f t="shared" si="59"/>
        <v>2968</v>
      </c>
      <c r="J34" s="697">
        <f t="shared" si="59"/>
        <v>3075</v>
      </c>
      <c r="K34" s="697">
        <f t="shared" si="59"/>
        <v>3561</v>
      </c>
      <c r="L34" s="697">
        <f t="shared" si="59"/>
        <v>1929</v>
      </c>
      <c r="M34" s="697">
        <f t="shared" si="59"/>
        <v>1892</v>
      </c>
      <c r="N34" s="697">
        <f t="shared" si="59"/>
        <v>2353.5</v>
      </c>
      <c r="O34" s="697">
        <f t="shared" si="59"/>
        <v>3162.7330000000002</v>
      </c>
      <c r="P34" s="697">
        <f t="shared" si="59"/>
        <v>3856</v>
      </c>
      <c r="Q34" s="697">
        <f t="shared" si="59"/>
        <v>4136.4999999999991</v>
      </c>
      <c r="R34" s="697">
        <f t="shared" si="59"/>
        <v>4509.3999999999996</v>
      </c>
      <c r="S34" s="697">
        <f t="shared" ref="S34:T34" si="60">SUM(S29:S32)</f>
        <v>4258</v>
      </c>
      <c r="T34" s="697">
        <f t="shared" si="60"/>
        <v>4182.3999999999996</v>
      </c>
      <c r="U34" s="697">
        <f ca="1">SUM(U29:U32)</f>
        <v>4287.9240000000009</v>
      </c>
      <c r="V34" s="697">
        <f>SUM(V29:V32)</f>
        <v>3566.0840000000007</v>
      </c>
      <c r="W34" s="697">
        <f>SUM(W29:W32)</f>
        <v>2879.9740000000006</v>
      </c>
      <c r="X34" s="697">
        <f ca="1">SUM(X29:X32)</f>
        <v>3182.7896120944606</v>
      </c>
      <c r="Y34" s="697">
        <f ca="1">SUM(Y29:Y32)</f>
        <v>4257.5868992698897</v>
      </c>
      <c r="Z34" s="697">
        <f t="shared" ref="Z34:AD34" ca="1" si="61">SUM(Z29:Z32)</f>
        <v>5238.4063871162016</v>
      </c>
      <c r="AA34" s="697">
        <f t="shared" ca="1" si="61"/>
        <v>6009.5574307594688</v>
      </c>
      <c r="AB34" s="697">
        <f t="shared" ca="1" si="61"/>
        <v>6771.3943630975491</v>
      </c>
      <c r="AC34" s="697">
        <f t="shared" ca="1" si="61"/>
        <v>7382.7075826956279</v>
      </c>
      <c r="AD34" s="697">
        <f t="shared" ca="1" si="61"/>
        <v>7820.3782699196208</v>
      </c>
      <c r="AE34" s="699">
        <f ca="1">(Y34/R34)^(1/6)-1</f>
        <v>-9.5312144049348735E-3</v>
      </c>
      <c r="AF34" s="340"/>
      <c r="AG34" s="340"/>
      <c r="AH34" s="340"/>
      <c r="AI34" s="340"/>
      <c r="AJ34" s="340"/>
      <c r="AK34" s="340"/>
      <c r="AL34" s="340"/>
      <c r="AM34" s="340"/>
    </row>
    <row r="35" spans="1:39" ht="15.75">
      <c r="A35" s="340"/>
      <c r="B35" s="692"/>
      <c r="C35" s="692"/>
      <c r="D35" s="692"/>
      <c r="E35" s="692"/>
      <c r="F35" s="692"/>
      <c r="G35" s="692"/>
      <c r="H35" s="692"/>
      <c r="I35" s="692"/>
      <c r="J35" s="340"/>
      <c r="K35" s="692"/>
      <c r="L35" s="692"/>
      <c r="M35" s="692"/>
      <c r="N35" s="692"/>
      <c r="O35" s="692"/>
      <c r="P35" s="692"/>
      <c r="Q35" s="692"/>
      <c r="R35" s="712"/>
      <c r="S35" s="712"/>
      <c r="T35" s="712"/>
      <c r="U35" s="712"/>
      <c r="V35" s="692"/>
      <c r="W35" s="692"/>
      <c r="X35" s="692"/>
      <c r="Y35" s="692"/>
      <c r="Z35" s="692"/>
      <c r="AA35" s="692"/>
      <c r="AB35" s="692"/>
      <c r="AC35" s="692"/>
      <c r="AD35" s="692"/>
      <c r="AE35" s="340"/>
      <c r="AF35" s="340"/>
      <c r="AG35" s="340"/>
      <c r="AH35" s="340"/>
      <c r="AI35" s="340"/>
      <c r="AJ35" s="340"/>
      <c r="AK35" s="340"/>
      <c r="AL35" s="340"/>
      <c r="AM35" s="340"/>
    </row>
    <row r="36" spans="1:39" ht="15.75">
      <c r="A36" s="340"/>
      <c r="B36" s="692" t="s">
        <v>256</v>
      </c>
      <c r="C36" s="713"/>
      <c r="D36" s="714"/>
      <c r="E36" s="714"/>
      <c r="F36" s="714"/>
      <c r="G36" s="714"/>
      <c r="H36" s="714"/>
      <c r="I36" s="714"/>
      <c r="J36" s="714"/>
      <c r="K36" s="714"/>
      <c r="L36" s="714">
        <f>L34/(L325/2)</f>
        <v>2.2453038056677337</v>
      </c>
      <c r="M36" s="714">
        <f>M34/(M325/2)</f>
        <v>2.2019023412087422</v>
      </c>
      <c r="N36" s="714">
        <f t="shared" ref="N36:T36" si="62">N34/(N325/2)</f>
        <v>2.7389942706314878</v>
      </c>
      <c r="O36" s="714">
        <f t="shared" si="62"/>
        <v>3.680776531352087</v>
      </c>
      <c r="P36" s="714">
        <f t="shared" si="62"/>
        <v>4.4875980061844132</v>
      </c>
      <c r="Q36" s="714">
        <f t="shared" si="62"/>
        <v>4.8140428300264055</v>
      </c>
      <c r="R36" s="714">
        <f t="shared" si="62"/>
        <v>5.2480224193692919</v>
      </c>
      <c r="S36" s="714">
        <f t="shared" si="62"/>
        <v>4.9554440638830997</v>
      </c>
      <c r="T36" s="714">
        <f t="shared" si="62"/>
        <v>4.8630409354005284</v>
      </c>
      <c r="U36" s="714">
        <f ca="1">U34/(U325/2)</f>
        <v>5.0006344200887263</v>
      </c>
      <c r="V36" s="714">
        <f>V34/(V325/2)</f>
        <v>4.1581287695272087</v>
      </c>
      <c r="W36" s="714">
        <f>W34/(W325/2)</f>
        <v>3.3546561708467273</v>
      </c>
      <c r="X36" s="714">
        <f ca="1">X34/(X325/2)</f>
        <v>3.7073823627295042</v>
      </c>
      <c r="Y36" s="714">
        <f ca="1">Y34/(Y325/2)</f>
        <v>4.9593295510834174</v>
      </c>
      <c r="Z36" s="714">
        <f t="shared" ref="Z36:AD36" ca="1" si="63">Z34/(Z325/2)</f>
        <v>6.1018093607589066</v>
      </c>
      <c r="AA36" s="714">
        <f t="shared" ca="1" si="63"/>
        <v>7.000062819718182</v>
      </c>
      <c r="AB36" s="714">
        <f t="shared" ca="1" si="63"/>
        <v>7.8874669998416413</v>
      </c>
      <c r="AC36" s="714">
        <f t="shared" ca="1" si="63"/>
        <v>8.5995378950805836</v>
      </c>
      <c r="AD36" s="714">
        <f t="shared" ca="1" si="63"/>
        <v>9.1093462029662433</v>
      </c>
      <c r="AE36" s="340"/>
      <c r="AF36" s="340"/>
      <c r="AG36" s="340"/>
      <c r="AH36" s="340"/>
      <c r="AI36" s="340"/>
      <c r="AJ36" s="340"/>
      <c r="AK36" s="340"/>
      <c r="AL36" s="340"/>
      <c r="AM36" s="340"/>
    </row>
    <row r="37" spans="1:39" ht="15.75">
      <c r="A37" s="340"/>
      <c r="B37" s="692" t="s">
        <v>257</v>
      </c>
      <c r="C37" s="715"/>
      <c r="D37" s="716"/>
      <c r="E37" s="716"/>
      <c r="F37" s="716"/>
      <c r="G37" s="716"/>
      <c r="H37" s="716"/>
      <c r="I37" s="716"/>
      <c r="J37" s="716"/>
      <c r="K37" s="716"/>
      <c r="L37" s="716">
        <f t="shared" ref="L37:R37" si="64">L320</f>
        <v>2.0073411773469916</v>
      </c>
      <c r="M37" s="716">
        <f t="shared" si="64"/>
        <v>2.2782473695297218</v>
      </c>
      <c r="N37" s="716">
        <f t="shared" si="64"/>
        <v>2.4758370832120429</v>
      </c>
      <c r="O37" s="716">
        <f t="shared" si="64"/>
        <v>3.0683490237744109</v>
      </c>
      <c r="P37" s="716">
        <f t="shared" si="64"/>
        <v>3.7117373076734448</v>
      </c>
      <c r="Q37" s="716">
        <f t="shared" si="64"/>
        <v>4.5104922674780328</v>
      </c>
      <c r="R37" s="716">
        <f t="shared" si="64"/>
        <v>5.4448857448973076</v>
      </c>
      <c r="S37" s="716">
        <f t="shared" ref="S37:T37" si="65">S320</f>
        <v>6.1970049786589572</v>
      </c>
      <c r="T37" s="716">
        <f t="shared" si="65"/>
        <v>6.6040066167942078</v>
      </c>
      <c r="U37" s="716">
        <f ca="1">U320</f>
        <v>6.9581760376342965</v>
      </c>
      <c r="V37" s="716">
        <f>V320</f>
        <v>7.0597864748355335</v>
      </c>
      <c r="W37" s="716">
        <f>W320</f>
        <v>7.6704683956452273</v>
      </c>
      <c r="X37" s="716">
        <f ca="1">X320</f>
        <v>8.1968432528452801</v>
      </c>
      <c r="Y37" s="716">
        <f ca="1">Y320</f>
        <v>9.6302235454454461</v>
      </c>
      <c r="Z37" s="716">
        <f t="shared" ref="Z37:AD37" ca="1" si="66">Z320</f>
        <v>10.540187774414708</v>
      </c>
      <c r="AA37" s="716">
        <f t="shared" ca="1" si="66"/>
        <v>10.818522449610722</v>
      </c>
      <c r="AB37" s="716">
        <f t="shared" ca="1" si="66"/>
        <v>11.072660882183882</v>
      </c>
      <c r="AC37" s="716">
        <f t="shared" ca="1" si="66"/>
        <v>11.461374466882859</v>
      </c>
      <c r="AD37" s="716">
        <f t="shared" ca="1" si="66"/>
        <v>12.152746748863224</v>
      </c>
      <c r="AE37" s="340"/>
      <c r="AF37" s="340"/>
      <c r="AG37" s="340"/>
      <c r="AH37" s="340"/>
      <c r="AI37" s="340"/>
      <c r="AJ37" s="340"/>
      <c r="AK37" s="340"/>
      <c r="AL37" s="340"/>
      <c r="AM37" s="340"/>
    </row>
    <row r="38" spans="1:39" ht="15.75">
      <c r="A38" s="340"/>
      <c r="B38" s="692" t="s">
        <v>19</v>
      </c>
      <c r="C38" s="715"/>
      <c r="D38" s="716"/>
      <c r="E38" s="716"/>
      <c r="F38" s="716"/>
      <c r="G38" s="716"/>
      <c r="H38" s="716"/>
      <c r="I38" s="716"/>
      <c r="J38" s="716"/>
      <c r="K38" s="716"/>
      <c r="L38" s="716">
        <f>L335</f>
        <v>0.620529</v>
      </c>
      <c r="M38" s="716">
        <f t="shared" ref="M38:T38" si="67">M335</f>
        <v>1.8254410000000001</v>
      </c>
      <c r="N38" s="716">
        <f t="shared" si="67"/>
        <v>1.1399999999999999</v>
      </c>
      <c r="O38" s="716">
        <f t="shared" si="67"/>
        <v>1.36</v>
      </c>
      <c r="P38" s="716">
        <f t="shared" si="67"/>
        <v>1.62</v>
      </c>
      <c r="Q38" s="716">
        <f t="shared" si="67"/>
        <v>1.78</v>
      </c>
      <c r="R38" s="716">
        <f t="shared" si="67"/>
        <v>2.1800000000000002</v>
      </c>
      <c r="S38" s="716">
        <f t="shared" si="67"/>
        <v>1.78</v>
      </c>
      <c r="T38" s="716">
        <f t="shared" si="67"/>
        <v>2.56</v>
      </c>
      <c r="U38" s="716">
        <f t="shared" ref="U38:Y38" si="68">U335</f>
        <v>2.82</v>
      </c>
      <c r="V38" s="716">
        <f t="shared" si="68"/>
        <v>2.96</v>
      </c>
      <c r="W38" s="716">
        <f t="shared" si="68"/>
        <v>3.05</v>
      </c>
      <c r="X38" s="716">
        <f t="shared" si="68"/>
        <v>3.2025000000000001</v>
      </c>
      <c r="Y38" s="716">
        <f t="shared" si="68"/>
        <v>3.5227500000000003</v>
      </c>
      <c r="Z38" s="716">
        <f t="shared" ref="Z38:AD38" si="69">Z335</f>
        <v>3.8750250000000008</v>
      </c>
      <c r="AA38" s="716">
        <f t="shared" si="69"/>
        <v>4.2625275000000009</v>
      </c>
      <c r="AB38" s="716">
        <f t="shared" si="69"/>
        <v>4.6887802500000015</v>
      </c>
      <c r="AC38" s="716">
        <f t="shared" si="69"/>
        <v>5.157658275000002</v>
      </c>
      <c r="AD38" s="716">
        <f t="shared" si="69"/>
        <v>5.673424102500003</v>
      </c>
      <c r="AE38" s="340"/>
      <c r="AF38" s="340"/>
      <c r="AG38" s="340"/>
      <c r="AH38" s="340"/>
      <c r="AI38" s="340"/>
      <c r="AJ38" s="340"/>
      <c r="AK38" s="340"/>
      <c r="AL38" s="340"/>
      <c r="AM38" s="340"/>
    </row>
    <row r="39" spans="1:39" ht="15.75">
      <c r="A39" s="340"/>
      <c r="B39" s="692" t="s">
        <v>20</v>
      </c>
      <c r="C39" s="717"/>
      <c r="D39" s="718"/>
      <c r="E39" s="718"/>
      <c r="F39" s="718"/>
      <c r="G39" s="718"/>
      <c r="H39" s="718"/>
      <c r="I39" s="718"/>
      <c r="J39" s="718"/>
      <c r="K39" s="718"/>
      <c r="L39" s="718">
        <f t="shared" ref="L39:R39" si="70">L349</f>
        <v>1.2868419260725865</v>
      </c>
      <c r="M39" s="718">
        <f t="shared" si="70"/>
        <v>1.7079872494492334</v>
      </c>
      <c r="N39" s="718">
        <f t="shared" si="70"/>
        <v>1.7840372934428808</v>
      </c>
      <c r="O39" s="718">
        <f t="shared" si="70"/>
        <v>0.79784959952808621</v>
      </c>
      <c r="P39" s="718">
        <f t="shared" si="70"/>
        <v>0.53335587810687946</v>
      </c>
      <c r="Q39" s="718">
        <f t="shared" si="70"/>
        <v>1.9140372506310663</v>
      </c>
      <c r="R39" s="718">
        <f t="shared" si="70"/>
        <v>2.4405218815452039</v>
      </c>
      <c r="S39" s="718">
        <f t="shared" ref="S39:T39" si="71">S349</f>
        <v>2.991074937448996</v>
      </c>
      <c r="T39" s="718">
        <f t="shared" si="71"/>
        <v>2.3097469852513046</v>
      </c>
      <c r="U39" s="718">
        <f ca="1">U349</f>
        <v>2.1582616316476235</v>
      </c>
      <c r="V39" s="718">
        <f>V349</f>
        <v>0.63391785675725842</v>
      </c>
      <c r="W39" s="718">
        <f>W349</f>
        <v>1.0020219440797224</v>
      </c>
      <c r="X39" s="718">
        <f ca="1">X349</f>
        <v>5.1881335993782729</v>
      </c>
      <c r="Y39" s="718">
        <f ca="1">Y349</f>
        <v>7.6049505614806918</v>
      </c>
      <c r="Z39" s="718">
        <f t="shared" ref="Z39:AD39" ca="1" si="72">Z349</f>
        <v>9.3255005729580827</v>
      </c>
      <c r="AA39" s="718">
        <f t="shared" ca="1" si="72"/>
        <v>10.125736558611958</v>
      </c>
      <c r="AB39" s="718">
        <f t="shared" ca="1" si="72"/>
        <v>9.9632249020229882</v>
      </c>
      <c r="AC39" s="718">
        <f t="shared" ca="1" si="72"/>
        <v>10.010759252515019</v>
      </c>
      <c r="AD39" s="718">
        <f t="shared" ca="1" si="72"/>
        <v>10.402145194194656</v>
      </c>
      <c r="AE39" s="340"/>
      <c r="AF39" s="340"/>
      <c r="AG39" s="340"/>
      <c r="AH39" s="340"/>
      <c r="AI39" s="340"/>
      <c r="AJ39" s="340"/>
      <c r="AK39" s="340"/>
      <c r="AL39" s="340"/>
      <c r="AM39" s="340"/>
    </row>
    <row r="40" spans="1:39" ht="15.75">
      <c r="A40" s="340"/>
      <c r="B40" s="692"/>
      <c r="C40" s="719"/>
      <c r="D40" s="719"/>
      <c r="E40" s="719"/>
      <c r="F40" s="719"/>
      <c r="G40" s="719"/>
      <c r="H40" s="719"/>
      <c r="I40" s="719"/>
      <c r="J40" s="719"/>
      <c r="K40" s="719"/>
      <c r="L40" s="719"/>
      <c r="M40" s="719"/>
      <c r="N40" s="719"/>
      <c r="O40" s="719"/>
      <c r="P40" s="719"/>
      <c r="Q40" s="719"/>
      <c r="R40" s="719"/>
      <c r="S40" s="719"/>
      <c r="T40" s="719"/>
      <c r="U40" s="719"/>
      <c r="V40" s="719"/>
      <c r="W40" s="719"/>
      <c r="X40" s="719"/>
      <c r="Y40" s="719"/>
      <c r="Z40" s="719"/>
      <c r="AA40" s="719"/>
      <c r="AB40" s="719"/>
      <c r="AC40" s="719"/>
      <c r="AD40" s="719"/>
      <c r="AE40" s="340"/>
      <c r="AF40" s="340"/>
      <c r="AG40" s="340"/>
      <c r="AH40" s="340"/>
      <c r="AI40" s="340"/>
      <c r="AJ40" s="340"/>
      <c r="AK40" s="340"/>
      <c r="AL40" s="340"/>
      <c r="AM40" s="340"/>
    </row>
    <row r="41" spans="1:39" ht="15.75">
      <c r="A41" s="340"/>
      <c r="B41" s="691" t="s">
        <v>22</v>
      </c>
      <c r="C41" s="719"/>
      <c r="D41" s="719"/>
      <c r="E41" s="719"/>
      <c r="F41" s="719"/>
      <c r="G41" s="719"/>
      <c r="H41" s="719"/>
      <c r="I41" s="719"/>
      <c r="J41" s="719"/>
      <c r="K41" s="719"/>
      <c r="L41" s="719"/>
      <c r="M41" s="719"/>
      <c r="N41" s="720"/>
      <c r="O41" s="720"/>
      <c r="P41" s="720"/>
      <c r="Q41" s="719"/>
      <c r="R41" s="719"/>
      <c r="S41" s="719"/>
      <c r="T41" s="719"/>
      <c r="U41" s="719"/>
      <c r="V41" s="719"/>
      <c r="W41" s="719"/>
      <c r="X41" s="719"/>
      <c r="Y41" s="719"/>
      <c r="Z41" s="719"/>
      <c r="AA41" s="719"/>
      <c r="AB41" s="719"/>
      <c r="AC41" s="719"/>
      <c r="AD41" s="719"/>
      <c r="AE41" s="340"/>
      <c r="AF41" s="340"/>
      <c r="AG41" s="340"/>
      <c r="AH41" s="340"/>
      <c r="AI41" s="340"/>
      <c r="AJ41" s="340"/>
      <c r="AK41" s="340"/>
      <c r="AL41" s="340"/>
      <c r="AM41" s="340"/>
    </row>
    <row r="42" spans="1:39" ht="15.75">
      <c r="A42" s="340"/>
      <c r="B42" s="692" t="s">
        <v>278</v>
      </c>
      <c r="C42" s="719"/>
      <c r="D42" s="719"/>
      <c r="E42" s="719"/>
      <c r="F42" s="719"/>
      <c r="G42" s="719"/>
      <c r="H42" s="719"/>
      <c r="I42" s="693">
        <f t="shared" ref="I42:O42" si="73">I44</f>
        <v>1516</v>
      </c>
      <c r="J42" s="693">
        <f t="shared" si="73"/>
        <v>1510</v>
      </c>
      <c r="K42" s="693">
        <f t="shared" si="73"/>
        <v>1974</v>
      </c>
      <c r="L42" s="693">
        <f t="shared" si="73"/>
        <v>1985</v>
      </c>
      <c r="M42" s="693">
        <f t="shared" si="73"/>
        <v>2000</v>
      </c>
      <c r="N42" s="693">
        <f t="shared" si="73"/>
        <v>2336</v>
      </c>
      <c r="O42" s="693">
        <f t="shared" si="73"/>
        <v>3765</v>
      </c>
      <c r="P42" s="693">
        <f t="shared" ref="P42:Q42" si="74">P44</f>
        <v>4874</v>
      </c>
      <c r="Q42" s="693">
        <f t="shared" si="74"/>
        <v>4692</v>
      </c>
      <c r="R42" s="693">
        <f>Fixed!M113</f>
        <v>5753</v>
      </c>
      <c r="S42" s="693">
        <f>Fixed!N113</f>
        <v>6535</v>
      </c>
      <c r="T42" s="693">
        <f>Fixed!O113</f>
        <v>8081</v>
      </c>
      <c r="U42" s="693">
        <f>Fixed!P113</f>
        <v>9466.5730000000003</v>
      </c>
      <c r="V42" s="693">
        <f>Fixed!Q113</f>
        <v>11836</v>
      </c>
      <c r="W42" s="693">
        <f>Fixed!R113</f>
        <v>12949</v>
      </c>
      <c r="X42" s="693">
        <f>Fixed!S113</f>
        <v>10918.295376578899</v>
      </c>
      <c r="Y42" s="693">
        <f>Fixed!T113</f>
        <v>10087.477536246211</v>
      </c>
      <c r="Z42" s="693">
        <f>Fixed!U113</f>
        <v>9687.2157358793829</v>
      </c>
      <c r="AA42" s="693">
        <f>Fixed!V113</f>
        <v>9427.2813729434729</v>
      </c>
      <c r="AB42" s="693">
        <f>Fixed!W113</f>
        <v>9903.9843102681043</v>
      </c>
      <c r="AC42" s="693">
        <f>Fixed!X113</f>
        <v>10371.713185924635</v>
      </c>
      <c r="AD42" s="693">
        <f>Fixed!Y113</f>
        <v>10849.85768156236</v>
      </c>
      <c r="AE42" s="340"/>
      <c r="AF42" s="340"/>
      <c r="AG42" s="340"/>
      <c r="AH42" s="340"/>
      <c r="AI42" s="340"/>
      <c r="AJ42" s="340"/>
      <c r="AK42" s="340"/>
      <c r="AL42" s="340"/>
      <c r="AM42" s="340"/>
    </row>
    <row r="43" spans="1:39" ht="15.75">
      <c r="A43" s="340"/>
      <c r="B43" s="694"/>
      <c r="C43" s="718"/>
      <c r="D43" s="718"/>
      <c r="E43" s="718"/>
      <c r="F43" s="718"/>
      <c r="G43" s="718"/>
      <c r="H43" s="718"/>
      <c r="I43" s="718"/>
      <c r="J43" s="696"/>
      <c r="K43" s="696"/>
      <c r="L43" s="696"/>
      <c r="M43" s="696"/>
      <c r="N43" s="696"/>
      <c r="O43" s="696"/>
      <c r="P43" s="696"/>
      <c r="Q43" s="696"/>
      <c r="R43" s="696"/>
      <c r="S43" s="696"/>
      <c r="T43" s="696"/>
      <c r="U43" s="696"/>
      <c r="V43" s="696"/>
      <c r="W43" s="696"/>
      <c r="X43" s="696"/>
      <c r="Y43" s="696"/>
      <c r="Z43" s="696"/>
      <c r="AA43" s="696"/>
      <c r="AB43" s="696"/>
      <c r="AC43" s="696"/>
      <c r="AD43" s="696"/>
      <c r="AE43" s="340"/>
      <c r="AF43" s="340"/>
      <c r="AG43" s="340"/>
      <c r="AH43" s="340"/>
      <c r="AI43" s="340"/>
      <c r="AJ43" s="340"/>
      <c r="AK43" s="340"/>
      <c r="AL43" s="340"/>
      <c r="AM43" s="340"/>
    </row>
    <row r="44" spans="1:39" ht="15.75">
      <c r="A44" s="340"/>
      <c r="B44" s="692" t="s">
        <v>21</v>
      </c>
      <c r="C44" s="719"/>
      <c r="D44" s="719"/>
      <c r="E44" s="719"/>
      <c r="F44" s="719"/>
      <c r="G44" s="719"/>
      <c r="H44" s="719"/>
      <c r="I44" s="486">
        <v>1516</v>
      </c>
      <c r="J44" s="486">
        <v>1510</v>
      </c>
      <c r="K44" s="486">
        <v>1974</v>
      </c>
      <c r="L44" s="486">
        <v>1985</v>
      </c>
      <c r="M44" s="486">
        <v>2000</v>
      </c>
      <c r="N44" s="486">
        <v>2336</v>
      </c>
      <c r="O44" s="486">
        <v>3765</v>
      </c>
      <c r="P44" s="486">
        <v>4874</v>
      </c>
      <c r="Q44" s="486">
        <f>SUM(Quarts!AM144:AP144)</f>
        <v>4692</v>
      </c>
      <c r="R44" s="486">
        <f>SUM(Quarts!AQ147:AT147)</f>
        <v>5753.1229999999996</v>
      </c>
      <c r="S44" s="693">
        <f t="shared" ref="S44:U44" si="75">S42+S43</f>
        <v>6535</v>
      </c>
      <c r="T44" s="693">
        <f>T42+T43</f>
        <v>8081</v>
      </c>
      <c r="U44" s="693">
        <f t="shared" si="75"/>
        <v>9466.5730000000003</v>
      </c>
      <c r="V44" s="693">
        <f>V42+V43</f>
        <v>11836</v>
      </c>
      <c r="W44" s="693">
        <f>W42+W43</f>
        <v>12949</v>
      </c>
      <c r="X44" s="693">
        <f>X42+X43</f>
        <v>10918.295376578899</v>
      </c>
      <c r="Y44" s="693">
        <f>Y42+Y43</f>
        <v>10087.477536246211</v>
      </c>
      <c r="Z44" s="693">
        <f t="shared" ref="Z44:AD44" si="76">Z42+Z43</f>
        <v>9687.2157358793829</v>
      </c>
      <c r="AA44" s="693">
        <f t="shared" si="76"/>
        <v>9427.2813729434729</v>
      </c>
      <c r="AB44" s="693">
        <f t="shared" si="76"/>
        <v>9903.9843102681043</v>
      </c>
      <c r="AC44" s="693">
        <f t="shared" si="76"/>
        <v>10371.713185924635</v>
      </c>
      <c r="AD44" s="693">
        <f t="shared" si="76"/>
        <v>10849.85768156236</v>
      </c>
      <c r="AE44" s="709"/>
      <c r="AF44" s="340"/>
      <c r="AG44" s="340"/>
      <c r="AH44" s="340"/>
      <c r="AI44" s="340"/>
      <c r="AJ44" s="340"/>
      <c r="AK44" s="340"/>
      <c r="AL44" s="340"/>
      <c r="AM44" s="340"/>
    </row>
    <row r="45" spans="1:39" ht="15.75">
      <c r="A45" s="340"/>
      <c r="B45" s="692" t="s">
        <v>23</v>
      </c>
      <c r="C45" s="719"/>
      <c r="D45" s="719"/>
      <c r="E45" s="719"/>
      <c r="F45" s="719"/>
      <c r="G45" s="719"/>
      <c r="H45" s="719"/>
      <c r="I45" s="708">
        <f t="shared" ref="I45:U45" si="77">I44/I7</f>
        <v>0.21986947063089196</v>
      </c>
      <c r="J45" s="708">
        <f t="shared" si="77"/>
        <v>0.20109202290584632</v>
      </c>
      <c r="K45" s="708">
        <f t="shared" si="77"/>
        <v>0.23930173354345982</v>
      </c>
      <c r="L45" s="708">
        <f t="shared" si="77"/>
        <v>0.22112064163974601</v>
      </c>
      <c r="M45" s="708">
        <f t="shared" si="77"/>
        <v>0.1986491855383393</v>
      </c>
      <c r="N45" s="708">
        <f t="shared" si="77"/>
        <v>0.20357298474945534</v>
      </c>
      <c r="O45" s="708">
        <f t="shared" si="77"/>
        <v>0.25863845572576766</v>
      </c>
      <c r="P45" s="708">
        <f t="shared" si="77"/>
        <v>0.28743291855870734</v>
      </c>
      <c r="Q45" s="708">
        <f t="shared" si="77"/>
        <v>0.27141782842598483</v>
      </c>
      <c r="R45" s="708">
        <f t="shared" si="77"/>
        <v>0.29600344721136035</v>
      </c>
      <c r="S45" s="708">
        <f t="shared" si="77"/>
        <v>0.30249027957785596</v>
      </c>
      <c r="T45" s="708">
        <f t="shared" si="77"/>
        <v>0.36103292677478444</v>
      </c>
      <c r="U45" s="708">
        <f t="shared" si="77"/>
        <v>0.38428890963708695</v>
      </c>
      <c r="V45" s="708">
        <f>V44/V7</f>
        <v>0.4358592560527671</v>
      </c>
      <c r="W45" s="708">
        <f>W44/W7</f>
        <v>0.43350404780094365</v>
      </c>
      <c r="X45" s="708">
        <f>X44/X7</f>
        <v>0.33</v>
      </c>
      <c r="Y45" s="708">
        <f>Y44/Y7</f>
        <v>0.28000000000000003</v>
      </c>
      <c r="Z45" s="708">
        <f t="shared" ref="Z45:AD45" si="78">Z44/Z7</f>
        <v>0.25</v>
      </c>
      <c r="AA45" s="708">
        <f t="shared" si="78"/>
        <v>0.23</v>
      </c>
      <c r="AB45" s="708">
        <f t="shared" si="78"/>
        <v>0.23</v>
      </c>
      <c r="AC45" s="708">
        <f t="shared" si="78"/>
        <v>0.22999999999999998</v>
      </c>
      <c r="AD45" s="708">
        <f t="shared" si="78"/>
        <v>0.23000000000000004</v>
      </c>
      <c r="AE45" s="709"/>
      <c r="AF45" s="340"/>
      <c r="AG45" s="340"/>
      <c r="AH45" s="340"/>
      <c r="AI45" s="340"/>
      <c r="AJ45" s="340"/>
      <c r="AK45" s="340"/>
      <c r="AL45" s="340"/>
      <c r="AM45" s="340"/>
    </row>
    <row r="46" spans="1:39" ht="15.75">
      <c r="A46" s="340"/>
      <c r="B46" s="721"/>
      <c r="C46" s="719"/>
      <c r="D46" s="719"/>
      <c r="E46" s="719"/>
      <c r="F46" s="719"/>
      <c r="G46" s="719"/>
      <c r="H46" s="719"/>
      <c r="I46" s="719"/>
      <c r="J46" s="719"/>
      <c r="K46" s="708"/>
      <c r="L46" s="708"/>
      <c r="M46" s="708"/>
      <c r="N46" s="722"/>
      <c r="O46" s="693"/>
      <c r="P46" s="708"/>
      <c r="Q46" s="708"/>
      <c r="R46" s="708"/>
      <c r="S46" s="708"/>
      <c r="T46" s="693"/>
      <c r="U46" s="708"/>
      <c r="V46" s="708"/>
      <c r="W46" s="708"/>
      <c r="X46" s="708"/>
      <c r="Y46" s="708"/>
      <c r="Z46" s="708"/>
      <c r="AA46" s="708"/>
      <c r="AB46" s="708"/>
      <c r="AC46" s="708"/>
      <c r="AD46" s="708"/>
      <c r="AE46" s="709"/>
      <c r="AF46" s="340"/>
      <c r="AG46" s="340"/>
      <c r="AH46" s="340"/>
      <c r="AI46" s="340"/>
      <c r="AJ46" s="340"/>
      <c r="AK46" s="340"/>
      <c r="AL46" s="340"/>
      <c r="AM46" s="340"/>
    </row>
    <row r="47" spans="1:39" ht="15.75">
      <c r="A47" s="340"/>
      <c r="B47" s="691" t="s">
        <v>779</v>
      </c>
      <c r="C47" s="719"/>
      <c r="D47" s="719"/>
      <c r="E47" s="719"/>
      <c r="F47" s="719"/>
      <c r="G47" s="719"/>
      <c r="H47" s="719"/>
      <c r="I47" s="719"/>
      <c r="J47" s="719"/>
      <c r="K47" s="693">
        <f>K44/Fixed!F86</f>
        <v>159.19354838709677</v>
      </c>
      <c r="L47" s="693">
        <f>L44/Fixed!G86</f>
        <v>150.37878787878788</v>
      </c>
      <c r="M47" s="693">
        <f>M44/Fixed!H86</f>
        <v>156.73981191222572</v>
      </c>
      <c r="N47" s="693">
        <f>N44/Fixed!I86</f>
        <v>175.6390977443609</v>
      </c>
      <c r="O47" s="693">
        <f>O44/Fixed!J86</f>
        <v>228.18181818181819</v>
      </c>
      <c r="P47" s="693">
        <f>P44/Fixed!K86</f>
        <v>257.88359788359793</v>
      </c>
      <c r="Q47" s="693">
        <f>Q44/Fixed!L86</f>
        <v>253.62162162162161</v>
      </c>
      <c r="R47" s="693">
        <f>R44/Fixed!M86</f>
        <v>299.64182291666668</v>
      </c>
      <c r="S47" s="693">
        <f>S44/Fixed!N86</f>
        <v>339.48051948051949</v>
      </c>
      <c r="T47" s="693">
        <f>T44/Fixed!O86</f>
        <v>404.05</v>
      </c>
      <c r="U47" s="693">
        <f>U44/Fixed!P86</f>
        <v>466.67157991254754</v>
      </c>
      <c r="V47" s="693">
        <f>V44/Fixed!Q86</f>
        <v>588.85572139303474</v>
      </c>
      <c r="W47" s="693">
        <f>W44/Fixed!R86</f>
        <v>730.34404963338977</v>
      </c>
      <c r="X47" s="693">
        <f>X44/Fixed!S86</f>
        <v>642.25266921052344</v>
      </c>
      <c r="Y47" s="693">
        <f>Y44/Fixed!T86</f>
        <v>593.38103154389478</v>
      </c>
      <c r="Z47" s="693">
        <f>Z44/Fixed!U86</f>
        <v>569.83621975761071</v>
      </c>
      <c r="AA47" s="693">
        <f>AA44/Fixed!V86</f>
        <v>554.54596311432192</v>
      </c>
      <c r="AB47" s="693">
        <f>AB44/Fixed!W86</f>
        <v>582.58731236871199</v>
      </c>
      <c r="AC47" s="693">
        <f>AC44/Fixed!X86</f>
        <v>610.10077564262554</v>
      </c>
      <c r="AD47" s="693">
        <f>AD44/Fixed!Y86</f>
        <v>638.22692244484472</v>
      </c>
      <c r="AE47" s="709"/>
      <c r="AF47" s="340"/>
      <c r="AG47" s="340"/>
      <c r="AH47" s="340"/>
      <c r="AI47" s="340"/>
      <c r="AJ47" s="340"/>
      <c r="AK47" s="340"/>
      <c r="AL47" s="340"/>
      <c r="AM47" s="340"/>
    </row>
    <row r="48" spans="1:39" ht="15.75">
      <c r="A48" s="340"/>
      <c r="B48" s="721"/>
      <c r="C48" s="719"/>
      <c r="D48" s="719"/>
      <c r="E48" s="719"/>
      <c r="F48" s="719"/>
      <c r="G48" s="719"/>
      <c r="H48" s="719"/>
      <c r="I48" s="719"/>
      <c r="J48" s="719"/>
      <c r="K48" s="708"/>
      <c r="L48" s="708"/>
      <c r="M48" s="708"/>
      <c r="N48" s="722"/>
      <c r="O48" s="693"/>
      <c r="P48" s="708"/>
      <c r="Q48" s="701"/>
      <c r="R48" s="708"/>
      <c r="S48" s="708"/>
      <c r="T48" s="708"/>
      <c r="U48" s="708"/>
      <c r="V48" s="708"/>
      <c r="W48" s="708"/>
      <c r="X48" s="708"/>
      <c r="Y48" s="708"/>
      <c r="Z48" s="708"/>
      <c r="AA48" s="708"/>
      <c r="AB48" s="708"/>
      <c r="AC48" s="708"/>
      <c r="AD48" s="708"/>
      <c r="AE48" s="709"/>
      <c r="AF48" s="340"/>
      <c r="AG48" s="340"/>
      <c r="AH48" s="340"/>
      <c r="AI48" s="340"/>
      <c r="AJ48" s="340"/>
      <c r="AK48" s="340"/>
      <c r="AL48" s="340"/>
      <c r="AM48" s="340"/>
    </row>
    <row r="49" spans="1:39" ht="15.75">
      <c r="A49" s="340"/>
      <c r="B49" s="691" t="s">
        <v>24</v>
      </c>
      <c r="C49" s="719"/>
      <c r="D49" s="719"/>
      <c r="E49" s="719"/>
      <c r="F49" s="719"/>
      <c r="G49" s="719"/>
      <c r="H49" s="719"/>
      <c r="I49" s="719"/>
      <c r="J49" s="719"/>
      <c r="K49" s="719"/>
      <c r="L49" s="719"/>
      <c r="M49" s="719"/>
      <c r="N49" s="719"/>
      <c r="O49" s="719"/>
      <c r="P49" s="719"/>
      <c r="Q49" s="719"/>
      <c r="R49" s="719"/>
      <c r="S49" s="719"/>
      <c r="T49" s="719"/>
      <c r="U49" s="719"/>
      <c r="V49" s="719"/>
      <c r="W49" s="719"/>
      <c r="X49" s="719"/>
      <c r="Y49" s="719"/>
      <c r="Z49" s="719"/>
      <c r="AA49" s="719"/>
      <c r="AB49" s="719"/>
      <c r="AC49" s="719"/>
      <c r="AD49" s="719"/>
      <c r="AE49" s="340"/>
      <c r="AF49" s="340"/>
      <c r="AG49" s="340"/>
      <c r="AH49" s="340"/>
      <c r="AI49" s="340"/>
      <c r="AJ49" s="340"/>
      <c r="AK49" s="340"/>
      <c r="AL49" s="340"/>
      <c r="AM49" s="340"/>
    </row>
    <row r="50" spans="1:39" ht="15.75">
      <c r="A50" s="340"/>
      <c r="B50" s="692" t="s">
        <v>278</v>
      </c>
      <c r="C50" s="719"/>
      <c r="D50" s="719"/>
      <c r="E50" s="719"/>
      <c r="F50" s="719"/>
      <c r="G50" s="719"/>
      <c r="H50" s="719"/>
      <c r="I50" s="693">
        <f t="shared" ref="I50" si="79">I10-I42</f>
        <v>1452</v>
      </c>
      <c r="J50" s="693">
        <f t="shared" ref="J50:U50" si="80">J10-J42</f>
        <v>1565</v>
      </c>
      <c r="K50" s="693">
        <f t="shared" si="80"/>
        <v>1587</v>
      </c>
      <c r="L50" s="693">
        <f t="shared" si="80"/>
        <v>1792</v>
      </c>
      <c r="M50" s="693">
        <f t="shared" si="80"/>
        <v>2356</v>
      </c>
      <c r="N50" s="693">
        <f t="shared" si="80"/>
        <v>2511</v>
      </c>
      <c r="O50" s="693">
        <f t="shared" si="80"/>
        <v>2078</v>
      </c>
      <c r="P50" s="693">
        <f t="shared" si="80"/>
        <v>2041</v>
      </c>
      <c r="Q50" s="693">
        <f t="shared" si="80"/>
        <v>3023</v>
      </c>
      <c r="R50" s="693">
        <f t="shared" si="80"/>
        <v>3594</v>
      </c>
      <c r="S50" s="693">
        <f t="shared" si="80"/>
        <v>3626</v>
      </c>
      <c r="T50" s="693">
        <f t="shared" si="80"/>
        <v>2956</v>
      </c>
      <c r="U50" s="693">
        <f t="shared" si="80"/>
        <v>2649.4269999999997</v>
      </c>
      <c r="V50" s="693">
        <f>V10-V42</f>
        <v>933.01800000000003</v>
      </c>
      <c r="W50" s="693">
        <f>W10-W42</f>
        <v>370.99300000000039</v>
      </c>
      <c r="X50" s="693">
        <f>X10-X42</f>
        <v>4134.5371991546817</v>
      </c>
      <c r="Y50" s="693">
        <f>Y10-Y42</f>
        <v>6616.4801158187238</v>
      </c>
      <c r="Z50" s="693">
        <f t="shared" ref="Z50:AD50" si="81">Z10-Z42</f>
        <v>8640.5245983139594</v>
      </c>
      <c r="AA50" s="693">
        <f t="shared" si="81"/>
        <v>9953.5933323015615</v>
      </c>
      <c r="AB50" s="693">
        <f t="shared" si="81"/>
        <v>10444.827373889973</v>
      </c>
      <c r="AC50" s="693">
        <f t="shared" si="81"/>
        <v>10922.089516628052</v>
      </c>
      <c r="AD50" s="693">
        <f t="shared" si="81"/>
        <v>11406.958735792134</v>
      </c>
      <c r="AE50" s="340"/>
      <c r="AF50" s="340"/>
      <c r="AG50" s="340"/>
      <c r="AH50" s="340"/>
      <c r="AI50" s="340"/>
      <c r="AJ50" s="340"/>
      <c r="AK50" s="340"/>
      <c r="AL50" s="340"/>
      <c r="AM50" s="340"/>
    </row>
    <row r="51" spans="1:39" ht="15.75">
      <c r="A51" s="340"/>
      <c r="B51" s="694" t="s">
        <v>279</v>
      </c>
      <c r="C51" s="718"/>
      <c r="D51" s="718"/>
      <c r="E51" s="718"/>
      <c r="F51" s="718"/>
      <c r="G51" s="718"/>
      <c r="H51" s="718"/>
      <c r="I51" s="696">
        <f t="shared" ref="I51" si="82">I11-I43</f>
        <v>0</v>
      </c>
      <c r="J51" s="696">
        <f t="shared" ref="J51:Y51" si="83">J11-J43</f>
        <v>0</v>
      </c>
      <c r="K51" s="696">
        <f t="shared" si="83"/>
        <v>0</v>
      </c>
      <c r="L51" s="696">
        <f t="shared" si="83"/>
        <v>0</v>
      </c>
      <c r="M51" s="696">
        <f t="shared" si="83"/>
        <v>0</v>
      </c>
      <c r="N51" s="696">
        <f t="shared" si="83"/>
        <v>0</v>
      </c>
      <c r="O51" s="696">
        <f t="shared" si="83"/>
        <v>0</v>
      </c>
      <c r="P51" s="696">
        <f t="shared" si="83"/>
        <v>0</v>
      </c>
      <c r="Q51" s="696">
        <f t="shared" si="83"/>
        <v>0</v>
      </c>
      <c r="R51" s="696">
        <f t="shared" si="83"/>
        <v>0</v>
      </c>
      <c r="S51" s="696">
        <f t="shared" si="83"/>
        <v>0</v>
      </c>
      <c r="T51" s="696">
        <f t="shared" si="83"/>
        <v>0</v>
      </c>
      <c r="U51" s="696">
        <f t="shared" si="83"/>
        <v>0</v>
      </c>
      <c r="V51" s="696">
        <f t="shared" si="83"/>
        <v>0</v>
      </c>
      <c r="W51" s="696">
        <f t="shared" si="83"/>
        <v>0</v>
      </c>
      <c r="X51" s="696">
        <f t="shared" si="83"/>
        <v>0</v>
      </c>
      <c r="Y51" s="696">
        <f t="shared" si="83"/>
        <v>0</v>
      </c>
      <c r="Z51" s="696">
        <f t="shared" ref="Z51:AD51" si="84">Z11-Z43</f>
        <v>0</v>
      </c>
      <c r="AA51" s="696">
        <f t="shared" si="84"/>
        <v>0</v>
      </c>
      <c r="AB51" s="696">
        <f t="shared" si="84"/>
        <v>0</v>
      </c>
      <c r="AC51" s="696">
        <f t="shared" si="84"/>
        <v>0</v>
      </c>
      <c r="AD51" s="696">
        <f t="shared" si="84"/>
        <v>0</v>
      </c>
      <c r="AE51" s="340"/>
      <c r="AF51" s="340"/>
      <c r="AG51" s="340"/>
      <c r="AH51" s="340"/>
      <c r="AI51" s="340"/>
      <c r="AJ51" s="340"/>
      <c r="AK51" s="340"/>
      <c r="AL51" s="340"/>
      <c r="AM51" s="340"/>
    </row>
    <row r="52" spans="1:39" ht="15.75">
      <c r="A52" s="340"/>
      <c r="B52" s="692" t="s">
        <v>21</v>
      </c>
      <c r="C52" s="719"/>
      <c r="D52" s="719"/>
      <c r="E52" s="719"/>
      <c r="F52" s="719"/>
      <c r="G52" s="719"/>
      <c r="H52" s="719"/>
      <c r="I52" s="693">
        <f>I50+I51</f>
        <v>1452</v>
      </c>
      <c r="J52" s="693">
        <f>J50+J51</f>
        <v>1565</v>
      </c>
      <c r="K52" s="693">
        <f t="shared" ref="K52:U52" si="85">K12-K44</f>
        <v>1587</v>
      </c>
      <c r="L52" s="693">
        <f t="shared" si="85"/>
        <v>1792</v>
      </c>
      <c r="M52" s="693">
        <f t="shared" si="85"/>
        <v>2356</v>
      </c>
      <c r="N52" s="693">
        <f t="shared" si="85"/>
        <v>2511</v>
      </c>
      <c r="O52" s="693">
        <f t="shared" si="85"/>
        <v>2078</v>
      </c>
      <c r="P52" s="693">
        <f t="shared" si="85"/>
        <v>2041</v>
      </c>
      <c r="Q52" s="693">
        <f t="shared" si="85"/>
        <v>3023</v>
      </c>
      <c r="R52" s="693">
        <f t="shared" si="85"/>
        <v>3593.8770000000004</v>
      </c>
      <c r="S52" s="693">
        <f t="shared" si="85"/>
        <v>3626</v>
      </c>
      <c r="T52" s="693">
        <f t="shared" si="85"/>
        <v>2956</v>
      </c>
      <c r="U52" s="693">
        <f t="shared" si="85"/>
        <v>2649.4269999999997</v>
      </c>
      <c r="V52" s="693">
        <f>V12-V44</f>
        <v>933.01800000000003</v>
      </c>
      <c r="W52" s="693">
        <f>W12-W44</f>
        <v>370.99300000000039</v>
      </c>
      <c r="X52" s="693">
        <f>X12-X44</f>
        <v>4134.5371991546817</v>
      </c>
      <c r="Y52" s="693">
        <f>Y12-Y44</f>
        <v>6616.4801158187238</v>
      </c>
      <c r="Z52" s="693">
        <f t="shared" ref="Z52:AD52" si="86">Z12-Z44</f>
        <v>8640.5245983139594</v>
      </c>
      <c r="AA52" s="693">
        <f t="shared" si="86"/>
        <v>9953.5933323015615</v>
      </c>
      <c r="AB52" s="693">
        <f t="shared" si="86"/>
        <v>10444.827373889973</v>
      </c>
      <c r="AC52" s="693">
        <f t="shared" si="86"/>
        <v>10922.089516628052</v>
      </c>
      <c r="AD52" s="693">
        <f t="shared" si="86"/>
        <v>11406.958735792134</v>
      </c>
      <c r="AE52" s="456">
        <f t="shared" ref="AE52" si="87">U52/S52-1</f>
        <v>-0.26932515168229465</v>
      </c>
      <c r="AF52" s="340"/>
      <c r="AG52" s="340"/>
      <c r="AH52" s="340"/>
      <c r="AI52" s="340"/>
      <c r="AJ52" s="340"/>
      <c r="AK52" s="340"/>
      <c r="AL52" s="340"/>
      <c r="AM52" s="340"/>
    </row>
    <row r="53" spans="1:39" ht="15.75">
      <c r="A53" s="340"/>
      <c r="B53" s="692" t="s">
        <v>23</v>
      </c>
      <c r="C53" s="719"/>
      <c r="D53" s="719"/>
      <c r="E53" s="719"/>
      <c r="F53" s="719"/>
      <c r="G53" s="719"/>
      <c r="H53" s="719"/>
      <c r="I53" s="708">
        <f t="shared" ref="I53" si="88">I52/I7</f>
        <v>0.21058738216098621</v>
      </c>
      <c r="J53" s="708">
        <f t="shared" ref="J53:U53" si="89">J52/J7</f>
        <v>0.20841656678652284</v>
      </c>
      <c r="K53" s="708">
        <f t="shared" si="89"/>
        <v>0.19238695599466601</v>
      </c>
      <c r="L53" s="708">
        <f t="shared" si="89"/>
        <v>0.19962125431658684</v>
      </c>
      <c r="M53" s="708">
        <f t="shared" si="89"/>
        <v>0.23400874056416368</v>
      </c>
      <c r="N53" s="708">
        <f t="shared" si="89"/>
        <v>0.21882352941176469</v>
      </c>
      <c r="O53" s="708">
        <f t="shared" si="89"/>
        <v>0.14274919282819262</v>
      </c>
      <c r="P53" s="708">
        <f t="shared" si="89"/>
        <v>0.12036327180515421</v>
      </c>
      <c r="Q53" s="708">
        <f t="shared" si="89"/>
        <v>0.17487129056516457</v>
      </c>
      <c r="R53" s="708">
        <f t="shared" si="89"/>
        <v>0.18490826301708171</v>
      </c>
      <c r="S53" s="708">
        <f t="shared" si="89"/>
        <v>0.16783928902055176</v>
      </c>
      <c r="T53" s="708">
        <f t="shared" si="89"/>
        <v>0.13206451324666041</v>
      </c>
      <c r="U53" s="708">
        <f t="shared" si="89"/>
        <v>0.10755163595031256</v>
      </c>
      <c r="V53" s="708">
        <f>V52/V7</f>
        <v>3.4358274025332938E-2</v>
      </c>
      <c r="W53" s="708">
        <f>W52/W7</f>
        <v>1.2420029902372049E-2</v>
      </c>
      <c r="X53" s="708">
        <f>X52/X7</f>
        <v>0.12496431252884464</v>
      </c>
      <c r="Y53" s="708">
        <f>Y52/Y7</f>
        <v>0.18365487563887498</v>
      </c>
      <c r="Z53" s="708">
        <f t="shared" ref="Z53:AD53" si="90">Z52/Z7</f>
        <v>0.22298782317584034</v>
      </c>
      <c r="AA53" s="708">
        <f t="shared" si="90"/>
        <v>0.24284057893930927</v>
      </c>
      <c r="AB53" s="708">
        <f t="shared" si="90"/>
        <v>0.24255998603552539</v>
      </c>
      <c r="AC53" s="708">
        <f t="shared" si="90"/>
        <v>0.24220498039162666</v>
      </c>
      <c r="AD53" s="708">
        <f t="shared" si="90"/>
        <v>0.24180967034162951</v>
      </c>
      <c r="AE53" s="709"/>
      <c r="AF53" s="340"/>
      <c r="AG53" s="340"/>
      <c r="AH53" s="340"/>
      <c r="AI53" s="340"/>
      <c r="AJ53" s="340"/>
      <c r="AK53" s="340"/>
      <c r="AL53" s="340"/>
      <c r="AM53" s="340"/>
    </row>
    <row r="54" spans="1:39" ht="15.75">
      <c r="A54" s="340"/>
      <c r="B54" s="692"/>
      <c r="C54" s="723"/>
      <c r="D54" s="723"/>
      <c r="E54" s="723"/>
      <c r="F54" s="723"/>
      <c r="G54" s="723"/>
      <c r="H54" s="723"/>
      <c r="I54" s="723"/>
      <c r="J54" s="723"/>
      <c r="K54" s="723"/>
      <c r="L54" s="723"/>
      <c r="M54" s="723"/>
      <c r="N54" s="723"/>
      <c r="O54" s="723"/>
      <c r="P54" s="723"/>
      <c r="Q54" s="723"/>
      <c r="R54" s="701"/>
      <c r="S54" s="723"/>
      <c r="T54" s="723"/>
      <c r="U54" s="723"/>
      <c r="V54" s="723"/>
      <c r="W54" s="723"/>
      <c r="X54" s="723"/>
      <c r="Y54" s="723"/>
      <c r="Z54" s="723"/>
      <c r="AA54" s="723"/>
      <c r="AB54" s="723"/>
      <c r="AC54" s="723"/>
      <c r="AD54" s="723"/>
      <c r="AE54" s="340"/>
      <c r="AF54" s="340"/>
      <c r="AG54" s="340"/>
      <c r="AH54" s="340"/>
      <c r="AI54" s="340"/>
      <c r="AJ54" s="340"/>
      <c r="AK54" s="340"/>
      <c r="AL54" s="340"/>
      <c r="AM54" s="340"/>
    </row>
    <row r="55" spans="1:39" ht="15.75">
      <c r="A55" s="340"/>
      <c r="B55" s="692"/>
      <c r="C55" s="723"/>
      <c r="D55" s="723"/>
      <c r="E55" s="723"/>
      <c r="F55" s="723"/>
      <c r="G55" s="723"/>
      <c r="H55" s="723"/>
      <c r="I55" s="723"/>
      <c r="J55" s="723"/>
      <c r="K55" s="723"/>
      <c r="L55" s="723"/>
      <c r="M55" s="723"/>
      <c r="N55" s="723"/>
      <c r="O55" s="723"/>
      <c r="P55" s="723"/>
      <c r="Q55" s="723"/>
      <c r="R55" s="701"/>
      <c r="S55" s="723"/>
      <c r="T55" s="723"/>
      <c r="U55" s="723"/>
      <c r="V55" s="723"/>
      <c r="W55" s="723"/>
      <c r="X55" s="723"/>
      <c r="Y55" s="723"/>
      <c r="Z55" s="723"/>
      <c r="AA55" s="723"/>
      <c r="AB55" s="723"/>
      <c r="AC55" s="723"/>
      <c r="AD55" s="723"/>
      <c r="AE55" s="340"/>
      <c r="AF55" s="340"/>
      <c r="AG55" s="340"/>
      <c r="AH55" s="340"/>
      <c r="AI55" s="340"/>
      <c r="AJ55" s="340"/>
      <c r="AK55" s="340"/>
      <c r="AL55" s="340"/>
      <c r="AM55" s="340"/>
    </row>
    <row r="56" spans="1:39" ht="15.75">
      <c r="A56" s="340"/>
      <c r="B56" s="692"/>
      <c r="C56" s="723"/>
      <c r="D56" s="723"/>
      <c r="E56" s="723"/>
      <c r="F56" s="723"/>
      <c r="G56" s="723"/>
      <c r="H56" s="723"/>
      <c r="I56" s="723"/>
      <c r="J56" s="723"/>
      <c r="K56" s="723"/>
      <c r="L56" s="723"/>
      <c r="M56" s="723"/>
      <c r="N56" s="723"/>
      <c r="O56" s="723"/>
      <c r="P56" s="723"/>
      <c r="Q56" s="723"/>
      <c r="R56" s="701"/>
      <c r="S56" s="723"/>
      <c r="T56" s="723"/>
      <c r="U56" s="723"/>
      <c r="V56" s="723"/>
      <c r="W56" s="723"/>
      <c r="X56" s="723"/>
      <c r="Y56" s="723"/>
      <c r="Z56" s="723"/>
      <c r="AA56" s="723"/>
      <c r="AB56" s="723"/>
      <c r="AC56" s="723"/>
      <c r="AD56" s="723"/>
      <c r="AE56" s="340"/>
      <c r="AF56" s="340"/>
      <c r="AG56" s="340"/>
      <c r="AH56" s="340"/>
      <c r="AI56" s="340"/>
      <c r="AJ56" s="340"/>
      <c r="AK56" s="340"/>
      <c r="AL56" s="340"/>
      <c r="AM56" s="340"/>
    </row>
    <row r="57" spans="1:39" ht="15.75">
      <c r="A57" s="340"/>
      <c r="B57" s="689" t="s">
        <v>25</v>
      </c>
      <c r="C57" s="689">
        <v>2003</v>
      </c>
      <c r="D57" s="689">
        <f t="shared" ref="D57:T57" si="91">C57+1</f>
        <v>2004</v>
      </c>
      <c r="E57" s="689">
        <f t="shared" si="91"/>
        <v>2005</v>
      </c>
      <c r="F57" s="689">
        <f t="shared" si="91"/>
        <v>2006</v>
      </c>
      <c r="G57" s="689">
        <f t="shared" si="91"/>
        <v>2007</v>
      </c>
      <c r="H57" s="689">
        <f t="shared" si="91"/>
        <v>2008</v>
      </c>
      <c r="I57" s="689">
        <f t="shared" si="91"/>
        <v>2009</v>
      </c>
      <c r="J57" s="689">
        <f t="shared" si="91"/>
        <v>2010</v>
      </c>
      <c r="K57" s="689">
        <f t="shared" si="91"/>
        <v>2011</v>
      </c>
      <c r="L57" s="689">
        <f t="shared" si="91"/>
        <v>2012</v>
      </c>
      <c r="M57" s="689">
        <f t="shared" si="91"/>
        <v>2013</v>
      </c>
      <c r="N57" s="689">
        <f t="shared" si="91"/>
        <v>2014</v>
      </c>
      <c r="O57" s="689">
        <f t="shared" si="91"/>
        <v>2015</v>
      </c>
      <c r="P57" s="689">
        <f t="shared" si="91"/>
        <v>2016</v>
      </c>
      <c r="Q57" s="689">
        <f t="shared" si="91"/>
        <v>2017</v>
      </c>
      <c r="R57" s="689">
        <f t="shared" si="91"/>
        <v>2018</v>
      </c>
      <c r="S57" s="689">
        <f t="shared" si="91"/>
        <v>2019</v>
      </c>
      <c r="T57" s="689">
        <f t="shared" si="91"/>
        <v>2020</v>
      </c>
      <c r="U57" s="689">
        <f t="shared" ref="U57" si="92">T57+1</f>
        <v>2021</v>
      </c>
      <c r="V57" s="689">
        <f t="shared" ref="V57" si="93">U57+1</f>
        <v>2022</v>
      </c>
      <c r="W57" s="689">
        <f t="shared" ref="W57" si="94">V57+1</f>
        <v>2023</v>
      </c>
      <c r="X57" s="689">
        <f t="shared" ref="X57" si="95">W57+1</f>
        <v>2024</v>
      </c>
      <c r="Y57" s="689">
        <f t="shared" ref="Y57" si="96">X57+1</f>
        <v>2025</v>
      </c>
      <c r="Z57" s="689">
        <f t="shared" ref="Z57" si="97">Y57+1</f>
        <v>2026</v>
      </c>
      <c r="AA57" s="689">
        <f t="shared" ref="AA57" si="98">Z57+1</f>
        <v>2027</v>
      </c>
      <c r="AB57" s="689">
        <f t="shared" ref="AB57" si="99">AA57+1</f>
        <v>2028</v>
      </c>
      <c r="AC57" s="689">
        <f t="shared" ref="AC57" si="100">AB57+1</f>
        <v>2029</v>
      </c>
      <c r="AD57" s="689">
        <f t="shared" ref="AD57" si="101">AC57+1</f>
        <v>2030</v>
      </c>
      <c r="AE57" s="340"/>
      <c r="AF57" s="340"/>
      <c r="AG57" s="340"/>
      <c r="AH57" s="340"/>
      <c r="AI57" s="340"/>
      <c r="AJ57" s="340"/>
      <c r="AK57" s="340"/>
      <c r="AL57" s="340"/>
      <c r="AM57" s="340"/>
    </row>
    <row r="58" spans="1:39" ht="15.75">
      <c r="A58" s="340"/>
      <c r="B58" s="692"/>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691"/>
      <c r="AC58" s="691"/>
      <c r="AD58" s="691"/>
      <c r="AE58" s="340"/>
      <c r="AF58" s="340"/>
      <c r="AG58" s="340"/>
      <c r="AH58" s="340"/>
      <c r="AI58" s="340"/>
      <c r="AJ58" s="340"/>
      <c r="AK58" s="340"/>
      <c r="AL58" s="340"/>
      <c r="AM58" s="340"/>
    </row>
    <row r="59" spans="1:39" ht="15.75">
      <c r="A59" s="340"/>
      <c r="B59" s="692" t="s">
        <v>26</v>
      </c>
      <c r="C59" s="693"/>
      <c r="D59" s="693"/>
      <c r="E59" s="693"/>
      <c r="F59" s="693"/>
      <c r="G59" s="693"/>
      <c r="H59" s="693"/>
      <c r="I59" s="693"/>
      <c r="J59" s="693"/>
      <c r="K59" s="693"/>
      <c r="L59" s="693">
        <f t="shared" ref="L59:R59" si="102">L188</f>
        <v>2493</v>
      </c>
      <c r="M59" s="693">
        <f t="shared" si="102"/>
        <v>2606.6999999999998</v>
      </c>
      <c r="N59" s="693">
        <f t="shared" si="102"/>
        <v>3998</v>
      </c>
      <c r="O59" s="693">
        <f t="shared" si="102"/>
        <v>2803</v>
      </c>
      <c r="P59" s="693">
        <f>P188</f>
        <v>1154</v>
      </c>
      <c r="Q59" s="693">
        <f t="shared" si="102"/>
        <v>3117</v>
      </c>
      <c r="R59" s="693">
        <f t="shared" si="102"/>
        <v>3331</v>
      </c>
      <c r="S59" s="693">
        <f t="shared" ref="S59:T59" si="103">S188</f>
        <v>2205</v>
      </c>
      <c r="T59" s="693">
        <f t="shared" si="103"/>
        <v>4259</v>
      </c>
      <c r="U59" s="693">
        <f>U188</f>
        <v>3703.43</v>
      </c>
      <c r="V59" s="693">
        <f>V188</f>
        <v>1384.0360000000001</v>
      </c>
      <c r="W59" s="693">
        <f>W188</f>
        <v>1578.318</v>
      </c>
      <c r="X59" s="693">
        <f ca="1">X188</f>
        <v>1818.6363468800009</v>
      </c>
      <c r="Y59" s="693">
        <f ca="1">Y188</f>
        <v>1818.6215978994878</v>
      </c>
      <c r="Z59" s="693">
        <f t="shared" ref="Z59:AD59" ca="1" si="104">Z188</f>
        <v>3187.4547040416946</v>
      </c>
      <c r="AA59" s="693">
        <f t="shared" ca="1" si="104"/>
        <v>5468.081167822329</v>
      </c>
      <c r="AB59" s="693">
        <f t="shared" ca="1" si="104"/>
        <v>7827.1841519169502</v>
      </c>
      <c r="AC59" s="693">
        <f t="shared" ca="1" si="104"/>
        <v>10160.37031519889</v>
      </c>
      <c r="AD59" s="693">
        <f t="shared" ca="1" si="104"/>
        <v>12298.278151463521</v>
      </c>
      <c r="AE59" s="340"/>
      <c r="AF59" s="340"/>
      <c r="AG59" s="340"/>
      <c r="AH59" s="340"/>
      <c r="AI59" s="340"/>
      <c r="AJ59" s="340"/>
      <c r="AK59" s="340"/>
      <c r="AL59" s="340"/>
      <c r="AM59" s="340"/>
    </row>
    <row r="60" spans="1:39" ht="15.75">
      <c r="A60" s="340"/>
      <c r="B60" s="692" t="s">
        <v>27</v>
      </c>
      <c r="C60" s="693"/>
      <c r="D60" s="693"/>
      <c r="E60" s="693"/>
      <c r="F60" s="693"/>
      <c r="G60" s="693"/>
      <c r="H60" s="693"/>
      <c r="I60" s="693"/>
      <c r="J60" s="693"/>
      <c r="K60" s="693"/>
      <c r="L60" s="693">
        <f t="shared" ref="L60:R60" si="105">L197</f>
        <v>0</v>
      </c>
      <c r="M60" s="693">
        <f t="shared" si="105"/>
        <v>0</v>
      </c>
      <c r="N60" s="693">
        <f t="shared" si="105"/>
        <v>0</v>
      </c>
      <c r="O60" s="693">
        <f t="shared" si="105"/>
        <v>0</v>
      </c>
      <c r="P60" s="693">
        <f>P197</f>
        <v>0</v>
      </c>
      <c r="Q60" s="693">
        <f t="shared" si="105"/>
        <v>0</v>
      </c>
      <c r="R60" s="693">
        <f t="shared" si="105"/>
        <v>0</v>
      </c>
      <c r="S60" s="693">
        <f t="shared" ref="S60:T60" si="106">S197</f>
        <v>0</v>
      </c>
      <c r="T60" s="693">
        <f t="shared" si="106"/>
        <v>0</v>
      </c>
      <c r="U60" s="693">
        <f t="shared" ref="U60:W60" si="107">U197</f>
        <v>430.80900000000003</v>
      </c>
      <c r="V60" s="693">
        <f t="shared" si="107"/>
        <v>651.93600000000004</v>
      </c>
      <c r="W60" s="693">
        <f t="shared" si="107"/>
        <v>773.82899999999995</v>
      </c>
      <c r="X60" s="693">
        <f>X197</f>
        <v>651.93600000000004</v>
      </c>
      <c r="Y60" s="693">
        <f>Y197</f>
        <v>717.1159037419784</v>
      </c>
      <c r="Z60" s="693">
        <f t="shared" ref="Z60:AD60" si="108">Z197</f>
        <v>794.30478651776718</v>
      </c>
      <c r="AA60" s="693">
        <f t="shared" si="108"/>
        <v>864.90982298494328</v>
      </c>
      <c r="AB60" s="693">
        <f t="shared" si="108"/>
        <v>930.26191922592068</v>
      </c>
      <c r="AC60" s="693">
        <f t="shared" si="108"/>
        <v>984.02223927252282</v>
      </c>
      <c r="AD60" s="693">
        <f t="shared" si="108"/>
        <v>1033.7806238265537</v>
      </c>
      <c r="AE60" s="340"/>
      <c r="AF60" s="340"/>
      <c r="AG60" s="340"/>
      <c r="AH60" s="340"/>
      <c r="AI60" s="340"/>
      <c r="AJ60" s="340"/>
      <c r="AK60" s="340"/>
      <c r="AL60" s="340"/>
      <c r="AM60" s="340"/>
    </row>
    <row r="61" spans="1:39" ht="15.75">
      <c r="A61" s="340"/>
      <c r="B61" s="692" t="s">
        <v>28</v>
      </c>
      <c r="C61" s="693"/>
      <c r="D61" s="693"/>
      <c r="E61" s="693"/>
      <c r="F61" s="693"/>
      <c r="G61" s="693"/>
      <c r="H61" s="693"/>
      <c r="I61" s="693"/>
      <c r="J61" s="693"/>
      <c r="K61" s="693"/>
      <c r="L61" s="693">
        <f t="shared" ref="L61:R61" si="109">L200</f>
        <v>48</v>
      </c>
      <c r="M61" s="693">
        <f t="shared" si="109"/>
        <v>890</v>
      </c>
      <c r="N61" s="693">
        <f t="shared" si="109"/>
        <v>860</v>
      </c>
      <c r="O61" s="693">
        <f>O200</f>
        <v>1714</v>
      </c>
      <c r="P61" s="693">
        <f>P200</f>
        <v>2309</v>
      </c>
      <c r="Q61" s="693">
        <f t="shared" si="109"/>
        <v>1551</v>
      </c>
      <c r="R61" s="693">
        <f t="shared" si="109"/>
        <v>1949</v>
      </c>
      <c r="S61" s="693">
        <f t="shared" ref="S61:T61" si="110">S200</f>
        <v>1995</v>
      </c>
      <c r="T61" s="693">
        <f t="shared" si="110"/>
        <v>3650</v>
      </c>
      <c r="U61" s="693">
        <f t="shared" ref="U61:W61" si="111">U200</f>
        <v>3277</v>
      </c>
      <c r="V61" s="693">
        <f t="shared" si="111"/>
        <v>3588.6289999999999</v>
      </c>
      <c r="W61" s="693">
        <f t="shared" si="111"/>
        <v>3207.0709999999999</v>
      </c>
      <c r="X61" s="693">
        <f>X200</f>
        <v>2915.5747746577395</v>
      </c>
      <c r="Y61" s="693">
        <f>Y200</f>
        <v>3207.0709999999999</v>
      </c>
      <c r="Z61" s="693">
        <f t="shared" ref="Z61:AD61" si="112">Z200</f>
        <v>3552.2735344590619</v>
      </c>
      <c r="AA61" s="693">
        <f t="shared" si="112"/>
        <v>3868.0319268280805</v>
      </c>
      <c r="AB61" s="693">
        <f t="shared" si="112"/>
        <v>4160.2982279238913</v>
      </c>
      <c r="AC61" s="693">
        <f t="shared" si="112"/>
        <v>4400.7240258632601</v>
      </c>
      <c r="AD61" s="693">
        <f t="shared" si="112"/>
        <v>4623.2524501770758</v>
      </c>
      <c r="AE61" s="340"/>
      <c r="AF61" s="340"/>
      <c r="AG61" s="340"/>
      <c r="AH61" s="340"/>
      <c r="AI61" s="340"/>
      <c r="AJ61" s="340"/>
      <c r="AK61" s="340"/>
      <c r="AL61" s="340"/>
      <c r="AM61" s="340"/>
    </row>
    <row r="62" spans="1:39" ht="15.75">
      <c r="A62" s="340"/>
      <c r="B62" s="692" t="s">
        <v>240</v>
      </c>
      <c r="C62" s="696"/>
      <c r="D62" s="696"/>
      <c r="E62" s="696"/>
      <c r="F62" s="696"/>
      <c r="G62" s="696"/>
      <c r="H62" s="696"/>
      <c r="I62" s="696"/>
      <c r="J62" s="696"/>
      <c r="K62" s="696"/>
      <c r="L62" s="696">
        <f t="shared" ref="L62:R62" si="113">L203</f>
        <v>895</v>
      </c>
      <c r="M62" s="696">
        <f t="shared" si="113"/>
        <v>422.30000000000018</v>
      </c>
      <c r="N62" s="696">
        <f t="shared" si="113"/>
        <v>709</v>
      </c>
      <c r="O62" s="696">
        <f>O203</f>
        <v>1548</v>
      </c>
      <c r="P62" s="696">
        <f>P203</f>
        <v>1632</v>
      </c>
      <c r="Q62" s="696">
        <f t="shared" si="113"/>
        <v>1318</v>
      </c>
      <c r="R62" s="696">
        <f t="shared" si="113"/>
        <v>895</v>
      </c>
      <c r="S62" s="696">
        <f t="shared" ref="S62:T62" si="114">S203</f>
        <v>1465</v>
      </c>
      <c r="T62" s="696">
        <f t="shared" si="114"/>
        <v>1197</v>
      </c>
      <c r="U62" s="696">
        <f t="shared" ref="U62:W62" si="115">U203</f>
        <v>1260.7609999999995</v>
      </c>
      <c r="V62" s="696">
        <f t="shared" si="115"/>
        <v>1671.501</v>
      </c>
      <c r="W62" s="696">
        <f t="shared" si="115"/>
        <v>1721.8869999999999</v>
      </c>
      <c r="X62" s="696">
        <f>X203</f>
        <v>1565.3817149701679</v>
      </c>
      <c r="Y62" s="696">
        <f>Y203</f>
        <v>1721.8869999999999</v>
      </c>
      <c r="Z62" s="696">
        <f t="shared" ref="Z62:AD62" si="116">Z203</f>
        <v>1907.2273795713006</v>
      </c>
      <c r="AA62" s="696">
        <f t="shared" si="116"/>
        <v>2076.7591021184821</v>
      </c>
      <c r="AB62" s="696">
        <f t="shared" si="116"/>
        <v>2233.6778433608688</v>
      </c>
      <c r="AC62" s="696">
        <f t="shared" si="116"/>
        <v>2362.7632474371821</v>
      </c>
      <c r="AD62" s="696">
        <f t="shared" si="116"/>
        <v>2482.2394925706521</v>
      </c>
      <c r="AE62" s="340"/>
      <c r="AF62" s="340"/>
      <c r="AG62" s="340"/>
      <c r="AH62" s="340"/>
      <c r="AI62" s="340"/>
      <c r="AJ62" s="340"/>
      <c r="AK62" s="340"/>
      <c r="AL62" s="340"/>
      <c r="AM62" s="340"/>
    </row>
    <row r="63" spans="1:39" ht="15.75">
      <c r="A63" s="340"/>
      <c r="B63" s="692" t="s">
        <v>29</v>
      </c>
      <c r="C63" s="693"/>
      <c r="D63" s="693"/>
      <c r="E63" s="693"/>
      <c r="F63" s="693"/>
      <c r="G63" s="693"/>
      <c r="H63" s="693"/>
      <c r="I63" s="693"/>
      <c r="J63" s="693"/>
      <c r="K63" s="693"/>
      <c r="L63" s="693">
        <f t="shared" ref="L63:R63" si="117">SUM(L59:L62)</f>
        <v>3436</v>
      </c>
      <c r="M63" s="693">
        <f t="shared" si="117"/>
        <v>3919</v>
      </c>
      <c r="N63" s="693">
        <f t="shared" si="117"/>
        <v>5567</v>
      </c>
      <c r="O63" s="693">
        <f>SUM(O59:O62)</f>
        <v>6065</v>
      </c>
      <c r="P63" s="693">
        <f>SUM(P59:P62)</f>
        <v>5095</v>
      </c>
      <c r="Q63" s="693">
        <f t="shared" si="117"/>
        <v>5986</v>
      </c>
      <c r="R63" s="693">
        <f t="shared" si="117"/>
        <v>6175</v>
      </c>
      <c r="S63" s="693">
        <f t="shared" ref="S63:T63" si="118">SUM(S59:S62)</f>
        <v>5665</v>
      </c>
      <c r="T63" s="693">
        <f t="shared" si="118"/>
        <v>9106</v>
      </c>
      <c r="U63" s="693">
        <f>SUM(U59:U62)</f>
        <v>8672</v>
      </c>
      <c r="V63" s="693">
        <f>SUM(V59:V62)</f>
        <v>7296.1020000000008</v>
      </c>
      <c r="W63" s="693">
        <f>SUM(W59:W62)</f>
        <v>7281.1049999999996</v>
      </c>
      <c r="X63" s="693">
        <f ca="1">SUM(X59:X62)</f>
        <v>6951.5288365079086</v>
      </c>
      <c r="Y63" s="693">
        <f ca="1">SUM(Y59:Y62)</f>
        <v>7464.6955016414659</v>
      </c>
      <c r="Z63" s="693">
        <f t="shared" ref="Z63:AD63" ca="1" si="119">SUM(Z59:Z62)</f>
        <v>9441.2604045898242</v>
      </c>
      <c r="AA63" s="693">
        <f t="shared" ca="1" si="119"/>
        <v>12277.782019753835</v>
      </c>
      <c r="AB63" s="693">
        <f t="shared" ca="1" si="119"/>
        <v>15151.422142427631</v>
      </c>
      <c r="AC63" s="693">
        <f t="shared" ca="1" si="119"/>
        <v>17907.879827771856</v>
      </c>
      <c r="AD63" s="693">
        <f t="shared" ca="1" si="119"/>
        <v>20437.550718037804</v>
      </c>
      <c r="AE63" s="340"/>
      <c r="AF63" s="340"/>
      <c r="AG63" s="340"/>
      <c r="AH63" s="340"/>
      <c r="AI63" s="340"/>
      <c r="AJ63" s="340"/>
      <c r="AK63" s="340"/>
      <c r="AL63" s="340"/>
      <c r="AM63" s="340"/>
    </row>
    <row r="64" spans="1:39" ht="15.75">
      <c r="A64" s="340"/>
      <c r="B64" s="692"/>
      <c r="C64" s="691"/>
      <c r="D64" s="691"/>
      <c r="E64" s="697"/>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340"/>
      <c r="AF64" s="340"/>
      <c r="AG64" s="340"/>
      <c r="AH64" s="340"/>
      <c r="AI64" s="340"/>
      <c r="AJ64" s="340"/>
      <c r="AK64" s="340"/>
      <c r="AL64" s="340"/>
      <c r="AM64" s="340"/>
    </row>
    <row r="65" spans="1:39" ht="15.75">
      <c r="A65" s="340"/>
      <c r="B65" s="692" t="s">
        <v>30</v>
      </c>
      <c r="C65" s="693"/>
      <c r="D65" s="693"/>
      <c r="E65" s="693"/>
      <c r="F65" s="693"/>
      <c r="G65" s="693"/>
      <c r="H65" s="693"/>
      <c r="I65" s="693"/>
      <c r="J65" s="693"/>
      <c r="K65" s="693"/>
      <c r="L65" s="693">
        <f t="shared" ref="L65:R65" si="120">L118</f>
        <v>11571</v>
      </c>
      <c r="M65" s="693">
        <f t="shared" si="120"/>
        <v>12486</v>
      </c>
      <c r="N65" s="693">
        <f t="shared" si="120"/>
        <v>14321</v>
      </c>
      <c r="O65" s="693">
        <f>O118</f>
        <v>17658</v>
      </c>
      <c r="P65" s="693">
        <f>P118</f>
        <v>21522</v>
      </c>
      <c r="Q65" s="693">
        <f t="shared" si="120"/>
        <v>24385</v>
      </c>
      <c r="R65" s="693">
        <f t="shared" si="120"/>
        <v>26890</v>
      </c>
      <c r="S65" s="693">
        <f t="shared" ref="S65:T65" si="121">S118</f>
        <v>30623</v>
      </c>
      <c r="T65" s="693">
        <f t="shared" si="121"/>
        <v>33804</v>
      </c>
      <c r="U65" s="693">
        <f t="shared" ref="U65" si="122">U118</f>
        <v>39071.879999999997</v>
      </c>
      <c r="V65" s="693">
        <f>V118</f>
        <v>46236.025999999998</v>
      </c>
      <c r="W65" s="693">
        <f>W118</f>
        <v>53407.135000000002</v>
      </c>
      <c r="X65" s="693">
        <f ca="1">X118</f>
        <v>53492.45112457627</v>
      </c>
      <c r="Y65" s="693">
        <f ca="1">Y118</f>
        <v>55399.509555104902</v>
      </c>
      <c r="Z65" s="693">
        <f t="shared" ref="Z65:AD65" ca="1" si="123">Z118</f>
        <v>56612.903653356101</v>
      </c>
      <c r="AA65" s="693">
        <f t="shared" ca="1" si="123"/>
        <v>57380.545989868668</v>
      </c>
      <c r="AB65" s="693">
        <f t="shared" ca="1" si="123"/>
        <v>58508.225546665373</v>
      </c>
      <c r="AC65" s="693">
        <f t="shared" ca="1" si="123"/>
        <v>59931.197880757434</v>
      </c>
      <c r="AD65" s="693">
        <f t="shared" ca="1" si="123"/>
        <v>61614.146620950618</v>
      </c>
      <c r="AE65" s="340"/>
      <c r="AF65" s="340"/>
      <c r="AG65" s="340"/>
      <c r="AH65" s="340"/>
      <c r="AI65" s="340"/>
      <c r="AJ65" s="340"/>
      <c r="AK65" s="340"/>
      <c r="AL65" s="340"/>
      <c r="AM65" s="340"/>
    </row>
    <row r="66" spans="1:39" ht="15.75">
      <c r="A66" s="340"/>
      <c r="B66" s="692" t="s">
        <v>31</v>
      </c>
      <c r="C66" s="693"/>
      <c r="D66" s="693"/>
      <c r="E66" s="693"/>
      <c r="F66" s="693"/>
      <c r="G66" s="693"/>
      <c r="H66" s="693"/>
      <c r="I66" s="693"/>
      <c r="J66" s="693"/>
      <c r="K66" s="693"/>
      <c r="L66" s="693">
        <f t="shared" ref="L66:R66" si="124">L139+L146</f>
        <v>4726</v>
      </c>
      <c r="M66" s="693">
        <f t="shared" si="124"/>
        <v>4677</v>
      </c>
      <c r="N66" s="693">
        <f t="shared" si="124"/>
        <v>4552.0596881959909</v>
      </c>
      <c r="O66" s="693">
        <f>O139+O146</f>
        <v>4762.2678865680227</v>
      </c>
      <c r="P66" s="693">
        <f>P139+P146</f>
        <v>4378</v>
      </c>
      <c r="Q66" s="693">
        <f t="shared" si="124"/>
        <v>4378</v>
      </c>
      <c r="R66" s="693">
        <f t="shared" si="124"/>
        <v>4454.7997321671892</v>
      </c>
      <c r="S66" s="693">
        <f t="shared" ref="S66:T66" si="125">S139+S146</f>
        <v>4458.3277269033379</v>
      </c>
      <c r="T66" s="693">
        <f t="shared" si="125"/>
        <v>4411.8127848212271</v>
      </c>
      <c r="U66" s="693">
        <f t="shared" ref="U66:Y66" si="126">U139+U146</f>
        <v>4427.8680000000004</v>
      </c>
      <c r="V66" s="693">
        <f t="shared" si="126"/>
        <v>4428.4660000000003</v>
      </c>
      <c r="W66" s="693">
        <f t="shared" si="126"/>
        <v>4415.6187200000004</v>
      </c>
      <c r="X66" s="693">
        <f t="shared" si="126"/>
        <v>4427.7717136000001</v>
      </c>
      <c r="Y66" s="693">
        <f t="shared" si="126"/>
        <v>4427.7463943679995</v>
      </c>
      <c r="Z66" s="693">
        <f t="shared" ref="Z66:AD66" si="127">Z139+Z146</f>
        <v>4427.7494326758406</v>
      </c>
      <c r="AA66" s="693">
        <f t="shared" si="127"/>
        <v>4427.7490680788997</v>
      </c>
      <c r="AB66" s="693">
        <f t="shared" si="127"/>
        <v>4427.7491118305315</v>
      </c>
      <c r="AC66" s="693">
        <f t="shared" si="127"/>
        <v>4427.749106580336</v>
      </c>
      <c r="AD66" s="693">
        <f t="shared" si="127"/>
        <v>4427.7491072103603</v>
      </c>
      <c r="AE66" s="340"/>
      <c r="AF66" s="340"/>
      <c r="AG66" s="340"/>
      <c r="AH66" s="340"/>
      <c r="AI66" s="340"/>
      <c r="AJ66" s="340"/>
      <c r="AK66" s="340"/>
      <c r="AL66" s="340"/>
      <c r="AM66" s="340"/>
    </row>
    <row r="67" spans="1:39" ht="15.75">
      <c r="A67" s="340"/>
      <c r="B67" s="692" t="s">
        <v>32</v>
      </c>
      <c r="C67" s="693"/>
      <c r="D67" s="693"/>
      <c r="E67" s="693"/>
      <c r="F67" s="693"/>
      <c r="G67" s="693"/>
      <c r="H67" s="693"/>
      <c r="I67" s="693"/>
      <c r="J67" s="693"/>
      <c r="K67" s="693"/>
      <c r="L67" s="693">
        <f t="shared" ref="L67:R67" si="128">L190</f>
        <v>925</v>
      </c>
      <c r="M67" s="693">
        <f t="shared" si="128"/>
        <v>1013</v>
      </c>
      <c r="N67" s="693">
        <f t="shared" si="128"/>
        <v>804.94031180400907</v>
      </c>
      <c r="O67" s="693">
        <f>O190</f>
        <v>844.73211343197727</v>
      </c>
      <c r="P67" s="693">
        <f>P190</f>
        <v>1668</v>
      </c>
      <c r="Q67" s="693">
        <f t="shared" si="128"/>
        <v>1706</v>
      </c>
      <c r="R67" s="693">
        <f t="shared" si="128"/>
        <v>1888.2002678328108</v>
      </c>
      <c r="S67" s="693">
        <f t="shared" ref="S67:T67" si="129">S190</f>
        <v>2561.6722730966621</v>
      </c>
      <c r="T67" s="693">
        <f t="shared" si="129"/>
        <v>2508.1872151787729</v>
      </c>
      <c r="U67" s="693">
        <f>U190</f>
        <v>2033.4720000000034</v>
      </c>
      <c r="V67" s="693">
        <f>V190</f>
        <v>2171.9630000000034</v>
      </c>
      <c r="W67" s="693">
        <f>W190</f>
        <v>3301.3932800000021</v>
      </c>
      <c r="X67" s="693">
        <f ca="1">X190</f>
        <v>3301.3932800000021</v>
      </c>
      <c r="Y67" s="693">
        <f ca="1">Y190</f>
        <v>3301.3932800000021</v>
      </c>
      <c r="Z67" s="693">
        <f t="shared" ref="Z67:AD67" ca="1" si="130">Z190</f>
        <v>3301.3932800000021</v>
      </c>
      <c r="AA67" s="693">
        <f t="shared" ca="1" si="130"/>
        <v>3301.3932800000021</v>
      </c>
      <c r="AB67" s="693">
        <f t="shared" ca="1" si="130"/>
        <v>3301.3932800000021</v>
      </c>
      <c r="AC67" s="693">
        <f t="shared" ca="1" si="130"/>
        <v>3301.3932800000016</v>
      </c>
      <c r="AD67" s="693">
        <f t="shared" ca="1" si="130"/>
        <v>3301.3932800000002</v>
      </c>
      <c r="AE67" s="340"/>
      <c r="AF67" s="340"/>
      <c r="AG67" s="340"/>
      <c r="AH67" s="340"/>
      <c r="AI67" s="340"/>
      <c r="AJ67" s="340"/>
      <c r="AK67" s="340"/>
      <c r="AL67" s="340"/>
      <c r="AM67" s="340"/>
    </row>
    <row r="68" spans="1:39" ht="15.75">
      <c r="A68" s="340"/>
      <c r="B68" s="692"/>
      <c r="C68" s="691"/>
      <c r="D68" s="691"/>
      <c r="E68" s="697"/>
      <c r="F68" s="691"/>
      <c r="G68" s="691"/>
      <c r="H68" s="691"/>
      <c r="I68" s="691"/>
      <c r="J68" s="691"/>
      <c r="K68" s="691"/>
      <c r="L68" s="691"/>
      <c r="M68" s="691"/>
      <c r="N68" s="691"/>
      <c r="O68" s="691"/>
      <c r="P68" s="691"/>
      <c r="Q68" s="691"/>
      <c r="R68" s="691"/>
      <c r="S68" s="691"/>
      <c r="T68" s="691"/>
      <c r="U68" s="691"/>
      <c r="V68" s="691"/>
      <c r="W68" s="691"/>
      <c r="X68" s="691"/>
      <c r="Y68" s="691"/>
      <c r="Z68" s="691"/>
      <c r="AA68" s="691"/>
      <c r="AB68" s="691"/>
      <c r="AC68" s="691"/>
      <c r="AD68" s="691"/>
      <c r="AE68" s="340"/>
      <c r="AF68" s="340"/>
      <c r="AG68" s="340"/>
      <c r="AH68" s="340"/>
      <c r="AI68" s="340"/>
      <c r="AJ68" s="340"/>
      <c r="AK68" s="340"/>
      <c r="AL68" s="340"/>
      <c r="AM68" s="340"/>
    </row>
    <row r="69" spans="1:39" ht="15.75">
      <c r="A69" s="340"/>
      <c r="B69" s="691" t="s">
        <v>33</v>
      </c>
      <c r="C69" s="697"/>
      <c r="D69" s="697"/>
      <c r="E69" s="697"/>
      <c r="F69" s="697"/>
      <c r="G69" s="697"/>
      <c r="H69" s="697"/>
      <c r="I69" s="697"/>
      <c r="J69" s="697"/>
      <c r="K69" s="697"/>
      <c r="L69" s="697">
        <f t="shared" ref="L69:R69" si="131">SUM(L63:L67)</f>
        <v>20658</v>
      </c>
      <c r="M69" s="697">
        <f t="shared" si="131"/>
        <v>22095</v>
      </c>
      <c r="N69" s="697">
        <f t="shared" si="131"/>
        <v>25245</v>
      </c>
      <c r="O69" s="697">
        <f>SUM(O63:O67)</f>
        <v>29330</v>
      </c>
      <c r="P69" s="697">
        <f t="shared" si="131"/>
        <v>32663</v>
      </c>
      <c r="Q69" s="697">
        <f t="shared" si="131"/>
        <v>36455</v>
      </c>
      <c r="R69" s="697">
        <f t="shared" si="131"/>
        <v>39408</v>
      </c>
      <c r="S69" s="697">
        <f t="shared" ref="S69:T69" si="132">SUM(S63:S67)</f>
        <v>43308</v>
      </c>
      <c r="T69" s="697">
        <f t="shared" si="132"/>
        <v>49830</v>
      </c>
      <c r="U69" s="697">
        <f>SUM(U63:U67)</f>
        <v>54205.22</v>
      </c>
      <c r="V69" s="697">
        <f>SUM(V63:V67)</f>
        <v>60132.557000000001</v>
      </c>
      <c r="W69" s="697">
        <f>SUM(W63:W67)</f>
        <v>68405.252000000008</v>
      </c>
      <c r="X69" s="697">
        <f ca="1">SUM(X63:X67)</f>
        <v>68173.144954684176</v>
      </c>
      <c r="Y69" s="697">
        <f ca="1">SUM(Y63:Y67)</f>
        <v>70593.344731114368</v>
      </c>
      <c r="Z69" s="697">
        <f t="shared" ref="Z69:AD69" ca="1" si="133">SUM(Z63:Z67)</f>
        <v>73783.30677062177</v>
      </c>
      <c r="AA69" s="697">
        <f t="shared" ca="1" si="133"/>
        <v>77387.470357701415</v>
      </c>
      <c r="AB69" s="697">
        <f t="shared" ca="1" si="133"/>
        <v>81388.790080923543</v>
      </c>
      <c r="AC69" s="697">
        <f t="shared" ca="1" si="133"/>
        <v>85568.220095109631</v>
      </c>
      <c r="AD69" s="697">
        <f t="shared" ca="1" si="133"/>
        <v>89780.839726198785</v>
      </c>
      <c r="AE69" s="340"/>
      <c r="AF69" s="340"/>
      <c r="AG69" s="340"/>
      <c r="AH69" s="340"/>
      <c r="AI69" s="340"/>
      <c r="AJ69" s="340"/>
      <c r="AK69" s="340"/>
      <c r="AL69" s="340"/>
      <c r="AM69" s="340"/>
    </row>
    <row r="70" spans="1:39" ht="15.75">
      <c r="A70" s="340"/>
      <c r="B70" s="692"/>
      <c r="C70" s="691"/>
      <c r="D70" s="691"/>
      <c r="E70" s="697"/>
      <c r="F70" s="691"/>
      <c r="G70" s="697"/>
      <c r="H70" s="697"/>
      <c r="I70" s="697"/>
      <c r="J70" s="697"/>
      <c r="K70" s="691"/>
      <c r="L70" s="691"/>
      <c r="M70" s="697"/>
      <c r="N70" s="697"/>
      <c r="O70" s="691"/>
      <c r="P70" s="691"/>
      <c r="Q70" s="691"/>
      <c r="R70" s="691"/>
      <c r="S70" s="691"/>
      <c r="T70" s="691"/>
      <c r="U70" s="691"/>
      <c r="V70" s="691"/>
      <c r="W70" s="691"/>
      <c r="X70" s="691"/>
      <c r="Y70" s="691"/>
      <c r="Z70" s="691"/>
      <c r="AA70" s="691"/>
      <c r="AB70" s="691"/>
      <c r="AC70" s="691"/>
      <c r="AD70" s="691"/>
      <c r="AE70" s="340"/>
      <c r="AF70" s="340"/>
      <c r="AG70" s="340"/>
      <c r="AH70" s="340"/>
      <c r="AI70" s="340"/>
      <c r="AJ70" s="340"/>
      <c r="AK70" s="340"/>
      <c r="AL70" s="340"/>
      <c r="AM70" s="340"/>
    </row>
    <row r="71" spans="1:39" ht="15.75">
      <c r="A71" s="340"/>
      <c r="B71" s="692" t="s">
        <v>34</v>
      </c>
      <c r="C71" s="693"/>
      <c r="D71" s="693"/>
      <c r="E71" s="693"/>
      <c r="F71" s="693"/>
      <c r="G71" s="693"/>
      <c r="H71" s="693"/>
      <c r="I71" s="693"/>
      <c r="J71" s="693"/>
      <c r="K71" s="693"/>
      <c r="L71" s="693">
        <f t="shared" ref="L71:R71" si="134">L210</f>
        <v>471</v>
      </c>
      <c r="M71" s="693">
        <f t="shared" si="134"/>
        <v>351</v>
      </c>
      <c r="N71" s="693">
        <f t="shared" si="134"/>
        <v>658</v>
      </c>
      <c r="O71" s="693">
        <f t="shared" si="134"/>
        <v>1132</v>
      </c>
      <c r="P71" s="693">
        <f>P210</f>
        <v>1376</v>
      </c>
      <c r="Q71" s="693">
        <f t="shared" si="134"/>
        <v>1953</v>
      </c>
      <c r="R71" s="693">
        <f t="shared" si="134"/>
        <v>2095.4</v>
      </c>
      <c r="S71" s="693">
        <f t="shared" ref="S71:T71" si="135">S210</f>
        <v>1625</v>
      </c>
      <c r="T71" s="693">
        <f t="shared" si="135"/>
        <v>3285.1639999999998</v>
      </c>
      <c r="U71" s="693">
        <f t="shared" ref="U71:W71" si="136">U210</f>
        <v>5296.3190000000004</v>
      </c>
      <c r="V71" s="693">
        <f t="shared" si="136"/>
        <v>4335.5119999999997</v>
      </c>
      <c r="W71" s="693">
        <f t="shared" si="136"/>
        <v>4033.5890000000009</v>
      </c>
      <c r="X71" s="693">
        <f>X210</f>
        <v>3801.7777000000006</v>
      </c>
      <c r="Y71" s="693">
        <f>Y210</f>
        <v>4331.2282999999998</v>
      </c>
      <c r="Z71" s="693">
        <f t="shared" ref="Z71:AD71" si="137">Z210</f>
        <v>4880.1471758951129</v>
      </c>
      <c r="AA71" s="693">
        <f t="shared" si="137"/>
        <v>5367.9791175024475</v>
      </c>
      <c r="AB71" s="693">
        <f t="shared" si="137"/>
        <v>5812.3294415276296</v>
      </c>
      <c r="AC71" s="693">
        <f t="shared" si="137"/>
        <v>6189.215162236801</v>
      </c>
      <c r="AD71" s="693">
        <f t="shared" si="137"/>
        <v>6545.2418050467468</v>
      </c>
      <c r="AE71" s="340"/>
      <c r="AF71" s="340"/>
      <c r="AG71" s="340"/>
      <c r="AH71" s="340"/>
      <c r="AI71" s="340"/>
      <c r="AJ71" s="340"/>
      <c r="AK71" s="340"/>
      <c r="AL71" s="340"/>
      <c r="AM71" s="340"/>
    </row>
    <row r="72" spans="1:39" ht="15.75">
      <c r="A72" s="340"/>
      <c r="B72" s="692" t="s">
        <v>35</v>
      </c>
      <c r="C72" s="693"/>
      <c r="D72" s="693"/>
      <c r="E72" s="693"/>
      <c r="F72" s="693"/>
      <c r="G72" s="693"/>
      <c r="H72" s="693"/>
      <c r="I72" s="693"/>
      <c r="J72" s="693"/>
      <c r="K72" s="693"/>
      <c r="L72" s="693">
        <f t="shared" ref="L72:R72" si="138">L207</f>
        <v>1131</v>
      </c>
      <c r="M72" s="693">
        <f t="shared" si="138"/>
        <v>1325</v>
      </c>
      <c r="N72" s="693">
        <f t="shared" si="138"/>
        <v>956</v>
      </c>
      <c r="O72" s="693">
        <f t="shared" si="138"/>
        <v>1498</v>
      </c>
      <c r="P72" s="693">
        <f>P207</f>
        <v>1922</v>
      </c>
      <c r="Q72" s="693">
        <f t="shared" si="138"/>
        <v>1549</v>
      </c>
      <c r="R72" s="693">
        <f t="shared" si="138"/>
        <v>1976</v>
      </c>
      <c r="S72" s="693">
        <f t="shared" ref="S72:T72" si="139">S207</f>
        <v>838</v>
      </c>
      <c r="T72" s="693">
        <f t="shared" si="139"/>
        <v>1717</v>
      </c>
      <c r="U72" s="693">
        <f t="shared" ref="U72:W72" si="140">U207</f>
        <v>1844</v>
      </c>
      <c r="V72" s="693">
        <f t="shared" si="140"/>
        <v>1191.2049999999999</v>
      </c>
      <c r="W72" s="693">
        <f t="shared" si="140"/>
        <v>1531.9449999999999</v>
      </c>
      <c r="X72" s="693">
        <f>X207</f>
        <v>1392.7038715896999</v>
      </c>
      <c r="Y72" s="693">
        <f>Y207</f>
        <v>1531.9449999999999</v>
      </c>
      <c r="Z72" s="693">
        <f t="shared" ref="Z72:AD72" si="141">Z207</f>
        <v>1696.8404128710863</v>
      </c>
      <c r="AA72" s="693">
        <f t="shared" si="141"/>
        <v>1847.671027596409</v>
      </c>
      <c r="AB72" s="693">
        <f t="shared" si="141"/>
        <v>1987.2800037095733</v>
      </c>
      <c r="AC72" s="693">
        <f t="shared" si="141"/>
        <v>2102.1259485060014</v>
      </c>
      <c r="AD72" s="693">
        <f t="shared" si="141"/>
        <v>2208.4227242822249</v>
      </c>
      <c r="AE72" s="340"/>
      <c r="AF72" s="340"/>
      <c r="AG72" s="340"/>
      <c r="AH72" s="340"/>
      <c r="AI72" s="340"/>
      <c r="AJ72" s="340"/>
      <c r="AK72" s="340"/>
      <c r="AL72" s="340"/>
      <c r="AM72" s="340"/>
    </row>
    <row r="73" spans="1:39" ht="15.75">
      <c r="A73" s="340"/>
      <c r="B73" s="692" t="s">
        <v>36</v>
      </c>
      <c r="C73" s="696"/>
      <c r="D73" s="696"/>
      <c r="E73" s="696"/>
      <c r="F73" s="696"/>
      <c r="G73" s="696"/>
      <c r="H73" s="696"/>
      <c r="I73" s="696"/>
      <c r="J73" s="696"/>
      <c r="K73" s="696"/>
      <c r="L73" s="696">
        <f t="shared" ref="L73:R73" si="142">L184</f>
        <v>2112</v>
      </c>
      <c r="M73" s="696">
        <f t="shared" si="142"/>
        <v>86</v>
      </c>
      <c r="N73" s="696">
        <f t="shared" si="142"/>
        <v>685</v>
      </c>
      <c r="O73" s="696">
        <f t="shared" si="142"/>
        <v>2188</v>
      </c>
      <c r="P73" s="696">
        <f>P184</f>
        <v>1573</v>
      </c>
      <c r="Q73" s="696">
        <f t="shared" si="142"/>
        <v>132</v>
      </c>
      <c r="R73" s="696">
        <f t="shared" si="142"/>
        <v>3778.6</v>
      </c>
      <c r="S73" s="696">
        <f t="shared" ref="S73:T73" si="143">S184</f>
        <v>251</v>
      </c>
      <c r="T73" s="696">
        <f t="shared" si="143"/>
        <v>1290.836</v>
      </c>
      <c r="U73" s="696">
        <f t="shared" ref="U73:Y73" si="144">U184</f>
        <v>4559.6809999999996</v>
      </c>
      <c r="V73" s="696">
        <f t="shared" si="144"/>
        <v>3414.7280000000001</v>
      </c>
      <c r="W73" s="696">
        <f t="shared" si="144"/>
        <v>5661.317</v>
      </c>
      <c r="X73" s="696">
        <f t="shared" si="144"/>
        <v>5661.317</v>
      </c>
      <c r="Y73" s="696">
        <f t="shared" si="144"/>
        <v>5661.317</v>
      </c>
      <c r="Z73" s="696">
        <f t="shared" ref="Z73:AD73" si="145">Z184</f>
        <v>5661.317</v>
      </c>
      <c r="AA73" s="696">
        <f t="shared" si="145"/>
        <v>5661.317</v>
      </c>
      <c r="AB73" s="696">
        <f t="shared" si="145"/>
        <v>5661.317</v>
      </c>
      <c r="AC73" s="696">
        <f t="shared" si="145"/>
        <v>5661.317</v>
      </c>
      <c r="AD73" s="696">
        <f t="shared" si="145"/>
        <v>5661.317</v>
      </c>
      <c r="AE73" s="340"/>
      <c r="AF73" s="340"/>
      <c r="AG73" s="340"/>
      <c r="AH73" s="340"/>
      <c r="AI73" s="340"/>
      <c r="AJ73" s="340"/>
      <c r="AK73" s="340"/>
      <c r="AL73" s="340"/>
      <c r="AM73" s="340"/>
    </row>
    <row r="74" spans="1:39" ht="15.75">
      <c r="A74" s="340"/>
      <c r="B74" s="692" t="s">
        <v>37</v>
      </c>
      <c r="C74" s="693"/>
      <c r="D74" s="693"/>
      <c r="E74" s="693"/>
      <c r="F74" s="693"/>
      <c r="G74" s="693"/>
      <c r="H74" s="693"/>
      <c r="I74" s="693"/>
      <c r="J74" s="693"/>
      <c r="K74" s="693"/>
      <c r="L74" s="693">
        <f t="shared" ref="L74:R74" si="146">SUM(L71:L73)</f>
        <v>3714</v>
      </c>
      <c r="M74" s="693">
        <f t="shared" si="146"/>
        <v>1762</v>
      </c>
      <c r="N74" s="693">
        <f t="shared" si="146"/>
        <v>2299</v>
      </c>
      <c r="O74" s="693">
        <f t="shared" si="146"/>
        <v>4818</v>
      </c>
      <c r="P74" s="693">
        <f>SUM(P71:P73)</f>
        <v>4871</v>
      </c>
      <c r="Q74" s="693">
        <f t="shared" si="146"/>
        <v>3634</v>
      </c>
      <c r="R74" s="693">
        <f t="shared" si="146"/>
        <v>7850</v>
      </c>
      <c r="S74" s="693">
        <f t="shared" ref="S74:T74" si="147">SUM(S71:S73)</f>
        <v>2714</v>
      </c>
      <c r="T74" s="693">
        <f t="shared" si="147"/>
        <v>6293</v>
      </c>
      <c r="U74" s="693">
        <f t="shared" ref="U74:W74" si="148">SUM(U71:U73)</f>
        <v>11700</v>
      </c>
      <c r="V74" s="693">
        <f t="shared" si="148"/>
        <v>8941.4449999999997</v>
      </c>
      <c r="W74" s="693">
        <f t="shared" si="148"/>
        <v>11226.851000000001</v>
      </c>
      <c r="X74" s="693">
        <f>SUM(X71:X73)</f>
        <v>10855.798571589701</v>
      </c>
      <c r="Y74" s="693">
        <f>SUM(Y71:Y73)</f>
        <v>11524.490299999999</v>
      </c>
      <c r="Z74" s="693">
        <f t="shared" ref="Z74:AD74" si="149">SUM(Z71:Z73)</f>
        <v>12238.304588766199</v>
      </c>
      <c r="AA74" s="693">
        <f t="shared" si="149"/>
        <v>12876.967145098857</v>
      </c>
      <c r="AB74" s="693">
        <f t="shared" si="149"/>
        <v>13460.926445237203</v>
      </c>
      <c r="AC74" s="693">
        <f t="shared" si="149"/>
        <v>13952.658110742803</v>
      </c>
      <c r="AD74" s="693">
        <f t="shared" si="149"/>
        <v>14414.981529328972</v>
      </c>
      <c r="AE74" s="340"/>
      <c r="AF74" s="340"/>
      <c r="AG74" s="340"/>
      <c r="AH74" s="340"/>
      <c r="AI74" s="340"/>
      <c r="AJ74" s="340"/>
      <c r="AK74" s="340"/>
      <c r="AL74" s="340"/>
      <c r="AM74" s="340"/>
    </row>
    <row r="75" spans="1:39" ht="15.75">
      <c r="A75" s="340"/>
      <c r="B75" s="692"/>
      <c r="C75" s="691"/>
      <c r="D75" s="691"/>
      <c r="E75" s="697"/>
      <c r="F75" s="691"/>
      <c r="G75" s="691"/>
      <c r="H75" s="691"/>
      <c r="I75" s="691"/>
      <c r="J75" s="691"/>
      <c r="K75" s="691"/>
      <c r="L75" s="691"/>
      <c r="M75" s="691"/>
      <c r="N75" s="691"/>
      <c r="O75" s="691"/>
      <c r="P75" s="691"/>
      <c r="Q75" s="691"/>
      <c r="R75" s="691"/>
      <c r="S75" s="691"/>
      <c r="T75" s="691"/>
      <c r="U75" s="691"/>
      <c r="V75" s="691"/>
      <c r="W75" s="691"/>
      <c r="X75" s="691"/>
      <c r="Y75" s="691"/>
      <c r="Z75" s="691"/>
      <c r="AA75" s="691"/>
      <c r="AB75" s="691"/>
      <c r="AC75" s="691"/>
      <c r="AD75" s="691"/>
      <c r="AE75" s="340"/>
      <c r="AF75" s="340"/>
      <c r="AG75" s="340"/>
      <c r="AH75" s="340"/>
      <c r="AI75" s="340"/>
      <c r="AJ75" s="340"/>
      <c r="AK75" s="340"/>
      <c r="AL75" s="340"/>
      <c r="AM75" s="340"/>
    </row>
    <row r="76" spans="1:39" ht="15.75">
      <c r="A76" s="340"/>
      <c r="B76" s="692" t="s">
        <v>38</v>
      </c>
      <c r="C76" s="693"/>
      <c r="D76" s="693"/>
      <c r="E76" s="693"/>
      <c r="F76" s="693"/>
      <c r="G76" s="693"/>
      <c r="H76" s="693"/>
      <c r="I76" s="693"/>
      <c r="J76" s="693"/>
      <c r="K76" s="693"/>
      <c r="L76" s="693">
        <f t="shared" ref="L76:R76" si="150">L185</f>
        <v>29</v>
      </c>
      <c r="M76" s="693">
        <f t="shared" si="150"/>
        <v>2115</v>
      </c>
      <c r="N76" s="693">
        <f>N185</f>
        <v>2215</v>
      </c>
      <c r="O76" s="693">
        <f t="shared" si="150"/>
        <v>1016</v>
      </c>
      <c r="P76" s="693">
        <f>P185</f>
        <v>2065</v>
      </c>
      <c r="Q76" s="693">
        <f t="shared" si="150"/>
        <v>3921</v>
      </c>
      <c r="R76" s="693">
        <f t="shared" si="150"/>
        <v>120.3</v>
      </c>
      <c r="S76" s="693">
        <f t="shared" ref="S76:T76" si="151">S185</f>
        <v>6748</v>
      </c>
      <c r="T76" s="693">
        <f t="shared" si="151"/>
        <v>6590.5</v>
      </c>
      <c r="U76" s="693">
        <f t="shared" ref="U76:Y76" si="152">U185</f>
        <v>3812</v>
      </c>
      <c r="V76" s="693">
        <f t="shared" si="152"/>
        <v>10811.931</v>
      </c>
      <c r="W76" s="693">
        <f t="shared" si="152"/>
        <v>16134.772000000001</v>
      </c>
      <c r="X76" s="693">
        <f t="shared" si="152"/>
        <v>18134.772000000001</v>
      </c>
      <c r="Y76" s="693">
        <f t="shared" si="152"/>
        <v>18134.772000000001</v>
      </c>
      <c r="Z76" s="693">
        <f t="shared" ref="Z76:AD76" si="153">Z185</f>
        <v>18134.772000000001</v>
      </c>
      <c r="AA76" s="693">
        <f t="shared" si="153"/>
        <v>18134.772000000001</v>
      </c>
      <c r="AB76" s="693">
        <f t="shared" si="153"/>
        <v>18134.772000000001</v>
      </c>
      <c r="AC76" s="693">
        <f t="shared" si="153"/>
        <v>18134.772000000001</v>
      </c>
      <c r="AD76" s="693">
        <f t="shared" si="153"/>
        <v>18134.772000000001</v>
      </c>
      <c r="AE76" s="340"/>
      <c r="AF76" s="340"/>
      <c r="AG76" s="340"/>
      <c r="AH76" s="340"/>
      <c r="AI76" s="340"/>
      <c r="AJ76" s="340"/>
      <c r="AK76" s="340"/>
      <c r="AL76" s="340"/>
      <c r="AM76" s="340"/>
    </row>
    <row r="77" spans="1:39" ht="15.75">
      <c r="A77" s="340"/>
      <c r="B77" s="692" t="s">
        <v>39</v>
      </c>
      <c r="C77" s="693"/>
      <c r="D77" s="693"/>
      <c r="E77" s="693"/>
      <c r="F77" s="693"/>
      <c r="G77" s="693"/>
      <c r="H77" s="693"/>
      <c r="I77" s="693"/>
      <c r="J77" s="693"/>
      <c r="K77" s="693"/>
      <c r="L77" s="693">
        <f t="shared" ref="L77:R77" si="154">L229+L226</f>
        <v>2007</v>
      </c>
      <c r="M77" s="693">
        <f t="shared" si="154"/>
        <v>2737</v>
      </c>
      <c r="N77" s="693">
        <f>N229+N226</f>
        <v>2887</v>
      </c>
      <c r="O77" s="693">
        <f t="shared" si="154"/>
        <v>3315</v>
      </c>
      <c r="P77" s="693">
        <f>P229+P226</f>
        <v>2832</v>
      </c>
      <c r="Q77" s="693">
        <f t="shared" si="154"/>
        <v>2800</v>
      </c>
      <c r="R77" s="693">
        <f t="shared" si="154"/>
        <v>2787.7</v>
      </c>
      <c r="S77" s="693">
        <f t="shared" ref="S77:T77" si="155">S229+S226</f>
        <v>2871</v>
      </c>
      <c r="T77" s="693">
        <f t="shared" si="155"/>
        <v>3062.5</v>
      </c>
      <c r="U77" s="693">
        <f t="shared" ref="U77" si="156">U229+U226</f>
        <v>2850</v>
      </c>
      <c r="V77" s="693">
        <f>V229+V226</f>
        <v>4189.866</v>
      </c>
      <c r="W77" s="693">
        <f>W229+W226</f>
        <v>5136.8230000000003</v>
      </c>
      <c r="X77" s="693">
        <f>X229+X226</f>
        <v>5136.6929068703921</v>
      </c>
      <c r="Y77" s="693">
        <f>Y229+Y226</f>
        <v>5136.5832182076083</v>
      </c>
      <c r="Z77" s="693">
        <f t="shared" ref="Z77:AD77" si="157">Z229+Z226</f>
        <v>5136.4860087488714</v>
      </c>
      <c r="AA77" s="693">
        <f t="shared" si="157"/>
        <v>5136.4285475260558</v>
      </c>
      <c r="AB77" s="693">
        <f t="shared" si="157"/>
        <v>5136.3786046316491</v>
      </c>
      <c r="AC77" s="693">
        <f t="shared" si="157"/>
        <v>5136.3321650147782</v>
      </c>
      <c r="AD77" s="693">
        <f t="shared" si="157"/>
        <v>5136.2869399449182</v>
      </c>
      <c r="AE77" s="340"/>
      <c r="AF77" s="340"/>
      <c r="AG77" s="340"/>
      <c r="AH77" s="340"/>
      <c r="AI77" s="340"/>
      <c r="AJ77" s="340"/>
      <c r="AK77" s="340"/>
      <c r="AL77" s="340"/>
      <c r="AM77" s="340"/>
    </row>
    <row r="78" spans="1:39" ht="15.75">
      <c r="A78" s="340"/>
      <c r="B78" s="692"/>
      <c r="C78" s="691"/>
      <c r="D78" s="691"/>
      <c r="E78" s="697"/>
      <c r="F78" s="691"/>
      <c r="G78" s="691"/>
      <c r="H78" s="691"/>
      <c r="I78" s="691"/>
      <c r="J78" s="691"/>
      <c r="K78" s="691"/>
      <c r="L78" s="691"/>
      <c r="M78" s="691"/>
      <c r="N78" s="691"/>
      <c r="O78" s="691"/>
      <c r="P78" s="691"/>
      <c r="Q78" s="691"/>
      <c r="R78" s="691"/>
      <c r="S78" s="691"/>
      <c r="T78" s="691"/>
      <c r="U78" s="691"/>
      <c r="V78" s="691"/>
      <c r="W78" s="691"/>
      <c r="X78" s="691"/>
      <c r="Y78" s="691"/>
      <c r="Z78" s="691"/>
      <c r="AA78" s="691"/>
      <c r="AB78" s="691"/>
      <c r="AC78" s="691"/>
      <c r="AD78" s="691"/>
      <c r="AE78" s="340"/>
      <c r="AF78" s="340"/>
      <c r="AG78" s="340"/>
      <c r="AH78" s="340"/>
      <c r="AI78" s="340"/>
      <c r="AJ78" s="340"/>
      <c r="AK78" s="340"/>
      <c r="AL78" s="340"/>
      <c r="AM78" s="340"/>
    </row>
    <row r="79" spans="1:39" ht="15.75">
      <c r="A79" s="340"/>
      <c r="B79" s="692" t="s">
        <v>40</v>
      </c>
      <c r="C79" s="693"/>
      <c r="D79" s="693"/>
      <c r="E79" s="693"/>
      <c r="F79" s="693"/>
      <c r="G79" s="693"/>
      <c r="H79" s="693"/>
      <c r="I79" s="693"/>
      <c r="J79" s="693"/>
      <c r="K79" s="693"/>
      <c r="L79" s="693">
        <f t="shared" ref="L79:R79" si="158">L279</f>
        <v>389</v>
      </c>
      <c r="M79" s="693">
        <f t="shared" si="158"/>
        <v>604</v>
      </c>
      <c r="N79" s="693">
        <f t="shared" si="158"/>
        <v>670</v>
      </c>
      <c r="O79" s="693">
        <f t="shared" si="158"/>
        <v>832</v>
      </c>
      <c r="P79" s="693">
        <f>P279</f>
        <v>1102</v>
      </c>
      <c r="Q79" s="693">
        <f t="shared" si="158"/>
        <v>1248</v>
      </c>
      <c r="R79" s="693">
        <f t="shared" si="158"/>
        <v>959</v>
      </c>
      <c r="S79" s="693">
        <f t="shared" ref="S79:T79" si="159">S279</f>
        <v>1331</v>
      </c>
      <c r="T79" s="693">
        <f t="shared" si="159"/>
        <v>1370</v>
      </c>
      <c r="U79" s="693">
        <f t="shared" ref="U79:Y79" si="160">U279</f>
        <v>1460.57</v>
      </c>
      <c r="V79" s="693">
        <f t="shared" si="160"/>
        <v>1487.616</v>
      </c>
      <c r="W79" s="693">
        <f t="shared" si="160"/>
        <v>876.82</v>
      </c>
      <c r="X79" s="693">
        <f t="shared" si="160"/>
        <v>1047.3200000000002</v>
      </c>
      <c r="Y79" s="693">
        <f t="shared" si="160"/>
        <v>1234.8700000000001</v>
      </c>
      <c r="Z79" s="693">
        <f t="shared" ref="Z79:AD79" si="161">Z279</f>
        <v>1441.1750000000002</v>
      </c>
      <c r="AA79" s="693">
        <f t="shared" si="161"/>
        <v>1668.1105000000002</v>
      </c>
      <c r="AB79" s="693">
        <f t="shared" si="161"/>
        <v>1917.7395500000002</v>
      </c>
      <c r="AC79" s="693">
        <f t="shared" si="161"/>
        <v>2192.3315050000001</v>
      </c>
      <c r="AD79" s="693">
        <f t="shared" si="161"/>
        <v>2494.3826555000001</v>
      </c>
      <c r="AE79" s="340"/>
      <c r="AF79" s="340"/>
      <c r="AG79" s="340"/>
      <c r="AH79" s="340"/>
      <c r="AI79" s="340"/>
      <c r="AJ79" s="340"/>
      <c r="AK79" s="340"/>
      <c r="AL79" s="340"/>
      <c r="AM79" s="340"/>
    </row>
    <row r="80" spans="1:39" ht="15.75">
      <c r="A80" s="340"/>
      <c r="B80" s="692" t="s">
        <v>41</v>
      </c>
      <c r="C80" s="693"/>
      <c r="D80" s="693"/>
      <c r="E80" s="693"/>
      <c r="F80" s="693"/>
      <c r="G80" s="693"/>
      <c r="H80" s="693"/>
      <c r="I80" s="693"/>
      <c r="J80" s="693"/>
      <c r="K80" s="693"/>
      <c r="L80" s="693">
        <f t="shared" ref="L80:R80" si="162">L284</f>
        <v>14518</v>
      </c>
      <c r="M80" s="693">
        <f t="shared" si="162"/>
        <v>14878</v>
      </c>
      <c r="N80" s="693">
        <f t="shared" si="162"/>
        <v>17175</v>
      </c>
      <c r="O80" s="693">
        <f t="shared" si="162"/>
        <v>19348</v>
      </c>
      <c r="P80" s="693">
        <f t="shared" si="162"/>
        <v>21792</v>
      </c>
      <c r="Q80" s="693">
        <f t="shared" si="162"/>
        <v>24852</v>
      </c>
      <c r="R80" s="693">
        <f t="shared" si="162"/>
        <v>27691</v>
      </c>
      <c r="S80" s="693">
        <f t="shared" ref="S80:T80" si="163">S284</f>
        <v>29643</v>
      </c>
      <c r="T80" s="693">
        <f t="shared" si="163"/>
        <v>32515</v>
      </c>
      <c r="U80" s="693">
        <f>U284</f>
        <v>34383.03</v>
      </c>
      <c r="V80" s="693">
        <f>V284</f>
        <v>34701.697999999997</v>
      </c>
      <c r="W80" s="693">
        <f>W284</f>
        <v>35906.803999999996</v>
      </c>
      <c r="X80" s="693">
        <f ca="1">X284</f>
        <v>36471.167087094458</v>
      </c>
      <c r="Y80" s="693">
        <f ca="1">Y284</f>
        <v>37979.406135114346</v>
      </c>
      <c r="Z80" s="693">
        <f t="shared" ref="Z80:AD80" ca="1" si="164">Z284</f>
        <v>40193.529885855547</v>
      </c>
      <c r="AA80" s="693">
        <f t="shared" ca="1" si="164"/>
        <v>42876.376416602514</v>
      </c>
      <c r="AB80" s="693">
        <f t="shared" ca="1" si="164"/>
        <v>45988.388789686316</v>
      </c>
      <c r="AC80" s="693">
        <f t="shared" ca="1" si="164"/>
        <v>49345.776183366819</v>
      </c>
      <c r="AD80" s="693">
        <f t="shared" ca="1" si="164"/>
        <v>52738.302245369799</v>
      </c>
      <c r="AE80" s="340"/>
      <c r="AF80" s="340"/>
      <c r="AG80" s="340"/>
      <c r="AH80" s="340"/>
      <c r="AI80" s="340"/>
      <c r="AJ80" s="340"/>
      <c r="AK80" s="340"/>
      <c r="AL80" s="340"/>
      <c r="AM80" s="340"/>
    </row>
    <row r="81" spans="1:39" ht="15.75">
      <c r="A81" s="340"/>
      <c r="B81" s="692"/>
      <c r="C81" s="691"/>
      <c r="D81" s="691"/>
      <c r="E81" s="724"/>
      <c r="F81" s="691"/>
      <c r="G81" s="691"/>
      <c r="H81" s="691"/>
      <c r="I81" s="691"/>
      <c r="J81" s="691"/>
      <c r="K81" s="691"/>
      <c r="L81" s="691"/>
      <c r="M81" s="691"/>
      <c r="N81" s="691"/>
      <c r="O81" s="691"/>
      <c r="P81" s="691"/>
      <c r="Q81" s="691"/>
      <c r="R81" s="691"/>
      <c r="S81" s="691"/>
      <c r="T81" s="691"/>
      <c r="U81" s="691"/>
      <c r="V81" s="691"/>
      <c r="W81" s="691"/>
      <c r="X81" s="691"/>
      <c r="Y81" s="691"/>
      <c r="Z81" s="691"/>
      <c r="AA81" s="691"/>
      <c r="AB81" s="691"/>
      <c r="AC81" s="691"/>
      <c r="AD81" s="691"/>
      <c r="AE81" s="340"/>
      <c r="AF81" s="340"/>
      <c r="AG81" s="340"/>
      <c r="AH81" s="340"/>
      <c r="AI81" s="340"/>
      <c r="AJ81" s="340"/>
      <c r="AK81" s="340"/>
      <c r="AL81" s="340"/>
      <c r="AM81" s="340"/>
    </row>
    <row r="82" spans="1:39" ht="15.75">
      <c r="A82" s="340"/>
      <c r="B82" s="691" t="s">
        <v>42</v>
      </c>
      <c r="C82" s="697"/>
      <c r="D82" s="697"/>
      <c r="E82" s="697"/>
      <c r="F82" s="697"/>
      <c r="G82" s="697"/>
      <c r="H82" s="697"/>
      <c r="I82" s="697"/>
      <c r="J82" s="697"/>
      <c r="K82" s="697"/>
      <c r="L82" s="697">
        <f t="shared" ref="L82:R82" si="165">SUM(L74:L80)</f>
        <v>20657</v>
      </c>
      <c r="M82" s="697">
        <f t="shared" si="165"/>
        <v>22096</v>
      </c>
      <c r="N82" s="697">
        <f t="shared" si="165"/>
        <v>25246</v>
      </c>
      <c r="O82" s="697">
        <f t="shared" si="165"/>
        <v>29329</v>
      </c>
      <c r="P82" s="697">
        <f>SUM(P74:P80)</f>
        <v>32662</v>
      </c>
      <c r="Q82" s="697">
        <f t="shared" si="165"/>
        <v>36455</v>
      </c>
      <c r="R82" s="697">
        <f t="shared" si="165"/>
        <v>39408</v>
      </c>
      <c r="S82" s="697">
        <f t="shared" ref="S82:T82" si="166">SUM(S74:S80)</f>
        <v>43307</v>
      </c>
      <c r="T82" s="697">
        <f t="shared" si="166"/>
        <v>49831</v>
      </c>
      <c r="U82" s="697">
        <f>SUM(U74:U80)</f>
        <v>54205.599999999999</v>
      </c>
      <c r="V82" s="697">
        <f>SUM(V74:V80)</f>
        <v>60132.555999999997</v>
      </c>
      <c r="W82" s="697">
        <f>SUM(W74:W80)</f>
        <v>69282.070000000007</v>
      </c>
      <c r="X82" s="697">
        <f ca="1">SUM(X74:X80)</f>
        <v>71645.750565554554</v>
      </c>
      <c r="Y82" s="697">
        <f ca="1">SUM(Y74:Y80)</f>
        <v>74010.121653321956</v>
      </c>
      <c r="Z82" s="697">
        <f t="shared" ref="Z82:AD82" ca="1" si="167">SUM(Z74:Z80)</f>
        <v>77144.267483370611</v>
      </c>
      <c r="AA82" s="697">
        <f t="shared" ca="1" si="167"/>
        <v>80692.654609227437</v>
      </c>
      <c r="AB82" s="697">
        <f t="shared" ca="1" si="167"/>
        <v>84638.205389555165</v>
      </c>
      <c r="AC82" s="697">
        <f t="shared" ca="1" si="167"/>
        <v>88761.869964124402</v>
      </c>
      <c r="AD82" s="697">
        <f t="shared" ca="1" si="167"/>
        <v>92918.725370143686</v>
      </c>
      <c r="AE82" s="340"/>
      <c r="AF82" s="340"/>
      <c r="AG82" s="340"/>
      <c r="AH82" s="340"/>
      <c r="AI82" s="340"/>
      <c r="AJ82" s="340"/>
      <c r="AK82" s="340"/>
      <c r="AL82" s="340"/>
      <c r="AM82" s="340"/>
    </row>
    <row r="83" spans="1:39" ht="15.75">
      <c r="A83" s="340"/>
      <c r="B83" s="692" t="s">
        <v>43</v>
      </c>
      <c r="C83" s="693"/>
      <c r="D83" s="693"/>
      <c r="E83" s="693"/>
      <c r="F83" s="693"/>
      <c r="G83" s="693"/>
      <c r="H83" s="693"/>
      <c r="I83" s="693"/>
      <c r="J83" s="693"/>
      <c r="K83" s="693"/>
      <c r="L83" s="693">
        <f t="shared" ref="L83:R83" si="168">L82-L69</f>
        <v>-1</v>
      </c>
      <c r="M83" s="693">
        <f t="shared" si="168"/>
        <v>1</v>
      </c>
      <c r="N83" s="693">
        <f t="shared" si="168"/>
        <v>1</v>
      </c>
      <c r="O83" s="693">
        <f t="shared" si="168"/>
        <v>-1</v>
      </c>
      <c r="P83" s="693">
        <f>P82-P69</f>
        <v>-1</v>
      </c>
      <c r="Q83" s="693">
        <f t="shared" si="168"/>
        <v>0</v>
      </c>
      <c r="R83" s="693">
        <f t="shared" si="168"/>
        <v>0</v>
      </c>
      <c r="S83" s="693">
        <f t="shared" ref="S83:T83" si="169">S82-S69</f>
        <v>-1</v>
      </c>
      <c r="T83" s="693">
        <f t="shared" si="169"/>
        <v>1</v>
      </c>
      <c r="U83" s="693">
        <f>U82-U69</f>
        <v>0.37999999999738066</v>
      </c>
      <c r="V83" s="693">
        <f>V82-V69</f>
        <v>-1.0000000038417056E-3</v>
      </c>
      <c r="W83" s="693">
        <f>W82-W69</f>
        <v>876.8179999999993</v>
      </c>
      <c r="X83" s="693">
        <f ca="1">X82-X69</f>
        <v>3472.6056108703779</v>
      </c>
      <c r="Y83" s="693">
        <f ca="1">Y82-Y69</f>
        <v>3416.7769222075876</v>
      </c>
      <c r="Z83" s="693">
        <f t="shared" ref="Z83:AD83" ca="1" si="170">Z82-Z69</f>
        <v>3360.9607127488416</v>
      </c>
      <c r="AA83" s="693">
        <f t="shared" ca="1" si="170"/>
        <v>3305.1842515260214</v>
      </c>
      <c r="AB83" s="693">
        <f t="shared" ca="1" si="170"/>
        <v>3249.4153086316219</v>
      </c>
      <c r="AC83" s="693">
        <f t="shared" ca="1" si="170"/>
        <v>3193.649869014771</v>
      </c>
      <c r="AD83" s="693">
        <f t="shared" ca="1" si="170"/>
        <v>3137.8856439449009</v>
      </c>
      <c r="AE83" s="340"/>
      <c r="AF83" s="340"/>
      <c r="AG83" s="340"/>
      <c r="AH83" s="340"/>
      <c r="AI83" s="340"/>
      <c r="AJ83" s="340"/>
      <c r="AK83" s="340"/>
      <c r="AL83" s="340"/>
      <c r="AM83" s="340"/>
    </row>
    <row r="84" spans="1:39" ht="15.75">
      <c r="A84" s="340"/>
      <c r="B84" s="692"/>
      <c r="C84" s="693"/>
      <c r="D84" s="693"/>
      <c r="E84" s="693"/>
      <c r="F84" s="693"/>
      <c r="G84" s="693"/>
      <c r="H84" s="693"/>
      <c r="I84" s="725"/>
      <c r="J84" s="693"/>
      <c r="K84" s="693"/>
      <c r="L84" s="725"/>
      <c r="M84" s="725"/>
      <c r="N84" s="725"/>
      <c r="O84" s="725"/>
      <c r="P84" s="725"/>
      <c r="Q84" s="725"/>
      <c r="R84" s="725"/>
      <c r="S84" s="725"/>
      <c r="T84" s="725"/>
      <c r="U84" s="725"/>
      <c r="V84" s="725"/>
      <c r="W84" s="725"/>
      <c r="X84" s="725"/>
      <c r="Y84" s="725"/>
      <c r="Z84" s="725"/>
      <c r="AA84" s="725"/>
      <c r="AB84" s="725"/>
      <c r="AC84" s="725"/>
      <c r="AD84" s="725"/>
      <c r="AE84" s="340"/>
      <c r="AF84" s="340"/>
      <c r="AG84" s="340"/>
      <c r="AH84" s="340"/>
      <c r="AI84" s="340"/>
      <c r="AJ84" s="340"/>
      <c r="AK84" s="340"/>
      <c r="AL84" s="340"/>
      <c r="AM84" s="340"/>
    </row>
    <row r="85" spans="1:39" ht="15.75">
      <c r="A85" s="340"/>
      <c r="B85" s="691" t="s">
        <v>44</v>
      </c>
      <c r="C85" s="697"/>
      <c r="D85" s="697"/>
      <c r="E85" s="697"/>
      <c r="F85" s="697"/>
      <c r="G85" s="697"/>
      <c r="H85" s="697"/>
      <c r="I85" s="697"/>
      <c r="J85" s="697"/>
      <c r="K85" s="697"/>
      <c r="L85" s="697">
        <f t="shared" ref="L85:R85" si="171">L102</f>
        <v>-352</v>
      </c>
      <c r="M85" s="697">
        <f t="shared" si="171"/>
        <v>-405.69999999999982</v>
      </c>
      <c r="N85" s="697">
        <f t="shared" si="171"/>
        <v>-1098</v>
      </c>
      <c r="O85" s="697">
        <f>O102</f>
        <v>401</v>
      </c>
      <c r="P85" s="697">
        <f t="shared" si="171"/>
        <v>2484</v>
      </c>
      <c r="Q85" s="697">
        <f t="shared" si="171"/>
        <v>936</v>
      </c>
      <c r="R85" s="697">
        <f t="shared" si="171"/>
        <v>567.90000000000009</v>
      </c>
      <c r="S85" s="697">
        <f t="shared" ref="S85:T85" si="172">S102</f>
        <v>4794</v>
      </c>
      <c r="T85" s="697">
        <f t="shared" si="172"/>
        <v>3622.3360000000002</v>
      </c>
      <c r="U85" s="697">
        <f>U102</f>
        <v>4668.2510000000002</v>
      </c>
      <c r="V85" s="697">
        <f>V102</f>
        <v>12842.623</v>
      </c>
      <c r="W85" s="697">
        <f>W102</f>
        <v>20217.771000000001</v>
      </c>
      <c r="X85" s="697">
        <f ca="1">X102</f>
        <v>21977.452653119999</v>
      </c>
      <c r="Y85" s="697">
        <f ca="1">Y102</f>
        <v>21977.467402100512</v>
      </c>
      <c r="Z85" s="697">
        <f t="shared" ref="Z85:AD85" ca="1" si="173">Z102</f>
        <v>20608.634295958305</v>
      </c>
      <c r="AA85" s="697">
        <f t="shared" ca="1" si="173"/>
        <v>18328.007832177671</v>
      </c>
      <c r="AB85" s="697">
        <f t="shared" ca="1" si="173"/>
        <v>15968.90484808305</v>
      </c>
      <c r="AC85" s="697">
        <f t="shared" ca="1" si="173"/>
        <v>13635.718684801112</v>
      </c>
      <c r="AD85" s="697">
        <f t="shared" ca="1" si="173"/>
        <v>11497.810848536485</v>
      </c>
      <c r="AE85" s="340"/>
      <c r="AF85" s="340"/>
      <c r="AG85" s="340"/>
      <c r="AH85" s="340"/>
      <c r="AI85" s="340"/>
      <c r="AJ85" s="340"/>
      <c r="AK85" s="340"/>
      <c r="AL85" s="340"/>
      <c r="AM85" s="340"/>
    </row>
    <row r="86" spans="1:39" ht="15.75">
      <c r="A86" s="340"/>
      <c r="B86" s="692" t="s">
        <v>45</v>
      </c>
      <c r="C86" s="693"/>
      <c r="D86" s="693"/>
      <c r="E86" s="693"/>
      <c r="F86" s="693"/>
      <c r="G86" s="693"/>
      <c r="H86" s="693"/>
      <c r="I86" s="693"/>
      <c r="J86" s="693"/>
      <c r="K86" s="693"/>
      <c r="L86" s="693">
        <f t="shared" ref="L86:T86" si="174">L85-K85</f>
        <v>-352</v>
      </c>
      <c r="M86" s="693">
        <f t="shared" si="174"/>
        <v>-53.699999999999818</v>
      </c>
      <c r="N86" s="693">
        <f t="shared" si="174"/>
        <v>-692.30000000000018</v>
      </c>
      <c r="O86" s="693">
        <f t="shared" si="174"/>
        <v>1499</v>
      </c>
      <c r="P86" s="693">
        <f t="shared" si="174"/>
        <v>2083</v>
      </c>
      <c r="Q86" s="693">
        <f t="shared" si="174"/>
        <v>-1548</v>
      </c>
      <c r="R86" s="693">
        <f t="shared" si="174"/>
        <v>-368.09999999999991</v>
      </c>
      <c r="S86" s="693">
        <f t="shared" si="174"/>
        <v>4226.1000000000004</v>
      </c>
      <c r="T86" s="693">
        <f t="shared" si="174"/>
        <v>-1171.6639999999998</v>
      </c>
      <c r="U86" s="693">
        <f>U85-T85</f>
        <v>1045.915</v>
      </c>
      <c r="V86" s="693">
        <f>V85-U85</f>
        <v>8174.3719999999994</v>
      </c>
      <c r="W86" s="693">
        <f>W85-V85</f>
        <v>7375.148000000001</v>
      </c>
      <c r="X86" s="693">
        <f ca="1">X85-W85</f>
        <v>1759.6816531199984</v>
      </c>
      <c r="Y86" s="693">
        <f ca="1">Y85-X85</f>
        <v>1.474898051310447E-2</v>
      </c>
      <c r="Z86" s="693">
        <f t="shared" ref="Z86:AD86" ca="1" si="175">Z85-Y85</f>
        <v>-1368.8331061422068</v>
      </c>
      <c r="AA86" s="693">
        <f t="shared" ca="1" si="175"/>
        <v>-2280.6264637806344</v>
      </c>
      <c r="AB86" s="693">
        <f t="shared" ca="1" si="175"/>
        <v>-2359.1029840946212</v>
      </c>
      <c r="AC86" s="693">
        <f t="shared" ca="1" si="175"/>
        <v>-2333.1861632819382</v>
      </c>
      <c r="AD86" s="693">
        <f t="shared" ca="1" si="175"/>
        <v>-2137.9078362646269</v>
      </c>
      <c r="AE86" s="340"/>
      <c r="AF86" s="340"/>
      <c r="AG86" s="340"/>
      <c r="AH86" s="340"/>
      <c r="AI86" s="340"/>
      <c r="AJ86" s="340"/>
      <c r="AK86" s="340"/>
      <c r="AL86" s="340"/>
      <c r="AM86" s="340"/>
    </row>
    <row r="87" spans="1:39" ht="15.75">
      <c r="A87" s="340"/>
      <c r="B87" s="692"/>
      <c r="C87" s="692"/>
      <c r="D87" s="692"/>
      <c r="E87" s="692"/>
      <c r="F87" s="692"/>
      <c r="G87" s="692"/>
      <c r="H87" s="692"/>
      <c r="I87" s="692"/>
      <c r="J87" s="693"/>
      <c r="K87" s="693"/>
      <c r="L87" s="693"/>
      <c r="M87" s="693"/>
      <c r="N87" s="693"/>
      <c r="O87" s="693"/>
      <c r="P87" s="693"/>
      <c r="Q87" s="693"/>
      <c r="R87" s="693"/>
      <c r="S87" s="693"/>
      <c r="T87" s="693"/>
      <c r="U87" s="693"/>
      <c r="V87" s="693"/>
      <c r="W87" s="693"/>
      <c r="X87" s="693"/>
      <c r="Y87" s="693"/>
      <c r="Z87" s="693"/>
      <c r="AA87" s="693"/>
      <c r="AB87" s="693"/>
      <c r="AC87" s="693"/>
      <c r="AD87" s="693"/>
      <c r="AE87" s="340"/>
      <c r="AF87" s="340"/>
      <c r="AG87" s="340"/>
      <c r="AH87" s="340"/>
      <c r="AI87" s="340"/>
      <c r="AJ87" s="340"/>
      <c r="AK87" s="340"/>
      <c r="AL87" s="340"/>
      <c r="AM87" s="340"/>
    </row>
    <row r="88" spans="1:39" ht="15.75">
      <c r="A88" s="340"/>
      <c r="B88" s="692"/>
      <c r="C88" s="692"/>
      <c r="D88" s="692"/>
      <c r="E88" s="692"/>
      <c r="F88" s="692"/>
      <c r="G88" s="692"/>
      <c r="H88" s="692"/>
      <c r="I88" s="692"/>
      <c r="J88" s="693"/>
      <c r="K88" s="693"/>
      <c r="L88" s="693"/>
      <c r="M88" s="693"/>
      <c r="N88" s="693"/>
      <c r="O88" s="693"/>
      <c r="P88" s="693"/>
      <c r="Q88" s="693"/>
      <c r="R88" s="693"/>
      <c r="S88" s="693"/>
      <c r="T88" s="693"/>
      <c r="U88" s="693"/>
      <c r="V88" s="693"/>
      <c r="W88" s="693"/>
      <c r="X88" s="693"/>
      <c r="Y88" s="693"/>
      <c r="Z88" s="693"/>
      <c r="AA88" s="693"/>
      <c r="AB88" s="693"/>
      <c r="AC88" s="693"/>
      <c r="AD88" s="693"/>
      <c r="AE88" s="340"/>
      <c r="AF88" s="340"/>
      <c r="AG88" s="340"/>
      <c r="AH88" s="340"/>
      <c r="AI88" s="340"/>
      <c r="AJ88" s="340"/>
      <c r="AK88" s="340"/>
      <c r="AL88" s="340"/>
      <c r="AM88" s="340"/>
    </row>
    <row r="89" spans="1:39" ht="15.75">
      <c r="A89" s="340"/>
      <c r="B89" s="692"/>
      <c r="C89" s="692"/>
      <c r="D89" s="692"/>
      <c r="E89" s="692"/>
      <c r="F89" s="692"/>
      <c r="G89" s="692"/>
      <c r="H89" s="692"/>
      <c r="I89" s="692"/>
      <c r="J89" s="693"/>
      <c r="K89" s="693"/>
      <c r="L89" s="693"/>
      <c r="M89" s="693"/>
      <c r="N89" s="693"/>
      <c r="O89" s="693"/>
      <c r="P89" s="693"/>
      <c r="Q89" s="693"/>
      <c r="R89" s="693"/>
      <c r="S89" s="693"/>
      <c r="T89" s="693"/>
      <c r="U89" s="693"/>
      <c r="V89" s="693"/>
      <c r="W89" s="693"/>
      <c r="X89" s="693"/>
      <c r="Y89" s="693"/>
      <c r="Z89" s="693"/>
      <c r="AA89" s="693"/>
      <c r="AB89" s="693"/>
      <c r="AC89" s="693"/>
      <c r="AD89" s="693"/>
      <c r="AE89" s="340"/>
      <c r="AF89" s="340"/>
      <c r="AG89" s="340"/>
      <c r="AH89" s="340"/>
      <c r="AI89" s="340"/>
      <c r="AJ89" s="340"/>
      <c r="AK89" s="340"/>
      <c r="AL89" s="340"/>
      <c r="AM89" s="340"/>
    </row>
    <row r="90" spans="1:39" ht="15.75">
      <c r="A90" s="340"/>
      <c r="B90" s="689" t="s">
        <v>46</v>
      </c>
      <c r="C90" s="689">
        <v>2003</v>
      </c>
      <c r="D90" s="689">
        <f t="shared" ref="D90:T90" si="176">C90+1</f>
        <v>2004</v>
      </c>
      <c r="E90" s="689">
        <f t="shared" si="176"/>
        <v>2005</v>
      </c>
      <c r="F90" s="689">
        <f t="shared" si="176"/>
        <v>2006</v>
      </c>
      <c r="G90" s="689">
        <f t="shared" si="176"/>
        <v>2007</v>
      </c>
      <c r="H90" s="689">
        <f t="shared" si="176"/>
        <v>2008</v>
      </c>
      <c r="I90" s="689">
        <f>H90+1</f>
        <v>2009</v>
      </c>
      <c r="J90" s="689">
        <f>I90+1</f>
        <v>2010</v>
      </c>
      <c r="K90" s="689">
        <f>J90+1</f>
        <v>2011</v>
      </c>
      <c r="L90" s="689">
        <f>K90+1</f>
        <v>2012</v>
      </c>
      <c r="M90" s="689">
        <f t="shared" si="176"/>
        <v>2013</v>
      </c>
      <c r="N90" s="689">
        <f t="shared" si="176"/>
        <v>2014</v>
      </c>
      <c r="O90" s="689">
        <f t="shared" si="176"/>
        <v>2015</v>
      </c>
      <c r="P90" s="689">
        <f t="shared" si="176"/>
        <v>2016</v>
      </c>
      <c r="Q90" s="689">
        <f t="shared" si="176"/>
        <v>2017</v>
      </c>
      <c r="R90" s="689">
        <f t="shared" si="176"/>
        <v>2018</v>
      </c>
      <c r="S90" s="689">
        <f t="shared" si="176"/>
        <v>2019</v>
      </c>
      <c r="T90" s="689">
        <f t="shared" si="176"/>
        <v>2020</v>
      </c>
      <c r="U90" s="689">
        <f t="shared" ref="U90" si="177">T90+1</f>
        <v>2021</v>
      </c>
      <c r="V90" s="689">
        <f t="shared" ref="V90" si="178">U90+1</f>
        <v>2022</v>
      </c>
      <c r="W90" s="689">
        <f t="shared" ref="W90" si="179">V90+1</f>
        <v>2023</v>
      </c>
      <c r="X90" s="689">
        <f t="shared" ref="X90" si="180">W90+1</f>
        <v>2024</v>
      </c>
      <c r="Y90" s="689">
        <f t="shared" ref="Y90" si="181">X90+1</f>
        <v>2025</v>
      </c>
      <c r="Z90" s="689">
        <f t="shared" ref="Z90" si="182">Y90+1</f>
        <v>2026</v>
      </c>
      <c r="AA90" s="689">
        <f t="shared" ref="AA90" si="183">Z90+1</f>
        <v>2027</v>
      </c>
      <c r="AB90" s="689">
        <f t="shared" ref="AB90" si="184">AA90+1</f>
        <v>2028</v>
      </c>
      <c r="AC90" s="689">
        <f t="shared" ref="AC90" si="185">AB90+1</f>
        <v>2029</v>
      </c>
      <c r="AD90" s="689">
        <f t="shared" ref="AD90" si="186">AC90+1</f>
        <v>2030</v>
      </c>
      <c r="AE90" s="340"/>
      <c r="AF90" s="340"/>
      <c r="AG90" s="340"/>
      <c r="AH90" s="340"/>
      <c r="AI90" s="340"/>
      <c r="AJ90" s="340"/>
      <c r="AK90" s="340"/>
      <c r="AL90" s="340"/>
      <c r="AM90" s="340"/>
    </row>
    <row r="91" spans="1:39" ht="15.75">
      <c r="A91" s="340"/>
      <c r="B91" s="692" t="s">
        <v>24</v>
      </c>
      <c r="C91" s="693"/>
      <c r="D91" s="693"/>
      <c r="E91" s="693"/>
      <c r="F91" s="693"/>
      <c r="G91" s="693"/>
      <c r="H91" s="693"/>
      <c r="I91" s="693"/>
      <c r="J91" s="693"/>
      <c r="K91" s="693"/>
      <c r="L91" s="693">
        <f>L52</f>
        <v>1792</v>
      </c>
      <c r="M91" s="693">
        <f t="shared" ref="M91:U91" si="187">M52</f>
        <v>2356</v>
      </c>
      <c r="N91" s="693">
        <f t="shared" si="187"/>
        <v>2511</v>
      </c>
      <c r="O91" s="693">
        <f t="shared" si="187"/>
        <v>2078</v>
      </c>
      <c r="P91" s="693">
        <f t="shared" si="187"/>
        <v>2041</v>
      </c>
      <c r="Q91" s="693">
        <f t="shared" si="187"/>
        <v>3023</v>
      </c>
      <c r="R91" s="693">
        <f t="shared" si="187"/>
        <v>3593.8770000000004</v>
      </c>
      <c r="S91" s="693">
        <f t="shared" si="187"/>
        <v>3626</v>
      </c>
      <c r="T91" s="693">
        <f t="shared" si="187"/>
        <v>2956</v>
      </c>
      <c r="U91" s="693">
        <f t="shared" si="187"/>
        <v>2649.4269999999997</v>
      </c>
      <c r="V91" s="693">
        <f>V52</f>
        <v>933.01800000000003</v>
      </c>
      <c r="W91" s="693">
        <f>W52</f>
        <v>370.99300000000039</v>
      </c>
      <c r="X91" s="693">
        <f>X52</f>
        <v>4134.5371991546817</v>
      </c>
      <c r="Y91" s="693">
        <f>Y52</f>
        <v>6616.4801158187238</v>
      </c>
      <c r="Z91" s="693">
        <f t="shared" ref="Z91:AD91" si="188">Z52</f>
        <v>8640.5245983139594</v>
      </c>
      <c r="AA91" s="693">
        <f t="shared" si="188"/>
        <v>9953.5933323015615</v>
      </c>
      <c r="AB91" s="693">
        <f t="shared" si="188"/>
        <v>10444.827373889973</v>
      </c>
      <c r="AC91" s="693">
        <f t="shared" si="188"/>
        <v>10922.089516628052</v>
      </c>
      <c r="AD91" s="693">
        <f t="shared" si="188"/>
        <v>11406.958735792134</v>
      </c>
      <c r="AE91" s="340"/>
      <c r="AF91" s="340"/>
      <c r="AG91" s="340"/>
      <c r="AH91" s="340"/>
      <c r="AI91" s="340"/>
      <c r="AJ91" s="340"/>
      <c r="AK91" s="340"/>
      <c r="AL91" s="340"/>
      <c r="AM91" s="340"/>
    </row>
    <row r="92" spans="1:39" ht="15.75">
      <c r="A92" s="340"/>
      <c r="B92" s="692" t="s">
        <v>1587</v>
      </c>
      <c r="C92" s="693"/>
      <c r="D92" s="693"/>
      <c r="E92" s="693"/>
      <c r="F92" s="693"/>
      <c r="G92" s="693"/>
      <c r="H92" s="693"/>
      <c r="I92" s="693"/>
      <c r="J92" s="693"/>
      <c r="K92" s="693"/>
      <c r="L92" s="693">
        <f>L159</f>
        <v>112</v>
      </c>
      <c r="M92" s="693">
        <f t="shared" ref="M92" si="189">M159</f>
        <v>34</v>
      </c>
      <c r="N92" s="693">
        <f>-N159</f>
        <v>36.900000000000006</v>
      </c>
      <c r="O92" s="693">
        <f t="shared" ref="O92:AD92" si="190">-O159</f>
        <v>80.733000000000004</v>
      </c>
      <c r="P92" s="693">
        <f t="shared" si="190"/>
        <v>113</v>
      </c>
      <c r="Q92" s="693">
        <f t="shared" si="190"/>
        <v>-2.5</v>
      </c>
      <c r="R92" s="693">
        <f t="shared" si="190"/>
        <v>-29.299999999999997</v>
      </c>
      <c r="S92" s="693">
        <f t="shared" si="190"/>
        <v>-413</v>
      </c>
      <c r="T92" s="693">
        <f t="shared" si="190"/>
        <v>-545</v>
      </c>
      <c r="U92" s="693">
        <f t="shared" si="190"/>
        <v>-697</v>
      </c>
      <c r="V92" s="693">
        <f t="shared" si="190"/>
        <v>-1196</v>
      </c>
      <c r="W92" s="693">
        <f t="shared" si="190"/>
        <v>-1934.32</v>
      </c>
      <c r="X92" s="693">
        <f t="shared" ca="1" si="190"/>
        <v>-1927.1022094474192</v>
      </c>
      <c r="Y92" s="693">
        <f t="shared" ca="1" si="190"/>
        <v>-2004.982414803399</v>
      </c>
      <c r="Z92" s="693">
        <f t="shared" ca="1" si="190"/>
        <v>-1905.1750436563566</v>
      </c>
      <c r="AA92" s="693">
        <f t="shared" ca="1" si="190"/>
        <v>-1639.0747507462811</v>
      </c>
      <c r="AB92" s="693">
        <f t="shared" ca="1" si="190"/>
        <v>-1367.2452702938772</v>
      </c>
      <c r="AC92" s="693">
        <f t="shared" ca="1" si="190"/>
        <v>-1228.4440639052705</v>
      </c>
      <c r="AD92" s="693">
        <f t="shared" ca="1" si="190"/>
        <v>-1306.3804451764154</v>
      </c>
      <c r="AE92" s="340"/>
      <c r="AF92" s="340"/>
      <c r="AG92" s="340"/>
      <c r="AH92" s="340"/>
      <c r="AI92" s="340"/>
      <c r="AJ92" s="340"/>
      <c r="AK92" s="340"/>
      <c r="AL92" s="340"/>
      <c r="AM92" s="340"/>
    </row>
    <row r="93" spans="1:39" ht="15.75">
      <c r="A93" s="340"/>
      <c r="B93" s="692" t="s">
        <v>1591</v>
      </c>
      <c r="C93" s="693"/>
      <c r="D93" s="693"/>
      <c r="E93" s="693"/>
      <c r="F93" s="693"/>
      <c r="G93" s="693"/>
      <c r="H93" s="693"/>
      <c r="I93" s="693"/>
      <c r="J93" s="693"/>
      <c r="K93" s="693"/>
      <c r="L93" s="693"/>
      <c r="M93" s="693"/>
      <c r="N93" s="693"/>
      <c r="O93" s="693"/>
      <c r="P93" s="693"/>
      <c r="Q93" s="693"/>
      <c r="R93" s="693"/>
      <c r="S93" s="693">
        <f>-S126</f>
        <v>-100</v>
      </c>
      <c r="T93" s="693">
        <f t="shared" ref="T93:Y93" si="191">-T126</f>
        <v>-102</v>
      </c>
      <c r="U93" s="693">
        <f t="shared" si="191"/>
        <v>-104.04</v>
      </c>
      <c r="V93" s="693">
        <f t="shared" si="191"/>
        <v>-106.1208</v>
      </c>
      <c r="W93" s="693">
        <f t="shared" si="191"/>
        <v>-108.243216</v>
      </c>
      <c r="X93" s="693">
        <f t="shared" si="191"/>
        <v>-110.40808032000001</v>
      </c>
      <c r="Y93" s="693">
        <f t="shared" si="191"/>
        <v>-112.61624192640001</v>
      </c>
      <c r="Z93" s="693">
        <f t="shared" ref="Z93:AD93" si="192">-Z126</f>
        <v>-114.868566764928</v>
      </c>
      <c r="AA93" s="693">
        <f t="shared" si="192"/>
        <v>-117.16593810022657</v>
      </c>
      <c r="AB93" s="693">
        <f t="shared" si="192"/>
        <v>-119.5092568622311</v>
      </c>
      <c r="AC93" s="693">
        <f t="shared" si="192"/>
        <v>-121.89944199947573</v>
      </c>
      <c r="AD93" s="693">
        <f t="shared" si="192"/>
        <v>-124.33743083946524</v>
      </c>
      <c r="AE93" s="340"/>
      <c r="AF93" s="340"/>
      <c r="AG93" s="340"/>
      <c r="AH93" s="340"/>
      <c r="AI93" s="340"/>
      <c r="AJ93" s="340"/>
      <c r="AK93" s="340"/>
      <c r="AL93" s="340"/>
      <c r="AM93" s="340"/>
    </row>
    <row r="94" spans="1:39" ht="15.75">
      <c r="A94" s="340"/>
      <c r="B94" s="692" t="s">
        <v>48</v>
      </c>
      <c r="C94" s="693"/>
      <c r="D94" s="693"/>
      <c r="E94" s="693"/>
      <c r="F94" s="693"/>
      <c r="G94" s="693"/>
      <c r="H94" s="693"/>
      <c r="I94" s="693"/>
      <c r="J94" s="693"/>
      <c r="K94" s="693"/>
      <c r="L94" s="693">
        <f t="shared" ref="L94:R94" si="193">-L261</f>
        <v>-502</v>
      </c>
      <c r="M94" s="693">
        <f t="shared" si="193"/>
        <v>-871.99999999999989</v>
      </c>
      <c r="N94" s="693">
        <f t="shared" si="193"/>
        <v>-785.5</v>
      </c>
      <c r="O94" s="693">
        <f t="shared" si="193"/>
        <v>-959</v>
      </c>
      <c r="P94" s="693">
        <f t="shared" si="193"/>
        <v>-845.00000000000011</v>
      </c>
      <c r="Q94" s="693">
        <f t="shared" si="193"/>
        <v>-1012.9999999999999</v>
      </c>
      <c r="R94" s="693">
        <f t="shared" si="193"/>
        <v>-1347</v>
      </c>
      <c r="S94" s="693">
        <f t="shared" ref="S94:T94" si="194">-S261</f>
        <v>-1267</v>
      </c>
      <c r="T94" s="693">
        <f t="shared" si="194"/>
        <v>-1430</v>
      </c>
      <c r="U94" s="693">
        <f ca="1">-U261</f>
        <v>-1335.0124491413219</v>
      </c>
      <c r="V94" s="693">
        <f>-V261</f>
        <v>-1416.9479524824808</v>
      </c>
      <c r="W94" s="693">
        <f>-W261</f>
        <v>-1290.0766599965857</v>
      </c>
      <c r="X94" s="693">
        <f ca="1">-X261</f>
        <v>-1437.1241194690544</v>
      </c>
      <c r="Y94" s="693">
        <f ca="1">-Y261</f>
        <v>-1905.0586711156668</v>
      </c>
      <c r="Z94" s="693">
        <f t="shared" ref="Z94:AD94" ca="1" si="195">-Z261</f>
        <v>-2333.4477373355148</v>
      </c>
      <c r="AA94" s="693">
        <f t="shared" ca="1" si="195"/>
        <v>-2672.7826846112007</v>
      </c>
      <c r="AB94" s="693">
        <f t="shared" ca="1" si="195"/>
        <v>-3009.0100341846642</v>
      </c>
      <c r="AC94" s="693">
        <f t="shared" ca="1" si="195"/>
        <v>-3281.699801869554</v>
      </c>
      <c r="AD94" s="693">
        <f t="shared" ca="1" si="195"/>
        <v>-3481.0411801798373</v>
      </c>
      <c r="AE94" s="340"/>
      <c r="AF94" s="340"/>
      <c r="AG94" s="340"/>
      <c r="AH94" s="340"/>
      <c r="AI94" s="340"/>
      <c r="AJ94" s="340"/>
      <c r="AK94" s="340"/>
      <c r="AL94" s="340"/>
      <c r="AM94" s="340"/>
    </row>
    <row r="95" spans="1:39" ht="15.75">
      <c r="A95" s="340"/>
      <c r="B95" s="692" t="s">
        <v>49</v>
      </c>
      <c r="C95" s="693"/>
      <c r="D95" s="693"/>
      <c r="E95" s="693"/>
      <c r="F95" s="693"/>
      <c r="G95" s="693"/>
      <c r="H95" s="693"/>
      <c r="I95" s="693"/>
      <c r="J95" s="693"/>
      <c r="K95" s="693"/>
      <c r="L95" s="693">
        <f t="shared" ref="L95:R95" si="196">L214</f>
        <v>659</v>
      </c>
      <c r="M95" s="693">
        <f t="shared" si="196"/>
        <v>-295.30000000000018</v>
      </c>
      <c r="N95" s="693">
        <f t="shared" si="196"/>
        <v>-318.69999999999982</v>
      </c>
      <c r="O95" s="693">
        <f t="shared" si="196"/>
        <v>-677</v>
      </c>
      <c r="P95" s="693">
        <f t="shared" si="196"/>
        <v>-11</v>
      </c>
      <c r="Q95" s="693">
        <f t="shared" si="196"/>
        <v>1276</v>
      </c>
      <c r="R95" s="693">
        <f t="shared" si="196"/>
        <v>594.40000000000009</v>
      </c>
      <c r="S95" s="693">
        <f t="shared" ref="S95:T95" si="197">S214</f>
        <v>-2224.4</v>
      </c>
      <c r="T95" s="693">
        <f t="shared" si="197"/>
        <v>1152.1639999999998</v>
      </c>
      <c r="U95" s="693">
        <f t="shared" ref="U95:W95" si="198">U214</f>
        <v>3.2921265314975439</v>
      </c>
      <c r="V95" s="693">
        <f t="shared" si="198"/>
        <v>-1597.8507256025437</v>
      </c>
      <c r="W95" s="693">
        <f t="shared" si="198"/>
        <v>248.09600000000125</v>
      </c>
      <c r="X95" s="693">
        <f>X214</f>
        <v>198.84208196179213</v>
      </c>
      <c r="Y95" s="693">
        <f>Y214</f>
        <v>155.51031429622833</v>
      </c>
      <c r="Z95" s="693">
        <f t="shared" ref="Z95:AD95" si="199">Z214</f>
        <v>106.08249196004806</v>
      </c>
      <c r="AA95" s="693">
        <f t="shared" si="199"/>
        <v>82.767404949281058</v>
      </c>
      <c r="AB95" s="693">
        <f t="shared" si="199"/>
        <v>69.422161559171514</v>
      </c>
      <c r="AC95" s="693">
        <f t="shared" si="199"/>
        <v>68.460143443315246</v>
      </c>
      <c r="AD95" s="693">
        <f t="shared" si="199"/>
        <v>70.560364584852664</v>
      </c>
      <c r="AE95" s="340"/>
      <c r="AF95" s="340"/>
      <c r="AG95" s="340"/>
      <c r="AH95" s="340"/>
      <c r="AI95" s="340"/>
      <c r="AJ95" s="340"/>
      <c r="AK95" s="340"/>
      <c r="AL95" s="340"/>
      <c r="AM95" s="340"/>
    </row>
    <row r="96" spans="1:39" ht="15.75">
      <c r="A96" s="340"/>
      <c r="B96" s="692" t="s">
        <v>50</v>
      </c>
      <c r="C96" s="693"/>
      <c r="D96" s="693"/>
      <c r="E96" s="693"/>
      <c r="F96" s="693"/>
      <c r="G96" s="693"/>
      <c r="H96" s="693"/>
      <c r="I96" s="693"/>
      <c r="J96" s="693"/>
      <c r="K96" s="693"/>
      <c r="L96" s="693">
        <f t="shared" ref="L96:R96" si="200">L224+L227</f>
        <v>0</v>
      </c>
      <c r="M96" s="693">
        <f t="shared" si="200"/>
        <v>0</v>
      </c>
      <c r="N96" s="693">
        <f t="shared" si="200"/>
        <v>0</v>
      </c>
      <c r="O96" s="693">
        <f t="shared" si="200"/>
        <v>0</v>
      </c>
      <c r="P96" s="693">
        <f t="shared" si="200"/>
        <v>0</v>
      </c>
      <c r="Q96" s="693">
        <f t="shared" si="200"/>
        <v>0</v>
      </c>
      <c r="R96" s="693">
        <f t="shared" si="200"/>
        <v>0</v>
      </c>
      <c r="S96" s="693">
        <f t="shared" ref="S96:T96" si="201">S224+S227</f>
        <v>0</v>
      </c>
      <c r="T96" s="693">
        <f t="shared" si="201"/>
        <v>0</v>
      </c>
      <c r="U96" s="693">
        <f t="shared" ref="U96:Y96" si="202">U224+U227</f>
        <v>0</v>
      </c>
      <c r="V96" s="693">
        <f t="shared" si="202"/>
        <v>0</v>
      </c>
      <c r="W96" s="693">
        <f t="shared" si="202"/>
        <v>0</v>
      </c>
      <c r="X96" s="693">
        <f t="shared" si="202"/>
        <v>0</v>
      </c>
      <c r="Y96" s="693">
        <f t="shared" si="202"/>
        <v>0</v>
      </c>
      <c r="Z96" s="693">
        <f t="shared" ref="Z96:AD96" si="203">Z224+Z227</f>
        <v>0</v>
      </c>
      <c r="AA96" s="693">
        <f t="shared" si="203"/>
        <v>0</v>
      </c>
      <c r="AB96" s="693">
        <f t="shared" si="203"/>
        <v>0</v>
      </c>
      <c r="AC96" s="693">
        <f t="shared" si="203"/>
        <v>0</v>
      </c>
      <c r="AD96" s="693">
        <f t="shared" si="203"/>
        <v>0</v>
      </c>
      <c r="AE96" s="340"/>
      <c r="AF96" s="340"/>
      <c r="AG96" s="340"/>
      <c r="AH96" s="340"/>
      <c r="AI96" s="340"/>
      <c r="AJ96" s="340"/>
      <c r="AK96" s="340"/>
      <c r="AL96" s="340"/>
      <c r="AM96" s="340"/>
    </row>
    <row r="97" spans="1:39" ht="15.75">
      <c r="A97" s="340"/>
      <c r="B97" s="692" t="s">
        <v>51</v>
      </c>
      <c r="C97" s="693"/>
      <c r="D97" s="693"/>
      <c r="E97" s="693"/>
      <c r="F97" s="693"/>
      <c r="G97" s="693"/>
      <c r="H97" s="693"/>
      <c r="I97" s="693"/>
      <c r="J97" s="693"/>
      <c r="K97" s="693"/>
      <c r="L97" s="693">
        <f>-L338</f>
        <v>-533.11290791850001</v>
      </c>
      <c r="M97" s="693">
        <f>-M338</f>
        <v>-1568.522957337</v>
      </c>
      <c r="N97" s="693">
        <v>0</v>
      </c>
      <c r="O97" s="693">
        <f>-N338</f>
        <v>-979.55297999999982</v>
      </c>
      <c r="P97" s="693">
        <f t="shared" ref="P97:Y97" si="204">-O338</f>
        <v>-1168.58952</v>
      </c>
      <c r="Q97" s="693">
        <f t="shared" si="204"/>
        <v>-1391.9963399999999</v>
      </c>
      <c r="R97" s="693">
        <f t="shared" si="204"/>
        <v>-1529.4774599999998</v>
      </c>
      <c r="S97" s="693">
        <f t="shared" si="204"/>
        <v>-1873.1802600000001</v>
      </c>
      <c r="T97" s="693">
        <f t="shared" si="204"/>
        <v>-1529.4774599999998</v>
      </c>
      <c r="U97" s="693">
        <f t="shared" si="204"/>
        <v>-2201.6972799999999</v>
      </c>
      <c r="V97" s="693">
        <f>-U338</f>
        <v>-2418.08232</v>
      </c>
      <c r="W97" s="693">
        <f t="shared" si="204"/>
        <v>-2538.5477999999998</v>
      </c>
      <c r="X97" s="693">
        <f t="shared" si="204"/>
        <v>-2618.4265249999999</v>
      </c>
      <c r="Y97" s="693">
        <f t="shared" si="204"/>
        <v>-2749.3478512500001</v>
      </c>
      <c r="Z97" s="693">
        <f t="shared" ref="Z97" si="205">-Y338</f>
        <v>-3024.282636375</v>
      </c>
      <c r="AA97" s="693">
        <f t="shared" ref="AA97" si="206">-Z338</f>
        <v>-3326.7109000125006</v>
      </c>
      <c r="AB97" s="693">
        <f t="shared" ref="AB97" si="207">-AA338</f>
        <v>-3659.3819900137505</v>
      </c>
      <c r="AC97" s="693">
        <f t="shared" ref="AC97" si="208">-AB338</f>
        <v>-4025.3201890151263</v>
      </c>
      <c r="AD97" s="693">
        <f t="shared" ref="AD97" si="209">-AC338</f>
        <v>-4427.8522079166387</v>
      </c>
      <c r="AE97" s="340"/>
      <c r="AF97" s="340"/>
      <c r="AG97" s="340"/>
      <c r="AH97" s="340"/>
      <c r="AI97" s="340"/>
      <c r="AJ97" s="340"/>
      <c r="AK97" s="340"/>
      <c r="AL97" s="340"/>
      <c r="AM97" s="340"/>
    </row>
    <row r="98" spans="1:39" ht="15.75">
      <c r="A98" s="340"/>
      <c r="B98" s="692" t="s">
        <v>52</v>
      </c>
      <c r="C98" s="693"/>
      <c r="D98" s="693"/>
      <c r="E98" s="693"/>
      <c r="F98" s="693"/>
      <c r="G98" s="693"/>
      <c r="H98" s="693"/>
      <c r="I98" s="693"/>
      <c r="J98" s="693"/>
      <c r="K98" s="693"/>
      <c r="L98" s="693">
        <f>-L287</f>
        <v>0</v>
      </c>
      <c r="M98" s="693">
        <f t="shared" ref="M98:R98" si="210">-M287</f>
        <v>0</v>
      </c>
      <c r="N98" s="693">
        <f t="shared" si="210"/>
        <v>0</v>
      </c>
      <c r="O98" s="693">
        <f t="shared" si="210"/>
        <v>0</v>
      </c>
      <c r="P98" s="693">
        <f t="shared" si="210"/>
        <v>0</v>
      </c>
      <c r="Q98" s="693">
        <f t="shared" si="210"/>
        <v>0</v>
      </c>
      <c r="R98" s="693">
        <f t="shared" si="210"/>
        <v>0</v>
      </c>
      <c r="S98" s="693">
        <f t="shared" ref="S98:T98" si="211">-S287</f>
        <v>0</v>
      </c>
      <c r="T98" s="693">
        <f t="shared" si="211"/>
        <v>0</v>
      </c>
      <c r="U98" s="693">
        <f t="shared" ref="U98:Y98" si="212">-U287</f>
        <v>0</v>
      </c>
      <c r="V98" s="693">
        <f t="shared" si="212"/>
        <v>0</v>
      </c>
      <c r="W98" s="693">
        <f t="shared" si="212"/>
        <v>0</v>
      </c>
      <c r="X98" s="693">
        <f t="shared" si="212"/>
        <v>0</v>
      </c>
      <c r="Y98" s="693">
        <f t="shared" si="212"/>
        <v>0</v>
      </c>
      <c r="Z98" s="693">
        <f t="shared" ref="Z98:AD98" si="213">-Z287</f>
        <v>0</v>
      </c>
      <c r="AA98" s="693">
        <f t="shared" si="213"/>
        <v>0</v>
      </c>
      <c r="AB98" s="693">
        <f t="shared" si="213"/>
        <v>0</v>
      </c>
      <c r="AC98" s="693">
        <f t="shared" si="213"/>
        <v>0</v>
      </c>
      <c r="AD98" s="693">
        <f t="shared" si="213"/>
        <v>0</v>
      </c>
      <c r="AE98" s="340"/>
      <c r="AF98" s="340"/>
      <c r="AG98" s="340"/>
      <c r="AH98" s="340"/>
      <c r="AI98" s="340"/>
      <c r="AJ98" s="340"/>
      <c r="AK98" s="340"/>
      <c r="AL98" s="340"/>
      <c r="AM98" s="340"/>
    </row>
    <row r="99" spans="1:39" ht="15.75">
      <c r="A99" s="340"/>
      <c r="B99" s="692" t="s">
        <v>53</v>
      </c>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340"/>
      <c r="AF99" s="340"/>
      <c r="AG99" s="340"/>
      <c r="AH99" s="340"/>
      <c r="AI99" s="340"/>
      <c r="AJ99" s="340"/>
      <c r="AK99" s="340"/>
      <c r="AL99" s="340"/>
      <c r="AM99" s="340"/>
    </row>
    <row r="100" spans="1:39" ht="15.75">
      <c r="A100" s="340"/>
      <c r="B100" s="692" t="s">
        <v>54</v>
      </c>
      <c r="C100" s="696"/>
      <c r="D100" s="696"/>
      <c r="E100" s="696"/>
      <c r="F100" s="696"/>
      <c r="G100" s="696"/>
      <c r="H100" s="696"/>
      <c r="I100" s="696"/>
      <c r="J100" s="696"/>
      <c r="K100" s="696"/>
      <c r="L100" s="696">
        <f>L307</f>
        <v>0</v>
      </c>
      <c r="M100" s="696">
        <f t="shared" ref="M100:Y100" si="214">M307</f>
        <v>0</v>
      </c>
      <c r="N100" s="696">
        <f t="shared" si="214"/>
        <v>0</v>
      </c>
      <c r="O100" s="696">
        <f t="shared" si="214"/>
        <v>0</v>
      </c>
      <c r="P100" s="696">
        <f t="shared" si="214"/>
        <v>0</v>
      </c>
      <c r="Q100" s="696">
        <f t="shared" si="214"/>
        <v>0</v>
      </c>
      <c r="R100" s="696">
        <f t="shared" si="214"/>
        <v>0</v>
      </c>
      <c r="S100" s="696">
        <f t="shared" si="214"/>
        <v>-1150</v>
      </c>
      <c r="T100" s="696">
        <f t="shared" si="214"/>
        <v>0</v>
      </c>
      <c r="U100" s="696">
        <f t="shared" si="214"/>
        <v>0</v>
      </c>
      <c r="V100" s="696">
        <f t="shared" si="214"/>
        <v>0</v>
      </c>
      <c r="W100" s="696">
        <f t="shared" si="214"/>
        <v>0</v>
      </c>
      <c r="X100" s="696">
        <f t="shared" si="214"/>
        <v>0</v>
      </c>
      <c r="Y100" s="696">
        <f t="shared" si="214"/>
        <v>0</v>
      </c>
      <c r="Z100" s="696">
        <f t="shared" ref="Z100:AD100" si="215">Z307</f>
        <v>0</v>
      </c>
      <c r="AA100" s="696">
        <f t="shared" si="215"/>
        <v>0</v>
      </c>
      <c r="AB100" s="696">
        <f t="shared" si="215"/>
        <v>0</v>
      </c>
      <c r="AC100" s="696">
        <f t="shared" si="215"/>
        <v>0</v>
      </c>
      <c r="AD100" s="696">
        <f t="shared" si="215"/>
        <v>0</v>
      </c>
      <c r="AE100" s="340"/>
      <c r="AF100" s="340"/>
      <c r="AG100" s="340"/>
      <c r="AH100" s="340"/>
      <c r="AI100" s="340"/>
      <c r="AJ100" s="340"/>
      <c r="AK100" s="340"/>
      <c r="AL100" s="340"/>
      <c r="AM100" s="340"/>
    </row>
    <row r="101" spans="1:39" ht="15.75">
      <c r="A101" s="340"/>
      <c r="B101" s="692" t="s">
        <v>45</v>
      </c>
      <c r="C101" s="693"/>
      <c r="D101" s="693"/>
      <c r="E101" s="693"/>
      <c r="F101" s="693"/>
      <c r="G101" s="693"/>
      <c r="H101" s="693"/>
      <c r="I101" s="693"/>
      <c r="J101" s="693"/>
      <c r="K101" s="693"/>
      <c r="L101" s="693">
        <f>SUM(L91:L100)</f>
        <v>1527.8870920815</v>
      </c>
      <c r="M101" s="693">
        <f>SUM(M91:M100)</f>
        <v>-345.82295733700016</v>
      </c>
      <c r="N101" s="693">
        <f>SUM(N91:N100)</f>
        <v>1443.7000000000003</v>
      </c>
      <c r="O101" s="693">
        <f t="shared" ref="O101:T101" si="216">SUM(O91:O100)</f>
        <v>-456.81997999999965</v>
      </c>
      <c r="P101" s="693">
        <f t="shared" si="216"/>
        <v>129.41048000000001</v>
      </c>
      <c r="Q101" s="693">
        <f t="shared" si="216"/>
        <v>1891.5036600000001</v>
      </c>
      <c r="R101" s="693">
        <f t="shared" si="216"/>
        <v>1282.4995400000005</v>
      </c>
      <c r="S101" s="693">
        <f t="shared" si="216"/>
        <v>-3401.5802600000002</v>
      </c>
      <c r="T101" s="693">
        <f t="shared" si="216"/>
        <v>501.68653999999992</v>
      </c>
      <c r="U101" s="693">
        <f ca="1">SUM(U91:U100)</f>
        <v>-1685.0306026098247</v>
      </c>
      <c r="V101" s="693">
        <f>SUM(V91:V100)</f>
        <v>-5801.9837980850243</v>
      </c>
      <c r="W101" s="693">
        <f>SUM(W91:W100)</f>
        <v>-5252.0986759965836</v>
      </c>
      <c r="X101" s="693">
        <f ca="1">SUM(X91:X100)</f>
        <v>-1759.6816531199997</v>
      </c>
      <c r="Y101" s="693">
        <f ca="1">SUM(Y91:Y100)</f>
        <v>-1.474898051310447E-2</v>
      </c>
      <c r="Z101" s="693">
        <f t="shared" ref="Z101:AD101" ca="1" si="217">SUM(Z91:Z100)</f>
        <v>1368.8331061422086</v>
      </c>
      <c r="AA101" s="693">
        <f t="shared" ca="1" si="217"/>
        <v>2280.626463780633</v>
      </c>
      <c r="AB101" s="693">
        <f t="shared" ca="1" si="217"/>
        <v>2359.1029840946212</v>
      </c>
      <c r="AC101" s="693">
        <f t="shared" ca="1" si="217"/>
        <v>2333.1861632819405</v>
      </c>
      <c r="AD101" s="693">
        <f t="shared" ca="1" si="217"/>
        <v>2137.9078362646296</v>
      </c>
      <c r="AE101" s="693">
        <f t="shared" ref="AE101" si="218">SUM(AE91:AE100)</f>
        <v>0</v>
      </c>
      <c r="AF101" s="340"/>
      <c r="AG101" s="340"/>
      <c r="AH101" s="340"/>
      <c r="AI101" s="340"/>
      <c r="AJ101" s="340"/>
      <c r="AK101" s="340"/>
      <c r="AL101" s="340"/>
      <c r="AM101" s="340"/>
    </row>
    <row r="102" spans="1:39" ht="15.75">
      <c r="A102" s="340"/>
      <c r="B102" s="691" t="s">
        <v>44</v>
      </c>
      <c r="C102" s="697"/>
      <c r="D102" s="697"/>
      <c r="E102" s="697"/>
      <c r="F102" s="697"/>
      <c r="G102" s="697"/>
      <c r="H102" s="697"/>
      <c r="I102" s="697"/>
      <c r="J102" s="697"/>
      <c r="K102" s="697"/>
      <c r="L102" s="697">
        <f t="shared" ref="L102:U102" si="219">L180</f>
        <v>-352</v>
      </c>
      <c r="M102" s="697">
        <f t="shared" si="219"/>
        <v>-405.69999999999982</v>
      </c>
      <c r="N102" s="697">
        <f t="shared" si="219"/>
        <v>-1098</v>
      </c>
      <c r="O102" s="697">
        <f t="shared" si="219"/>
        <v>401</v>
      </c>
      <c r="P102" s="697">
        <f t="shared" si="219"/>
        <v>2484</v>
      </c>
      <c r="Q102" s="697">
        <f t="shared" si="219"/>
        <v>936</v>
      </c>
      <c r="R102" s="697">
        <f t="shared" si="219"/>
        <v>567.90000000000009</v>
      </c>
      <c r="S102" s="697">
        <f t="shared" si="219"/>
        <v>4794</v>
      </c>
      <c r="T102" s="697">
        <f t="shared" si="219"/>
        <v>3622.3360000000002</v>
      </c>
      <c r="U102" s="697">
        <f t="shared" si="219"/>
        <v>4668.2510000000002</v>
      </c>
      <c r="V102" s="697">
        <f t="shared" ref="V102:W102" si="220">V180</f>
        <v>12842.623</v>
      </c>
      <c r="W102" s="697">
        <f t="shared" si="220"/>
        <v>20217.771000000001</v>
      </c>
      <c r="X102" s="697">
        <f ca="1">W102-X101</f>
        <v>21977.452653119999</v>
      </c>
      <c r="Y102" s="697">
        <f ca="1">X102-Y101</f>
        <v>21977.467402100512</v>
      </c>
      <c r="Z102" s="697">
        <f t="shared" ref="Z102:AD102" ca="1" si="221">Y102-Z101</f>
        <v>20608.634295958305</v>
      </c>
      <c r="AA102" s="697">
        <f t="shared" ca="1" si="221"/>
        <v>18328.007832177671</v>
      </c>
      <c r="AB102" s="697">
        <f t="shared" ca="1" si="221"/>
        <v>15968.90484808305</v>
      </c>
      <c r="AC102" s="697">
        <f t="shared" ca="1" si="221"/>
        <v>13635.71868480111</v>
      </c>
      <c r="AD102" s="697">
        <f t="shared" ca="1" si="221"/>
        <v>11497.810848536479</v>
      </c>
      <c r="AE102" s="340"/>
      <c r="AF102" s="340"/>
      <c r="AG102" s="340"/>
      <c r="AH102" s="340"/>
      <c r="AI102" s="340"/>
      <c r="AJ102" s="340"/>
      <c r="AK102" s="340"/>
      <c r="AL102" s="340"/>
      <c r="AM102" s="340"/>
    </row>
    <row r="103" spans="1:39" ht="15.75">
      <c r="A103" s="340"/>
      <c r="B103" s="692" t="s">
        <v>55</v>
      </c>
      <c r="C103" s="693"/>
      <c r="D103" s="693"/>
      <c r="E103" s="693"/>
      <c r="F103" s="693"/>
      <c r="G103" s="693"/>
      <c r="H103" s="693"/>
      <c r="I103" s="693"/>
      <c r="J103" s="693"/>
      <c r="K103" s="693"/>
      <c r="L103" s="693">
        <f t="shared" ref="L103:R103" si="222">L101+L86</f>
        <v>1175.8870920815</v>
      </c>
      <c r="M103" s="693">
        <f t="shared" si="222"/>
        <v>-399.52295733699998</v>
      </c>
      <c r="N103" s="693">
        <f t="shared" si="222"/>
        <v>751.40000000000009</v>
      </c>
      <c r="O103" s="693">
        <f t="shared" si="222"/>
        <v>1042.1800200000002</v>
      </c>
      <c r="P103" s="693">
        <f t="shared" si="222"/>
        <v>2212.41048</v>
      </c>
      <c r="Q103" s="693">
        <f t="shared" si="222"/>
        <v>343.50366000000008</v>
      </c>
      <c r="R103" s="693">
        <f t="shared" si="222"/>
        <v>914.39954000000057</v>
      </c>
      <c r="S103" s="693">
        <f t="shared" ref="S103:T103" si="223">S101+S86</f>
        <v>824.51974000000018</v>
      </c>
      <c r="T103" s="693">
        <f t="shared" si="223"/>
        <v>-669.97745999999984</v>
      </c>
      <c r="U103" s="693">
        <f ca="1">U101+U86</f>
        <v>-639.11560260982469</v>
      </c>
      <c r="V103" s="693">
        <f>V101+V86</f>
        <v>2372.3882019149751</v>
      </c>
      <c r="W103" s="693">
        <f>W101+W86</f>
        <v>2123.0493240034175</v>
      </c>
      <c r="X103" s="693">
        <f ca="1">X101+X86</f>
        <v>0</v>
      </c>
      <c r="Y103" s="693">
        <f ca="1">Y101+Y86</f>
        <v>0</v>
      </c>
      <c r="Z103" s="693">
        <f t="shared" ref="Z103:AD103" ca="1" si="224">Z101+Z86</f>
        <v>1.8189894035458565E-12</v>
      </c>
      <c r="AA103" s="693">
        <f t="shared" ca="1" si="224"/>
        <v>0</v>
      </c>
      <c r="AB103" s="693">
        <f t="shared" ca="1" si="224"/>
        <v>0</v>
      </c>
      <c r="AC103" s="693">
        <f t="shared" ca="1" si="224"/>
        <v>0</v>
      </c>
      <c r="AD103" s="693">
        <f t="shared" ca="1" si="224"/>
        <v>0</v>
      </c>
      <c r="AE103" s="340"/>
      <c r="AF103" s="340"/>
      <c r="AG103" s="340"/>
      <c r="AH103" s="340"/>
      <c r="AI103" s="340"/>
      <c r="AJ103" s="340"/>
      <c r="AK103" s="340"/>
      <c r="AL103" s="340"/>
      <c r="AM103" s="340"/>
    </row>
    <row r="104" spans="1:39" ht="15.75">
      <c r="A104" s="340"/>
      <c r="B104" s="692"/>
      <c r="C104" s="692"/>
      <c r="D104" s="692"/>
      <c r="E104" s="723"/>
      <c r="F104" s="692"/>
      <c r="G104" s="692"/>
      <c r="H104" s="692"/>
      <c r="I104" s="692"/>
      <c r="J104" s="692"/>
      <c r="K104" s="716"/>
      <c r="L104" s="692"/>
      <c r="M104" s="693"/>
      <c r="N104" s="693"/>
      <c r="O104" s="693"/>
      <c r="P104" s="693"/>
      <c r="Q104" s="693"/>
      <c r="R104" s="692"/>
      <c r="S104" s="692"/>
      <c r="T104" s="692"/>
      <c r="U104" s="692"/>
      <c r="V104" s="692"/>
      <c r="W104" s="692"/>
      <c r="X104" s="692"/>
      <c r="Y104" s="692"/>
      <c r="Z104" s="692"/>
      <c r="AA104" s="692"/>
      <c r="AB104" s="692"/>
      <c r="AC104" s="692"/>
      <c r="AD104" s="692"/>
      <c r="AE104" s="340"/>
      <c r="AF104" s="726"/>
      <c r="AG104" s="726"/>
      <c r="AH104" s="726"/>
      <c r="AI104" s="340"/>
      <c r="AJ104" s="340"/>
      <c r="AK104" s="340"/>
      <c r="AL104" s="340"/>
      <c r="AM104" s="340"/>
    </row>
    <row r="105" spans="1:39" ht="15.75">
      <c r="A105" s="340"/>
      <c r="B105" s="692"/>
      <c r="C105" s="692"/>
      <c r="D105" s="692"/>
      <c r="E105" s="723"/>
      <c r="F105" s="692"/>
      <c r="G105" s="692"/>
      <c r="H105" s="692"/>
      <c r="I105" s="692"/>
      <c r="J105" s="692"/>
      <c r="K105" s="716"/>
      <c r="L105" s="692"/>
      <c r="M105" s="693"/>
      <c r="N105" s="693"/>
      <c r="O105" s="693"/>
      <c r="P105" s="693"/>
      <c r="Q105" s="693"/>
      <c r="R105" s="692"/>
      <c r="S105" s="692"/>
      <c r="T105" s="692"/>
      <c r="U105" s="692"/>
      <c r="V105" s="692"/>
      <c r="W105" s="692"/>
      <c r="X105" s="692"/>
      <c r="Y105" s="692"/>
      <c r="Z105" s="692"/>
      <c r="AA105" s="692"/>
      <c r="AB105" s="692"/>
      <c r="AC105" s="692"/>
      <c r="AD105" s="692"/>
      <c r="AE105" s="340"/>
      <c r="AF105" s="726"/>
      <c r="AG105" s="726"/>
      <c r="AH105" s="726"/>
      <c r="AI105" s="340"/>
      <c r="AJ105" s="340"/>
      <c r="AK105" s="340"/>
      <c r="AL105" s="340"/>
      <c r="AM105" s="340"/>
    </row>
    <row r="106" spans="1:39" ht="15.75">
      <c r="A106" s="340"/>
      <c r="B106" s="692"/>
      <c r="C106" s="692"/>
      <c r="D106" s="692"/>
      <c r="E106" s="723"/>
      <c r="F106" s="692"/>
      <c r="G106" s="692"/>
      <c r="H106" s="692"/>
      <c r="I106" s="692"/>
      <c r="J106" s="692"/>
      <c r="K106" s="716"/>
      <c r="L106" s="692"/>
      <c r="M106" s="693"/>
      <c r="N106" s="693"/>
      <c r="O106" s="693"/>
      <c r="P106" s="693"/>
      <c r="Q106" s="693"/>
      <c r="R106" s="692"/>
      <c r="S106" s="692"/>
      <c r="T106" s="692"/>
      <c r="U106" s="692"/>
      <c r="V106" s="692"/>
      <c r="W106" s="692"/>
      <c r="X106" s="692"/>
      <c r="Y106" s="692"/>
      <c r="Z106" s="692"/>
      <c r="AA106" s="692"/>
      <c r="AB106" s="692"/>
      <c r="AC106" s="692"/>
      <c r="AD106" s="692"/>
      <c r="AE106" s="340"/>
      <c r="AF106" s="726"/>
      <c r="AG106" s="726"/>
      <c r="AH106" s="726"/>
      <c r="AI106" s="340"/>
      <c r="AJ106" s="340"/>
      <c r="AK106" s="340"/>
      <c r="AL106" s="340"/>
      <c r="AM106" s="340"/>
    </row>
    <row r="107" spans="1:39" ht="15.75">
      <c r="A107" s="340"/>
      <c r="B107" s="689" t="s">
        <v>6</v>
      </c>
      <c r="C107" s="689">
        <v>2003</v>
      </c>
      <c r="D107" s="689">
        <f t="shared" ref="D107:T107" si="225">C107+1</f>
        <v>2004</v>
      </c>
      <c r="E107" s="689">
        <f t="shared" si="225"/>
        <v>2005</v>
      </c>
      <c r="F107" s="689">
        <f t="shared" si="225"/>
        <v>2006</v>
      </c>
      <c r="G107" s="689">
        <f t="shared" si="225"/>
        <v>2007</v>
      </c>
      <c r="H107" s="689">
        <f t="shared" si="225"/>
        <v>2008</v>
      </c>
      <c r="I107" s="689">
        <f t="shared" si="225"/>
        <v>2009</v>
      </c>
      <c r="J107" s="689">
        <f t="shared" si="225"/>
        <v>2010</v>
      </c>
      <c r="K107" s="689">
        <f t="shared" si="225"/>
        <v>2011</v>
      </c>
      <c r="L107" s="689">
        <f t="shared" si="225"/>
        <v>2012</v>
      </c>
      <c r="M107" s="689">
        <f t="shared" si="225"/>
        <v>2013</v>
      </c>
      <c r="N107" s="689">
        <f t="shared" si="225"/>
        <v>2014</v>
      </c>
      <c r="O107" s="689">
        <f t="shared" si="225"/>
        <v>2015</v>
      </c>
      <c r="P107" s="689">
        <f t="shared" si="225"/>
        <v>2016</v>
      </c>
      <c r="Q107" s="689">
        <f t="shared" si="225"/>
        <v>2017</v>
      </c>
      <c r="R107" s="689">
        <f t="shared" si="225"/>
        <v>2018</v>
      </c>
      <c r="S107" s="689">
        <f t="shared" si="225"/>
        <v>2019</v>
      </c>
      <c r="T107" s="689">
        <f t="shared" si="225"/>
        <v>2020</v>
      </c>
      <c r="U107" s="689">
        <f t="shared" ref="U107" si="226">T107+1</f>
        <v>2021</v>
      </c>
      <c r="V107" s="689">
        <f t="shared" ref="V107" si="227">U107+1</f>
        <v>2022</v>
      </c>
      <c r="W107" s="689">
        <f t="shared" ref="W107" si="228">V107+1</f>
        <v>2023</v>
      </c>
      <c r="X107" s="689">
        <f t="shared" ref="X107" si="229">W107+1</f>
        <v>2024</v>
      </c>
      <c r="Y107" s="689">
        <f t="shared" ref="Y107" si="230">X107+1</f>
        <v>2025</v>
      </c>
      <c r="Z107" s="689">
        <f t="shared" ref="Z107" si="231">Y107+1</f>
        <v>2026</v>
      </c>
      <c r="AA107" s="689">
        <f t="shared" ref="AA107" si="232">Z107+1</f>
        <v>2027</v>
      </c>
      <c r="AB107" s="689">
        <f t="shared" ref="AB107" si="233">AA107+1</f>
        <v>2028</v>
      </c>
      <c r="AC107" s="689">
        <f t="shared" ref="AC107" si="234">AB107+1</f>
        <v>2029</v>
      </c>
      <c r="AD107" s="689">
        <f t="shared" ref="AD107" si="235">AC107+1</f>
        <v>2030</v>
      </c>
      <c r="AE107" s="340"/>
      <c r="AF107" s="340"/>
      <c r="AG107" s="340"/>
      <c r="AH107" s="340"/>
      <c r="AI107" s="340"/>
      <c r="AJ107" s="340"/>
      <c r="AK107" s="340"/>
      <c r="AL107" s="340"/>
      <c r="AM107" s="340"/>
    </row>
    <row r="108" spans="1:39" ht="15.75">
      <c r="A108" s="340"/>
      <c r="B108" s="692" t="s">
        <v>6</v>
      </c>
      <c r="C108" s="727"/>
      <c r="D108" s="727"/>
      <c r="E108" s="727"/>
      <c r="F108" s="727"/>
      <c r="G108" s="727"/>
      <c r="H108" s="727"/>
      <c r="I108" s="727"/>
      <c r="J108" s="727"/>
      <c r="K108" s="727"/>
      <c r="L108" s="728">
        <v>1057</v>
      </c>
      <c r="M108" s="728">
        <v>1250</v>
      </c>
      <c r="N108" s="728">
        <f>1731.8-N132</f>
        <v>1558.6596881959911</v>
      </c>
      <c r="O108" s="728">
        <f>1952-O132</f>
        <v>1851.2081983720318</v>
      </c>
      <c r="P108" s="728">
        <f>2100-P132</f>
        <v>1877.4840745931269</v>
      </c>
      <c r="Q108" s="728">
        <f>2485-Q132</f>
        <v>2364.6981962095792</v>
      </c>
      <c r="R108" s="728">
        <f>3287.3-R132</f>
        <v>3181.64957479646</v>
      </c>
      <c r="S108" s="728">
        <f>4115-S132</f>
        <v>4070.5279947361491</v>
      </c>
      <c r="T108" s="728">
        <f>4708-T132</f>
        <v>4661.4850579178892</v>
      </c>
      <c r="U108" s="728">
        <f ca="1">5298-U132</f>
        <v>4991.6720000000005</v>
      </c>
      <c r="V108" s="728">
        <f>6240.217-V132</f>
        <v>6184.5499999999993</v>
      </c>
      <c r="W108" s="728">
        <f>7199.215-W132</f>
        <v>7143.1377199999997</v>
      </c>
      <c r="X108" s="729">
        <f>X111+X112</f>
        <v>8279.8086283226457</v>
      </c>
      <c r="Y108" s="729">
        <f ca="1">Y111+Y112</f>
        <v>8293.0353476439795</v>
      </c>
      <c r="Z108" s="729">
        <f t="shared" ref="Z108:AD108" ca="1" si="236">Z111+Z112</f>
        <v>8588.6902043931095</v>
      </c>
      <c r="AA108" s="729">
        <f t="shared" ca="1" si="236"/>
        <v>8776.8049745311455</v>
      </c>
      <c r="AB108" s="729">
        <f t="shared" ca="1" si="236"/>
        <v>8895.8140103336191</v>
      </c>
      <c r="AC108" s="729">
        <f t="shared" ca="1" si="236"/>
        <v>9070.6402938320389</v>
      </c>
      <c r="AD108" s="729">
        <f t="shared" ca="1" si="236"/>
        <v>9291.2463722086432</v>
      </c>
      <c r="AE108" s="340"/>
      <c r="AF108" s="340"/>
      <c r="AG108" s="340"/>
      <c r="AH108" s="340"/>
      <c r="AI108" s="340"/>
      <c r="AJ108" s="340"/>
      <c r="AK108" s="340"/>
      <c r="AL108" s="340"/>
      <c r="AM108" s="340"/>
    </row>
    <row r="109" spans="1:39" ht="15.75">
      <c r="A109" s="340"/>
      <c r="B109" s="692" t="s">
        <v>2</v>
      </c>
      <c r="C109" s="727"/>
      <c r="D109" s="727"/>
      <c r="E109" s="727"/>
      <c r="F109" s="727"/>
      <c r="G109" s="727"/>
      <c r="H109" s="727"/>
      <c r="I109" s="727"/>
      <c r="J109" s="727"/>
      <c r="K109" s="727"/>
      <c r="L109" s="701"/>
      <c r="M109" s="701">
        <f t="shared" ref="M109:T109" si="237">M108/L108-1</f>
        <v>0.18259224219489112</v>
      </c>
      <c r="N109" s="701">
        <f t="shared" si="237"/>
        <v>0.24692775055679284</v>
      </c>
      <c r="O109" s="701">
        <f t="shared" si="237"/>
        <v>0.18769235670336704</v>
      </c>
      <c r="P109" s="701">
        <f t="shared" si="237"/>
        <v>1.4193906576365878E-2</v>
      </c>
      <c r="Q109" s="701">
        <f t="shared" si="237"/>
        <v>0.25950373066255561</v>
      </c>
      <c r="R109" s="701">
        <f t="shared" si="237"/>
        <v>0.34547807407151909</v>
      </c>
      <c r="S109" s="701">
        <f t="shared" si="237"/>
        <v>0.27937659350701849</v>
      </c>
      <c r="T109" s="701">
        <f t="shared" si="237"/>
        <v>0.14517946171748308</v>
      </c>
      <c r="U109" s="701">
        <f t="shared" ref="U109" ca="1" si="238">U108/T108-1</f>
        <v>7.0832993773360498E-2</v>
      </c>
      <c r="V109" s="701">
        <f t="shared" ref="V109" ca="1" si="239">V108/U108-1</f>
        <v>0.23897363448559905</v>
      </c>
      <c r="W109" s="701">
        <f>W108/V108-1</f>
        <v>0.15499716551729725</v>
      </c>
      <c r="X109" s="701">
        <f>X108/W108-1</f>
        <v>0.15912767650273518</v>
      </c>
      <c r="Y109" s="701">
        <f ca="1">Y108/X108-1</f>
        <v>1.5974667912117546E-3</v>
      </c>
      <c r="Z109" s="701">
        <f t="shared" ref="Z109:AD109" ca="1" si="240">Z108/Y108-1</f>
        <v>3.5650982343048199E-2</v>
      </c>
      <c r="AA109" s="701">
        <f t="shared" ca="1" si="240"/>
        <v>2.1902614445426849E-2</v>
      </c>
      <c r="AB109" s="701">
        <f t="shared" ca="1" si="240"/>
        <v>1.3559494160781504E-2</v>
      </c>
      <c r="AC109" s="701">
        <f t="shared" ca="1" si="240"/>
        <v>1.9652645985554162E-2</v>
      </c>
      <c r="AD109" s="701">
        <f t="shared" ca="1" si="240"/>
        <v>2.4320893699931512E-2</v>
      </c>
      <c r="AE109" s="340"/>
      <c r="AF109" s="340"/>
      <c r="AG109" s="340"/>
      <c r="AH109" s="340"/>
      <c r="AI109" s="340"/>
      <c r="AJ109" s="340"/>
      <c r="AK109" s="340"/>
      <c r="AL109" s="340"/>
      <c r="AM109" s="340"/>
    </row>
    <row r="110" spans="1:39" ht="15.75">
      <c r="A110" s="340"/>
      <c r="B110" s="692" t="s">
        <v>56</v>
      </c>
      <c r="C110" s="727"/>
      <c r="D110" s="727"/>
      <c r="E110" s="727"/>
      <c r="F110" s="727"/>
      <c r="G110" s="727"/>
      <c r="H110" s="727"/>
      <c r="I110" s="727"/>
      <c r="J110" s="727"/>
      <c r="K110" s="727"/>
      <c r="L110" s="701">
        <f>L108/L118</f>
        <v>9.1349062310949788E-2</v>
      </c>
      <c r="M110" s="701">
        <f>M108/M118</f>
        <v>0.10011212558065033</v>
      </c>
      <c r="N110" s="701">
        <f t="shared" ref="N110:R110" si="241">N108/N118</f>
        <v>0.10883734991941842</v>
      </c>
      <c r="O110" s="701">
        <f t="shared" si="241"/>
        <v>0.10483679909231124</v>
      </c>
      <c r="P110" s="701">
        <f t="shared" si="241"/>
        <v>8.7235576368047907E-2</v>
      </c>
      <c r="Q110" s="701">
        <f t="shared" si="241"/>
        <v>9.6973475341791238E-2</v>
      </c>
      <c r="R110" s="701">
        <f t="shared" si="241"/>
        <v>0.118320921338656</v>
      </c>
      <c r="S110" s="701">
        <f t="shared" ref="S110:T110" si="242">S108/S118</f>
        <v>0.13292388057134014</v>
      </c>
      <c r="T110" s="701">
        <f t="shared" si="242"/>
        <v>0.13789743988634154</v>
      </c>
      <c r="U110" s="701">
        <f t="shared" ref="U110" ca="1" si="243">U108/U118</f>
        <v>0.12775612537712547</v>
      </c>
      <c r="V110" s="701">
        <f>V108/V118</f>
        <v>0.133760414443923</v>
      </c>
      <c r="W110" s="701">
        <f>W108/W118</f>
        <v>0.1337487532330652</v>
      </c>
      <c r="X110" s="701">
        <f ca="1">X108/X118</f>
        <v>0.15478461828268358</v>
      </c>
      <c r="Y110" s="701">
        <f ca="1">Y108/Y118</f>
        <v>0.14969510405854849</v>
      </c>
      <c r="Z110" s="701">
        <f t="shared" ref="Z110:AD110" ca="1" si="244">Z108/Z118</f>
        <v>0.15170905659568582</v>
      </c>
      <c r="AA110" s="701">
        <f t="shared" ca="1" si="244"/>
        <v>0.15295785048962085</v>
      </c>
      <c r="AB110" s="701">
        <f t="shared" ca="1" si="244"/>
        <v>0.15204381823609464</v>
      </c>
      <c r="AC110" s="701">
        <f t="shared" ca="1" si="244"/>
        <v>0.15135089259986939</v>
      </c>
      <c r="AD110" s="701">
        <f t="shared" ca="1" si="244"/>
        <v>0.15079729058601204</v>
      </c>
      <c r="AE110" s="340"/>
      <c r="AF110" s="340"/>
      <c r="AG110" s="340"/>
      <c r="AH110" s="340"/>
      <c r="AI110" s="340"/>
      <c r="AJ110" s="340"/>
      <c r="AK110" s="340"/>
      <c r="AL110" s="340"/>
      <c r="AM110" s="340"/>
    </row>
    <row r="111" spans="1:39" ht="15.75">
      <c r="A111" s="340"/>
      <c r="B111" s="692" t="s">
        <v>57</v>
      </c>
      <c r="C111" s="727"/>
      <c r="D111" s="727"/>
      <c r="E111" s="727"/>
      <c r="F111" s="727"/>
      <c r="G111" s="727"/>
      <c r="H111" s="727"/>
      <c r="I111" s="727"/>
      <c r="J111" s="727"/>
      <c r="K111" s="727"/>
      <c r="L111" s="728">
        <v>0</v>
      </c>
      <c r="M111" s="728">
        <v>0</v>
      </c>
      <c r="N111" s="728">
        <v>0</v>
      </c>
      <c r="O111" s="728">
        <v>0</v>
      </c>
      <c r="P111" s="728">
        <v>0</v>
      </c>
      <c r="Q111" s="728">
        <v>0</v>
      </c>
      <c r="R111" s="728">
        <v>0</v>
      </c>
      <c r="S111" s="728">
        <v>0</v>
      </c>
      <c r="T111" s="728">
        <v>0</v>
      </c>
      <c r="U111" s="728">
        <v>0</v>
      </c>
      <c r="V111" s="728">
        <v>0</v>
      </c>
      <c r="W111" s="728">
        <v>0</v>
      </c>
      <c r="X111" s="728">
        <v>0</v>
      </c>
      <c r="Y111" s="728">
        <v>0</v>
      </c>
      <c r="Z111" s="728">
        <v>0</v>
      </c>
      <c r="AA111" s="728">
        <v>0</v>
      </c>
      <c r="AB111" s="728">
        <v>0</v>
      </c>
      <c r="AC111" s="728">
        <v>0</v>
      </c>
      <c r="AD111" s="728">
        <v>0</v>
      </c>
      <c r="AE111" s="340"/>
      <c r="AF111" s="340"/>
      <c r="AG111" s="340"/>
      <c r="AH111" s="340"/>
      <c r="AI111" s="340"/>
      <c r="AJ111" s="340"/>
      <c r="AK111" s="340"/>
      <c r="AL111" s="340"/>
      <c r="AM111" s="340"/>
    </row>
    <row r="112" spans="1:39" ht="15.75">
      <c r="A112" s="340"/>
      <c r="B112" s="692" t="s">
        <v>58</v>
      </c>
      <c r="C112" s="727"/>
      <c r="D112" s="727"/>
      <c r="E112" s="727"/>
      <c r="F112" s="727"/>
      <c r="G112" s="727"/>
      <c r="H112" s="727"/>
      <c r="I112" s="727"/>
      <c r="J112" s="727"/>
      <c r="K112" s="727"/>
      <c r="L112" s="693">
        <f>L108-L111</f>
        <v>1057</v>
      </c>
      <c r="M112" s="693">
        <f>M108-M111</f>
        <v>1250</v>
      </c>
      <c r="N112" s="729">
        <f t="shared" ref="N112:T112" si="245">M118/N113*2</f>
        <v>1568.4258762383101</v>
      </c>
      <c r="O112" s="729">
        <f t="shared" si="245"/>
        <v>1713.2656745924075</v>
      </c>
      <c r="P112" s="729">
        <f t="shared" si="245"/>
        <v>1920.4375825680488</v>
      </c>
      <c r="Q112" s="729">
        <f t="shared" si="245"/>
        <v>2340.6760477987059</v>
      </c>
      <c r="R112" s="729">
        <f t="shared" si="245"/>
        <v>3065.9518946641206</v>
      </c>
      <c r="S112" s="729">
        <f t="shared" si="245"/>
        <v>3735.8101653162016</v>
      </c>
      <c r="T112" s="729">
        <f t="shared" si="245"/>
        <v>4341.2585929249944</v>
      </c>
      <c r="U112" s="729">
        <f t="shared" ref="U112" si="246">T118/U113*2</f>
        <v>5044.4335948121734</v>
      </c>
      <c r="V112" s="729">
        <f t="shared" ref="V112" si="247">U118/V113*2</f>
        <v>6269.3956204352562</v>
      </c>
      <c r="W112" s="729">
        <f>V118/W113*2</f>
        <v>7168.0581071077886</v>
      </c>
      <c r="X112" s="729">
        <f>W118/X113*2</f>
        <v>8279.8086283226457</v>
      </c>
      <c r="Y112" s="729">
        <f ca="1">X118/Y113*2</f>
        <v>8293.0353476439795</v>
      </c>
      <c r="Z112" s="729">
        <f t="shared" ref="Z112:AD112" ca="1" si="248">Y118/Z113*2</f>
        <v>8588.6902043931095</v>
      </c>
      <c r="AA112" s="729">
        <f t="shared" ca="1" si="248"/>
        <v>8776.8049745311455</v>
      </c>
      <c r="AB112" s="729">
        <f t="shared" ca="1" si="248"/>
        <v>8895.8140103336191</v>
      </c>
      <c r="AC112" s="729">
        <f t="shared" ca="1" si="248"/>
        <v>9070.6402938320389</v>
      </c>
      <c r="AD112" s="729">
        <f t="shared" ca="1" si="248"/>
        <v>9291.2463722086432</v>
      </c>
      <c r="AE112" s="340"/>
      <c r="AF112" s="340"/>
      <c r="AG112" s="340"/>
      <c r="AH112" s="340"/>
      <c r="AI112" s="340"/>
      <c r="AJ112" s="340"/>
      <c r="AK112" s="340"/>
      <c r="AL112" s="340"/>
      <c r="AM112" s="340"/>
    </row>
    <row r="113" spans="1:39" ht="15.75">
      <c r="A113" s="340"/>
      <c r="B113" s="692" t="s">
        <v>59</v>
      </c>
      <c r="C113" s="727"/>
      <c r="D113" s="727"/>
      <c r="E113" s="727"/>
      <c r="F113" s="727"/>
      <c r="G113" s="727"/>
      <c r="H113" s="727"/>
      <c r="I113" s="727"/>
      <c r="J113" s="727"/>
      <c r="K113" s="727"/>
      <c r="L113" s="730">
        <f>K118/L112*2</f>
        <v>0</v>
      </c>
      <c r="M113" s="730">
        <f>L118/M112*2</f>
        <v>18.5136</v>
      </c>
      <c r="N113" s="730">
        <f t="shared" ref="N113:T113" si="249">M113*(1+N114)</f>
        <v>15.921696000000001</v>
      </c>
      <c r="O113" s="730">
        <f t="shared" si="249"/>
        <v>16.7177808</v>
      </c>
      <c r="P113" s="730">
        <f t="shared" si="249"/>
        <v>18.389558880000003</v>
      </c>
      <c r="Q113" s="730">
        <f t="shared" si="249"/>
        <v>18.389558880000003</v>
      </c>
      <c r="R113" s="730">
        <f t="shared" si="249"/>
        <v>15.906968431200003</v>
      </c>
      <c r="S113" s="730">
        <f t="shared" si="249"/>
        <v>14.395806430236004</v>
      </c>
      <c r="T113" s="730">
        <f t="shared" si="249"/>
        <v>14.107890301631283</v>
      </c>
      <c r="U113" s="730">
        <f t="shared" ref="U113" si="250">T113*(1+U114)</f>
        <v>13.402495786549718</v>
      </c>
      <c r="V113" s="730">
        <f t="shared" ref="V113" si="251">U113*(1+V114)</f>
        <v>12.464321081491237</v>
      </c>
      <c r="W113" s="730">
        <f t="shared" ref="W113" si="252">V113*(1+W114)</f>
        <v>12.900572319343429</v>
      </c>
      <c r="X113" s="730">
        <f t="shared" ref="X113" si="253">W113*(1+X114)</f>
        <v>12.900572319343429</v>
      </c>
      <c r="Y113" s="730">
        <f t="shared" ref="Y113" si="254">X113*(1+Y114)</f>
        <v>12.900572319343429</v>
      </c>
      <c r="Z113" s="730">
        <f t="shared" ref="Z113" si="255">Y113*(1+Z114)</f>
        <v>12.900572319343429</v>
      </c>
      <c r="AA113" s="730">
        <f t="shared" ref="AA113" si="256">Z113*(1+AA114)</f>
        <v>12.900572319343429</v>
      </c>
      <c r="AB113" s="730">
        <f t="shared" ref="AB113" si="257">AA113*(1+AB114)</f>
        <v>12.900572319343429</v>
      </c>
      <c r="AC113" s="730">
        <f t="shared" ref="AC113" si="258">AB113*(1+AC114)</f>
        <v>12.900572319343429</v>
      </c>
      <c r="AD113" s="730">
        <f t="shared" ref="AD113" si="259">AC113*(1+AD114)</f>
        <v>12.900572319343429</v>
      </c>
      <c r="AE113" s="340"/>
      <c r="AF113" s="340"/>
      <c r="AG113" s="340"/>
      <c r="AH113" s="340"/>
      <c r="AI113" s="340"/>
      <c r="AJ113" s="340"/>
      <c r="AK113" s="340"/>
      <c r="AL113" s="340"/>
      <c r="AM113" s="340"/>
    </row>
    <row r="114" spans="1:39" ht="15.75">
      <c r="A114" s="340"/>
      <c r="B114" s="692" t="s">
        <v>2</v>
      </c>
      <c r="C114" s="727"/>
      <c r="D114" s="727"/>
      <c r="E114" s="727"/>
      <c r="F114" s="727"/>
      <c r="G114" s="727"/>
      <c r="H114" s="727"/>
      <c r="I114" s="727"/>
      <c r="J114" s="727"/>
      <c r="K114" s="727"/>
      <c r="L114" s="731"/>
      <c r="M114" s="731"/>
      <c r="N114" s="732">
        <v>-0.14000000000000001</v>
      </c>
      <c r="O114" s="732">
        <v>0.05</v>
      </c>
      <c r="P114" s="732">
        <v>0.1</v>
      </c>
      <c r="Q114" s="732">
        <v>0</v>
      </c>
      <c r="R114" s="732">
        <v>-0.13500000000000001</v>
      </c>
      <c r="S114" s="732">
        <v>-9.5000000000000001E-2</v>
      </c>
      <c r="T114" s="732">
        <v>-0.02</v>
      </c>
      <c r="U114" s="732">
        <v>-0.05</v>
      </c>
      <c r="V114" s="732">
        <v>-7.0000000000000007E-2</v>
      </c>
      <c r="W114" s="732">
        <v>3.5000000000000003E-2</v>
      </c>
      <c r="X114" s="732">
        <v>0</v>
      </c>
      <c r="Y114" s="732">
        <v>0</v>
      </c>
      <c r="Z114" s="732">
        <v>0</v>
      </c>
      <c r="AA114" s="732">
        <v>0</v>
      </c>
      <c r="AB114" s="732">
        <v>0</v>
      </c>
      <c r="AC114" s="732">
        <v>0</v>
      </c>
      <c r="AD114" s="732">
        <v>0</v>
      </c>
      <c r="AE114" s="340"/>
      <c r="AF114" s="340"/>
      <c r="AG114" s="340"/>
      <c r="AH114" s="340"/>
      <c r="AI114" s="340"/>
      <c r="AJ114" s="340"/>
      <c r="AK114" s="340"/>
      <c r="AL114" s="340"/>
      <c r="AM114" s="340"/>
    </row>
    <row r="115" spans="1:39" ht="15.75">
      <c r="A115" s="340"/>
      <c r="B115" s="692"/>
      <c r="C115" s="727"/>
      <c r="D115" s="727"/>
      <c r="E115" s="727"/>
      <c r="F115" s="727"/>
      <c r="G115" s="727"/>
      <c r="H115" s="727"/>
      <c r="I115" s="727"/>
      <c r="J115" s="727"/>
      <c r="K115" s="727"/>
      <c r="L115" s="692"/>
      <c r="M115" s="692"/>
      <c r="N115" s="692"/>
      <c r="O115" s="692"/>
      <c r="P115" s="692"/>
      <c r="Q115" s="692"/>
      <c r="R115" s="692"/>
      <c r="S115" s="692"/>
      <c r="T115" s="692"/>
      <c r="U115" s="692"/>
      <c r="V115" s="692"/>
      <c r="W115" s="692"/>
      <c r="X115" s="692"/>
      <c r="Y115" s="692"/>
      <c r="Z115" s="692"/>
      <c r="AA115" s="692"/>
      <c r="AB115" s="692"/>
      <c r="AC115" s="692"/>
      <c r="AD115" s="692"/>
      <c r="AE115" s="340"/>
      <c r="AF115" s="340"/>
      <c r="AG115" s="340"/>
      <c r="AH115" s="340"/>
      <c r="AI115" s="340"/>
      <c r="AJ115" s="340"/>
      <c r="AK115" s="340"/>
      <c r="AL115" s="340"/>
      <c r="AM115" s="340"/>
    </row>
    <row r="116" spans="1:39" ht="15.75">
      <c r="A116" s="340"/>
      <c r="B116" s="692" t="s">
        <v>60</v>
      </c>
      <c r="C116" s="727"/>
      <c r="D116" s="727"/>
      <c r="E116" s="727"/>
      <c r="F116" s="727"/>
      <c r="G116" s="727"/>
      <c r="H116" s="727"/>
      <c r="I116" s="727"/>
      <c r="J116" s="727"/>
      <c r="K116" s="727"/>
      <c r="L116" s="693">
        <f>L118+L117</f>
        <v>18070</v>
      </c>
      <c r="M116" s="693">
        <f>M118+M117</f>
        <v>20236</v>
      </c>
      <c r="N116" s="693">
        <f t="shared" ref="N116:U116" si="260">N117+N118</f>
        <v>23629.659688195992</v>
      </c>
      <c r="O116" s="693">
        <f t="shared" si="260"/>
        <v>28817.867886568023</v>
      </c>
      <c r="P116" s="693">
        <f t="shared" si="260"/>
        <v>34559.351961161148</v>
      </c>
      <c r="Q116" s="693">
        <f t="shared" si="260"/>
        <v>39787.05015737073</v>
      </c>
      <c r="R116" s="693">
        <f t="shared" si="260"/>
        <v>45473.699732167188</v>
      </c>
      <c r="S116" s="693">
        <f t="shared" si="260"/>
        <v>53277.227726903337</v>
      </c>
      <c r="T116" s="693">
        <f t="shared" si="260"/>
        <v>61119.712784821226</v>
      </c>
      <c r="U116" s="693">
        <f t="shared" ca="1" si="260"/>
        <v>71379.264784821222</v>
      </c>
      <c r="V116" s="693">
        <f ca="1">U116+V44-V307+V126</f>
        <v>83321.385584821226</v>
      </c>
      <c r="W116" s="693">
        <f ca="1">V116+W44-W307+W126</f>
        <v>96378.628800821229</v>
      </c>
      <c r="X116" s="693">
        <f ca="1">W116+X44-X307+X126</f>
        <v>107407.33225772013</v>
      </c>
      <c r="Y116" s="693">
        <f ca="1">X116+Y44-Y307+Y126</f>
        <v>117607.42603589274</v>
      </c>
      <c r="Z116" s="693">
        <f t="shared" ref="Z116:AD116" ca="1" si="261">Y116+Z44-Z307+Z126</f>
        <v>127409.51033853705</v>
      </c>
      <c r="AA116" s="693">
        <f t="shared" ca="1" si="261"/>
        <v>136953.95764958076</v>
      </c>
      <c r="AB116" s="693">
        <f t="shared" ca="1" si="261"/>
        <v>146977.45121671108</v>
      </c>
      <c r="AC116" s="693">
        <f t="shared" ca="1" si="261"/>
        <v>157471.06384463518</v>
      </c>
      <c r="AD116" s="693">
        <f t="shared" ca="1" si="261"/>
        <v>168445.258957037</v>
      </c>
      <c r="AE116" s="340"/>
      <c r="AF116" s="340"/>
      <c r="AG116" s="340"/>
      <c r="AH116" s="340"/>
      <c r="AI116" s="340"/>
      <c r="AJ116" s="340"/>
      <c r="AK116" s="340"/>
      <c r="AL116" s="340"/>
      <c r="AM116" s="340"/>
    </row>
    <row r="117" spans="1:39" ht="15.75">
      <c r="A117" s="340"/>
      <c r="B117" s="692" t="s">
        <v>61</v>
      </c>
      <c r="C117" s="727"/>
      <c r="D117" s="727"/>
      <c r="E117" s="727"/>
      <c r="F117" s="727"/>
      <c r="G117" s="727"/>
      <c r="H117" s="727"/>
      <c r="I117" s="727"/>
      <c r="J117" s="727"/>
      <c r="K117" s="727"/>
      <c r="L117" s="486">
        <v>6499</v>
      </c>
      <c r="M117" s="486">
        <v>7750</v>
      </c>
      <c r="N117" s="693">
        <f>M117+N108</f>
        <v>9308.6596881959904</v>
      </c>
      <c r="O117" s="693">
        <f t="shared" ref="O117:T117" si="262">N117+O108</f>
        <v>11159.867886568023</v>
      </c>
      <c r="P117" s="693">
        <f>O117+P108</f>
        <v>13037.35196116115</v>
      </c>
      <c r="Q117" s="693">
        <f t="shared" si="262"/>
        <v>15402.05015737073</v>
      </c>
      <c r="R117" s="693">
        <f t="shared" si="262"/>
        <v>18583.699732167188</v>
      </c>
      <c r="S117" s="693">
        <f t="shared" si="262"/>
        <v>22654.227726903337</v>
      </c>
      <c r="T117" s="693">
        <f t="shared" si="262"/>
        <v>27315.712784821226</v>
      </c>
      <c r="U117" s="693">
        <f t="shared" ref="U117" ca="1" si="263">T117+U108</f>
        <v>32307.384784821224</v>
      </c>
      <c r="V117" s="693">
        <f t="shared" ref="V117" ca="1" si="264">U117+V108</f>
        <v>38491.93478482122</v>
      </c>
      <c r="W117" s="693">
        <f ca="1">V117+W108</f>
        <v>45635.072504821219</v>
      </c>
      <c r="X117" s="693">
        <f ca="1">W117+X108</f>
        <v>53914.881133143863</v>
      </c>
      <c r="Y117" s="693">
        <f ca="1">X117+Y108</f>
        <v>62207.916480787841</v>
      </c>
      <c r="Z117" s="693">
        <f t="shared" ref="Z117:AD117" ca="1" si="265">Y117+Z108</f>
        <v>70796.606685180945</v>
      </c>
      <c r="AA117" s="693">
        <f t="shared" ca="1" si="265"/>
        <v>79573.411659712088</v>
      </c>
      <c r="AB117" s="693">
        <f t="shared" ca="1" si="265"/>
        <v>88469.225670045707</v>
      </c>
      <c r="AC117" s="693">
        <f t="shared" ca="1" si="265"/>
        <v>97539.865963877746</v>
      </c>
      <c r="AD117" s="693">
        <f t="shared" ca="1" si="265"/>
        <v>106831.11233608639</v>
      </c>
      <c r="AE117" s="340"/>
      <c r="AF117" s="340"/>
      <c r="AG117" s="340"/>
      <c r="AH117" s="340"/>
      <c r="AI117" s="340"/>
      <c r="AJ117" s="340"/>
      <c r="AK117" s="340"/>
      <c r="AL117" s="340"/>
      <c r="AM117" s="340"/>
    </row>
    <row r="118" spans="1:39" ht="15.75">
      <c r="A118" s="340"/>
      <c r="B118" s="692" t="s">
        <v>30</v>
      </c>
      <c r="C118" s="727"/>
      <c r="D118" s="727"/>
      <c r="E118" s="727"/>
      <c r="F118" s="727"/>
      <c r="G118" s="727"/>
      <c r="H118" s="727"/>
      <c r="I118" s="727"/>
      <c r="J118" s="727"/>
      <c r="K118" s="727"/>
      <c r="L118" s="733">
        <v>11571</v>
      </c>
      <c r="M118" s="733">
        <v>12486</v>
      </c>
      <c r="N118" s="733">
        <v>14321</v>
      </c>
      <c r="O118" s="733">
        <v>17658</v>
      </c>
      <c r="P118" s="733">
        <v>21522</v>
      </c>
      <c r="Q118" s="733">
        <v>24385</v>
      </c>
      <c r="R118" s="733">
        <v>26890</v>
      </c>
      <c r="S118" s="733">
        <v>30623</v>
      </c>
      <c r="T118" s="733">
        <v>33804</v>
      </c>
      <c r="U118" s="733">
        <v>39071.879999999997</v>
      </c>
      <c r="V118" s="733">
        <v>46236.025999999998</v>
      </c>
      <c r="W118" s="733">
        <v>53407.135000000002</v>
      </c>
      <c r="X118" s="697">
        <f ca="1">X116-X117</f>
        <v>53492.45112457627</v>
      </c>
      <c r="Y118" s="697">
        <f ca="1">Y116-Y117</f>
        <v>55399.509555104902</v>
      </c>
      <c r="Z118" s="697">
        <f t="shared" ref="Z118:AD118" ca="1" si="266">Z116-Z117</f>
        <v>56612.903653356101</v>
      </c>
      <c r="AA118" s="697">
        <f t="shared" ca="1" si="266"/>
        <v>57380.545989868668</v>
      </c>
      <c r="AB118" s="697">
        <f t="shared" ca="1" si="266"/>
        <v>58508.225546665373</v>
      </c>
      <c r="AC118" s="697">
        <f t="shared" ca="1" si="266"/>
        <v>59931.197880757434</v>
      </c>
      <c r="AD118" s="697">
        <f t="shared" ca="1" si="266"/>
        <v>61614.146620950618</v>
      </c>
      <c r="AE118" s="340"/>
      <c r="AF118" s="340"/>
      <c r="AG118" s="340"/>
      <c r="AH118" s="340"/>
      <c r="AI118" s="340"/>
      <c r="AJ118" s="340"/>
      <c r="AK118" s="340"/>
      <c r="AL118" s="340"/>
      <c r="AM118" s="340"/>
    </row>
    <row r="119" spans="1:39" ht="15.75">
      <c r="A119" s="340"/>
      <c r="B119" s="692" t="s">
        <v>2</v>
      </c>
      <c r="C119" s="727"/>
      <c r="D119" s="727"/>
      <c r="E119" s="727"/>
      <c r="F119" s="727"/>
      <c r="G119" s="727"/>
      <c r="H119" s="727"/>
      <c r="I119" s="727"/>
      <c r="J119" s="727"/>
      <c r="K119" s="727"/>
      <c r="L119" s="708"/>
      <c r="M119" s="708">
        <f t="shared" ref="M119:T119" si="267">M118/L118-1</f>
        <v>7.9077002851957401E-2</v>
      </c>
      <c r="N119" s="708">
        <f t="shared" si="267"/>
        <v>0.14696460035239478</v>
      </c>
      <c r="O119" s="708">
        <f t="shared" si="267"/>
        <v>0.23301445429788425</v>
      </c>
      <c r="P119" s="708">
        <f t="shared" si="267"/>
        <v>0.21882432891607206</v>
      </c>
      <c r="Q119" s="708">
        <f t="shared" si="267"/>
        <v>0.13302667038379323</v>
      </c>
      <c r="R119" s="708">
        <f t="shared" si="267"/>
        <v>0.10272708632355965</v>
      </c>
      <c r="S119" s="708">
        <f t="shared" si="267"/>
        <v>0.13882484194867972</v>
      </c>
      <c r="T119" s="708">
        <f t="shared" si="267"/>
        <v>0.10387617150507777</v>
      </c>
      <c r="U119" s="708">
        <f t="shared" ref="U119" si="268">U118/T118-1</f>
        <v>0.15583599574014895</v>
      </c>
      <c r="V119" s="708">
        <f>V118/U118-1</f>
        <v>0.18335810818419795</v>
      </c>
      <c r="W119" s="708">
        <f>W118/V118-1</f>
        <v>0.15509786675870463</v>
      </c>
      <c r="X119" s="708">
        <f ca="1">X118/W118-1</f>
        <v>1.5974667912117546E-3</v>
      </c>
      <c r="Y119" s="708">
        <f ca="1">Y118/X118-1</f>
        <v>3.5650982343048199E-2</v>
      </c>
      <c r="Z119" s="708">
        <f t="shared" ref="Z119:AD119" ca="1" si="269">Z118/Y118-1</f>
        <v>2.1902614445426849E-2</v>
      </c>
      <c r="AA119" s="708">
        <f t="shared" ca="1" si="269"/>
        <v>1.3559494160781504E-2</v>
      </c>
      <c r="AB119" s="708">
        <f t="shared" ca="1" si="269"/>
        <v>1.9652645985554384E-2</v>
      </c>
      <c r="AC119" s="708">
        <f t="shared" ca="1" si="269"/>
        <v>2.4320893699931512E-2</v>
      </c>
      <c r="AD119" s="708">
        <f t="shared" ca="1" si="269"/>
        <v>2.8081346605847601E-2</v>
      </c>
      <c r="AE119" s="340"/>
      <c r="AF119" s="340"/>
      <c r="AG119" s="340"/>
      <c r="AH119" s="340"/>
      <c r="AI119" s="340"/>
      <c r="AJ119" s="340"/>
      <c r="AK119" s="340"/>
      <c r="AL119" s="340"/>
      <c r="AM119" s="340"/>
    </row>
    <row r="120" spans="1:39" ht="15.75">
      <c r="A120" s="340"/>
      <c r="B120" s="692"/>
      <c r="C120" s="727"/>
      <c r="D120" s="727"/>
      <c r="E120" s="727"/>
      <c r="F120" s="727"/>
      <c r="G120" s="727"/>
      <c r="H120" s="727"/>
      <c r="I120" s="727"/>
      <c r="J120" s="727"/>
      <c r="K120" s="727"/>
      <c r="L120" s="692"/>
      <c r="M120" s="692"/>
      <c r="N120" s="692"/>
      <c r="O120" s="692"/>
      <c r="P120" s="692"/>
      <c r="Q120" s="692"/>
      <c r="R120" s="692"/>
      <c r="S120" s="692"/>
      <c r="T120" s="692"/>
      <c r="U120" s="692"/>
      <c r="V120" s="692"/>
      <c r="W120" s="692"/>
      <c r="X120" s="692"/>
      <c r="Y120" s="692"/>
      <c r="Z120" s="692"/>
      <c r="AA120" s="692"/>
      <c r="AB120" s="692"/>
      <c r="AC120" s="692"/>
      <c r="AD120" s="692"/>
      <c r="AE120" s="340"/>
      <c r="AF120" s="340"/>
      <c r="AG120" s="340"/>
      <c r="AH120" s="340"/>
      <c r="AI120" s="340"/>
      <c r="AJ120" s="340"/>
      <c r="AK120" s="340"/>
      <c r="AL120" s="340"/>
      <c r="AM120" s="340"/>
    </row>
    <row r="121" spans="1:39" ht="15.75">
      <c r="A121" s="340"/>
      <c r="B121" s="692" t="s">
        <v>62</v>
      </c>
      <c r="C121" s="727"/>
      <c r="D121" s="727"/>
      <c r="E121" s="727"/>
      <c r="F121" s="727"/>
      <c r="G121" s="727"/>
      <c r="H121" s="727"/>
      <c r="I121" s="727"/>
      <c r="J121" s="727"/>
      <c r="K121" s="727"/>
      <c r="L121" s="701">
        <f>L44/L19</f>
        <v>1.8779564806054871</v>
      </c>
      <c r="M121" s="701">
        <f t="shared" ref="M121:U121" si="270">M44/M19</f>
        <v>1.6</v>
      </c>
      <c r="N121" s="701">
        <f t="shared" si="270"/>
        <v>1.4987235621033548</v>
      </c>
      <c r="O121" s="701">
        <f t="shared" si="270"/>
        <v>2.0338068961184232</v>
      </c>
      <c r="P121" s="701">
        <f t="shared" si="270"/>
        <v>2.59602734636045</v>
      </c>
      <c r="Q121" s="701">
        <f t="shared" si="270"/>
        <v>1.9841855537932487</v>
      </c>
      <c r="R121" s="701">
        <f t="shared" si="270"/>
        <v>1.808220190423719</v>
      </c>
      <c r="S121" s="701">
        <f t="shared" si="270"/>
        <v>1.6054428340625126</v>
      </c>
      <c r="T121" s="701">
        <f t="shared" si="270"/>
        <v>1.7335677149224802</v>
      </c>
      <c r="U121" s="701">
        <f t="shared" ca="1" si="270"/>
        <v>1.8964733660384736</v>
      </c>
      <c r="V121" s="701">
        <f>V44/V19</f>
        <v>1.913801327501597</v>
      </c>
      <c r="W121" s="701">
        <f>W44/W19</f>
        <v>1.8127887922060111</v>
      </c>
      <c r="X121" s="701">
        <f>X44/X19</f>
        <v>1.3186651849936255</v>
      </c>
      <c r="Y121" s="701">
        <f ca="1">Y44/Y19</f>
        <v>1.2163794212105976</v>
      </c>
      <c r="Z121" s="701">
        <f t="shared" ref="Z121:AD121" ca="1" si="271">Z44/Z19</f>
        <v>1.1279037321574805</v>
      </c>
      <c r="AA121" s="701">
        <f t="shared" ca="1" si="271"/>
        <v>1.0741131197856058</v>
      </c>
      <c r="AB121" s="701">
        <f t="shared" ca="1" si="271"/>
        <v>1.1133308653669431</v>
      </c>
      <c r="AC121" s="701">
        <f t="shared" ca="1" si="271"/>
        <v>1.1434378224630199</v>
      </c>
      <c r="AD121" s="701">
        <f t="shared" ca="1" si="271"/>
        <v>1.1677505091260663</v>
      </c>
      <c r="AE121" s="340"/>
      <c r="AF121" s="340"/>
      <c r="AG121" s="340"/>
      <c r="AH121" s="340"/>
      <c r="AI121" s="340"/>
      <c r="AJ121" s="340"/>
      <c r="AK121" s="340"/>
      <c r="AL121" s="340"/>
      <c r="AM121" s="340"/>
    </row>
    <row r="122" spans="1:39" ht="15.75">
      <c r="A122" s="340"/>
      <c r="B122" s="692"/>
      <c r="C122" s="727"/>
      <c r="D122" s="727"/>
      <c r="E122" s="727"/>
      <c r="F122" s="727"/>
      <c r="G122" s="727"/>
      <c r="H122" s="727"/>
      <c r="I122" s="727"/>
      <c r="J122" s="727"/>
      <c r="K122" s="727"/>
      <c r="L122" s="701"/>
      <c r="M122" s="701"/>
      <c r="N122" s="701"/>
      <c r="O122" s="701"/>
      <c r="P122" s="701"/>
      <c r="Q122" s="701"/>
      <c r="R122" s="701"/>
      <c r="S122" s="701"/>
      <c r="T122" s="701"/>
      <c r="U122" s="701"/>
      <c r="V122" s="701"/>
      <c r="W122" s="701"/>
      <c r="X122" s="701"/>
      <c r="Y122" s="701"/>
      <c r="Z122" s="701"/>
      <c r="AA122" s="701"/>
      <c r="AB122" s="701"/>
      <c r="AC122" s="701"/>
      <c r="AD122" s="701"/>
      <c r="AE122" s="340"/>
      <c r="AF122" s="340"/>
      <c r="AG122" s="340"/>
      <c r="AH122" s="340"/>
      <c r="AI122" s="340"/>
      <c r="AJ122" s="340"/>
      <c r="AK122" s="340"/>
      <c r="AL122" s="340"/>
      <c r="AM122" s="340"/>
    </row>
    <row r="123" spans="1:39" ht="15.75">
      <c r="A123" s="340"/>
      <c r="B123" s="692" t="s">
        <v>1588</v>
      </c>
      <c r="C123" s="727"/>
      <c r="D123" s="727"/>
      <c r="E123" s="727"/>
      <c r="F123" s="727"/>
      <c r="G123" s="727"/>
      <c r="H123" s="727"/>
      <c r="I123" s="727"/>
      <c r="J123" s="727"/>
      <c r="K123" s="727"/>
      <c r="L123" s="701"/>
      <c r="M123" s="701"/>
      <c r="N123" s="701"/>
      <c r="O123" s="701"/>
      <c r="P123" s="701"/>
      <c r="Q123" s="701"/>
      <c r="R123" s="701"/>
      <c r="S123" s="728">
        <v>328</v>
      </c>
      <c r="T123" s="693">
        <f>S123</f>
        <v>328</v>
      </c>
      <c r="U123" s="693">
        <f t="shared" ref="U123:Y123" si="272">T123</f>
        <v>328</v>
      </c>
      <c r="V123" s="693">
        <f t="shared" si="272"/>
        <v>328</v>
      </c>
      <c r="W123" s="693">
        <f t="shared" si="272"/>
        <v>328</v>
      </c>
      <c r="X123" s="693">
        <f t="shared" si="272"/>
        <v>328</v>
      </c>
      <c r="Y123" s="693">
        <f t="shared" si="272"/>
        <v>328</v>
      </c>
      <c r="Z123" s="693">
        <f t="shared" ref="Z123" si="273">Y123</f>
        <v>328</v>
      </c>
      <c r="AA123" s="693">
        <f t="shared" ref="AA123" si="274">Z123</f>
        <v>328</v>
      </c>
      <c r="AB123" s="693">
        <f t="shared" ref="AB123" si="275">AA123</f>
        <v>328</v>
      </c>
      <c r="AC123" s="693">
        <f t="shared" ref="AC123" si="276">AB123</f>
        <v>328</v>
      </c>
      <c r="AD123" s="693">
        <f t="shared" ref="AD123" si="277">AC123</f>
        <v>328</v>
      </c>
      <c r="AE123" s="340"/>
      <c r="AF123" s="340"/>
      <c r="AG123" s="340"/>
      <c r="AH123" s="340"/>
      <c r="AI123" s="340"/>
      <c r="AJ123" s="340"/>
      <c r="AK123" s="340"/>
      <c r="AL123" s="340"/>
      <c r="AM123" s="340"/>
    </row>
    <row r="124" spans="1:39" ht="15.75">
      <c r="A124" s="340"/>
      <c r="B124" s="692" t="s">
        <v>1589</v>
      </c>
      <c r="C124" s="727"/>
      <c r="D124" s="727"/>
      <c r="E124" s="727"/>
      <c r="F124" s="727"/>
      <c r="G124" s="727"/>
      <c r="H124" s="727"/>
      <c r="I124" s="727"/>
      <c r="J124" s="727"/>
      <c r="K124" s="727"/>
      <c r="L124" s="701"/>
      <c r="M124" s="701"/>
      <c r="N124" s="701"/>
      <c r="O124" s="701"/>
      <c r="P124" s="701"/>
      <c r="Q124" s="701"/>
      <c r="R124" s="701"/>
      <c r="S124" s="728">
        <f>160</f>
        <v>160</v>
      </c>
      <c r="T124" s="693">
        <f>T125+T126</f>
        <v>163.19999999999999</v>
      </c>
      <c r="U124" s="693">
        <f t="shared" ref="U124:Y124" si="278">U125+U126</f>
        <v>166.464</v>
      </c>
      <c r="V124" s="693">
        <f t="shared" si="278"/>
        <v>169.79328000000001</v>
      </c>
      <c r="W124" s="693">
        <f t="shared" si="278"/>
        <v>173.18914560000002</v>
      </c>
      <c r="X124" s="693">
        <f t="shared" si="278"/>
        <v>176.65292851200002</v>
      </c>
      <c r="Y124" s="693">
        <f t="shared" si="278"/>
        <v>180.18598708224005</v>
      </c>
      <c r="Z124" s="693">
        <f t="shared" ref="Z124:AD124" si="279">Z125+Z126</f>
        <v>183.78970682388484</v>
      </c>
      <c r="AA124" s="693">
        <f t="shared" si="279"/>
        <v>187.46550096036253</v>
      </c>
      <c r="AB124" s="693">
        <f t="shared" si="279"/>
        <v>191.21481097956979</v>
      </c>
      <c r="AC124" s="693">
        <f t="shared" si="279"/>
        <v>195.03910719916118</v>
      </c>
      <c r="AD124" s="693">
        <f t="shared" si="279"/>
        <v>198.93988934314439</v>
      </c>
      <c r="AE124" s="340"/>
      <c r="AF124" s="340"/>
      <c r="AG124" s="340"/>
      <c r="AH124" s="340"/>
      <c r="AI124" s="340"/>
      <c r="AJ124" s="340"/>
      <c r="AK124" s="340"/>
      <c r="AL124" s="340"/>
      <c r="AM124" s="340"/>
    </row>
    <row r="125" spans="1:39" ht="15.75">
      <c r="A125" s="340"/>
      <c r="B125" s="734" t="s">
        <v>1592</v>
      </c>
      <c r="C125" s="727"/>
      <c r="D125" s="727"/>
      <c r="E125" s="727"/>
      <c r="F125" s="727"/>
      <c r="G125" s="727"/>
      <c r="H125" s="727"/>
      <c r="I125" s="727"/>
      <c r="J125" s="727"/>
      <c r="K125" s="727"/>
      <c r="L125" s="701"/>
      <c r="M125" s="701"/>
      <c r="N125" s="701"/>
      <c r="O125" s="701"/>
      <c r="P125" s="701"/>
      <c r="Q125" s="701"/>
      <c r="R125" s="701"/>
      <c r="S125" s="693">
        <f>S124-S126</f>
        <v>60</v>
      </c>
      <c r="T125" s="735">
        <f>S125*1.02</f>
        <v>61.2</v>
      </c>
      <c r="U125" s="735">
        <f t="shared" ref="U125:Y126" si="280">T125*1.02</f>
        <v>62.424000000000007</v>
      </c>
      <c r="V125" s="735">
        <f t="shared" si="280"/>
        <v>63.672480000000007</v>
      </c>
      <c r="W125" s="735">
        <f t="shared" si="280"/>
        <v>64.945929600000014</v>
      </c>
      <c r="X125" s="735">
        <f t="shared" si="280"/>
        <v>66.244848192000021</v>
      </c>
      <c r="Y125" s="735">
        <f t="shared" si="280"/>
        <v>67.569745155840025</v>
      </c>
      <c r="Z125" s="735">
        <f t="shared" ref="Z125:Z126" si="281">Y125*1.02</f>
        <v>68.921140058956823</v>
      </c>
      <c r="AA125" s="735">
        <f t="shared" ref="AA125:AA126" si="282">Z125*1.02</f>
        <v>70.299562860135964</v>
      </c>
      <c r="AB125" s="735">
        <f t="shared" ref="AB125:AB126" si="283">AA125*1.02</f>
        <v>71.705554117338679</v>
      </c>
      <c r="AC125" s="735">
        <f t="shared" ref="AC125:AC126" si="284">AB125*1.02</f>
        <v>73.139665199685453</v>
      </c>
      <c r="AD125" s="735">
        <f t="shared" ref="AD125:AD126" si="285">AC125*1.02</f>
        <v>74.602458503679159</v>
      </c>
      <c r="AE125" s="340"/>
      <c r="AF125" s="340"/>
      <c r="AG125" s="340"/>
      <c r="AH125" s="340"/>
      <c r="AI125" s="340"/>
      <c r="AJ125" s="340"/>
      <c r="AK125" s="340"/>
      <c r="AL125" s="340"/>
      <c r="AM125" s="340"/>
    </row>
    <row r="126" spans="1:39" ht="15.75">
      <c r="A126" s="340"/>
      <c r="B126" s="734" t="s">
        <v>1593</v>
      </c>
      <c r="C126" s="727"/>
      <c r="D126" s="727"/>
      <c r="E126" s="727"/>
      <c r="F126" s="727"/>
      <c r="G126" s="727"/>
      <c r="H126" s="727"/>
      <c r="I126" s="727"/>
      <c r="J126" s="727"/>
      <c r="K126" s="727"/>
      <c r="L126" s="701"/>
      <c r="M126" s="701"/>
      <c r="N126" s="701"/>
      <c r="O126" s="701"/>
      <c r="P126" s="701"/>
      <c r="Q126" s="701"/>
      <c r="R126" s="701"/>
      <c r="S126" s="728">
        <v>100</v>
      </c>
      <c r="T126" s="735">
        <f>S126*1.02</f>
        <v>102</v>
      </c>
      <c r="U126" s="735">
        <f t="shared" si="280"/>
        <v>104.04</v>
      </c>
      <c r="V126" s="735">
        <f t="shared" si="280"/>
        <v>106.1208</v>
      </c>
      <c r="W126" s="735">
        <f t="shared" si="280"/>
        <v>108.243216</v>
      </c>
      <c r="X126" s="735">
        <f t="shared" si="280"/>
        <v>110.40808032000001</v>
      </c>
      <c r="Y126" s="735">
        <f t="shared" si="280"/>
        <v>112.61624192640001</v>
      </c>
      <c r="Z126" s="735">
        <f t="shared" si="281"/>
        <v>114.868566764928</v>
      </c>
      <c r="AA126" s="735">
        <f t="shared" si="282"/>
        <v>117.16593810022657</v>
      </c>
      <c r="AB126" s="735">
        <f t="shared" si="283"/>
        <v>119.5092568622311</v>
      </c>
      <c r="AC126" s="735">
        <f t="shared" si="284"/>
        <v>121.89944199947573</v>
      </c>
      <c r="AD126" s="735">
        <f t="shared" si="285"/>
        <v>124.33743083946524</v>
      </c>
      <c r="AE126" s="340"/>
      <c r="AF126" s="340"/>
      <c r="AG126" s="340"/>
      <c r="AH126" s="340"/>
      <c r="AI126" s="340"/>
      <c r="AJ126" s="340"/>
      <c r="AK126" s="340"/>
      <c r="AL126" s="340"/>
      <c r="AM126" s="340"/>
    </row>
    <row r="127" spans="1:39" ht="15.75">
      <c r="A127" s="340"/>
      <c r="B127" s="692" t="s">
        <v>1590</v>
      </c>
      <c r="C127" s="727"/>
      <c r="D127" s="727"/>
      <c r="E127" s="727"/>
      <c r="F127" s="727"/>
      <c r="G127" s="727"/>
      <c r="H127" s="727"/>
      <c r="I127" s="727"/>
      <c r="J127" s="727"/>
      <c r="K127" s="727"/>
      <c r="L127" s="701"/>
      <c r="M127" s="701"/>
      <c r="N127" s="701"/>
      <c r="O127" s="701"/>
      <c r="P127" s="701"/>
      <c r="Q127" s="701"/>
      <c r="R127" s="701"/>
      <c r="S127" s="725">
        <f>S123/S124</f>
        <v>2.0499999999999998</v>
      </c>
      <c r="T127" s="701"/>
      <c r="U127" s="701"/>
      <c r="V127" s="701"/>
      <c r="W127" s="701"/>
      <c r="X127" s="701"/>
      <c r="Y127" s="701"/>
      <c r="Z127" s="701"/>
      <c r="AA127" s="701"/>
      <c r="AB127" s="701"/>
      <c r="AC127" s="701"/>
      <c r="AD127" s="701"/>
      <c r="AE127" s="340"/>
      <c r="AF127" s="340"/>
      <c r="AG127" s="340"/>
      <c r="AH127" s="340"/>
      <c r="AI127" s="340"/>
      <c r="AJ127" s="340"/>
      <c r="AK127" s="340"/>
      <c r="AL127" s="340"/>
      <c r="AM127" s="340"/>
    </row>
    <row r="128" spans="1:39" ht="15.75">
      <c r="A128" s="340"/>
      <c r="B128" s="692"/>
      <c r="C128" s="692"/>
      <c r="D128" s="692"/>
      <c r="E128" s="692"/>
      <c r="F128" s="692"/>
      <c r="G128" s="692"/>
      <c r="H128" s="692"/>
      <c r="I128" s="692"/>
      <c r="J128" s="692"/>
      <c r="K128" s="692"/>
      <c r="L128" s="692"/>
      <c r="M128" s="692"/>
      <c r="N128" s="692"/>
      <c r="O128" s="692"/>
      <c r="P128" s="692"/>
      <c r="Q128" s="692"/>
      <c r="R128" s="692"/>
      <c r="S128" s="692"/>
      <c r="T128" s="692"/>
      <c r="U128" s="692"/>
      <c r="V128" s="692"/>
      <c r="W128" s="692"/>
      <c r="X128" s="692"/>
      <c r="Y128" s="692"/>
      <c r="Z128" s="692"/>
      <c r="AA128" s="692"/>
      <c r="AB128" s="692"/>
      <c r="AC128" s="692"/>
      <c r="AD128" s="692"/>
      <c r="AE128" s="340"/>
      <c r="AF128" s="340"/>
      <c r="AG128" s="340"/>
      <c r="AH128" s="340"/>
      <c r="AI128" s="340"/>
      <c r="AJ128" s="340"/>
      <c r="AK128" s="340"/>
      <c r="AL128" s="340"/>
      <c r="AM128" s="340"/>
    </row>
    <row r="129" spans="1:39" ht="15.75">
      <c r="A129" s="340"/>
      <c r="B129" s="692"/>
      <c r="C129" s="692"/>
      <c r="D129" s="692"/>
      <c r="E129" s="692"/>
      <c r="F129" s="692"/>
      <c r="G129" s="692"/>
      <c r="H129" s="692"/>
      <c r="I129" s="692"/>
      <c r="J129" s="692"/>
      <c r="K129" s="692"/>
      <c r="L129" s="692"/>
      <c r="M129" s="692"/>
      <c r="N129" s="692"/>
      <c r="O129" s="692"/>
      <c r="P129" s="692"/>
      <c r="Q129" s="692"/>
      <c r="R129" s="692"/>
      <c r="S129" s="692"/>
      <c r="T129" s="692"/>
      <c r="U129" s="692"/>
      <c r="V129" s="692"/>
      <c r="W129" s="692"/>
      <c r="X129" s="692"/>
      <c r="Y129" s="692"/>
      <c r="Z129" s="692"/>
      <c r="AA129" s="692"/>
      <c r="AB129" s="692"/>
      <c r="AC129" s="692"/>
      <c r="AD129" s="692"/>
      <c r="AE129" s="340"/>
      <c r="AF129" s="340"/>
      <c r="AG129" s="340"/>
      <c r="AH129" s="340"/>
      <c r="AI129" s="340"/>
      <c r="AJ129" s="340"/>
      <c r="AK129" s="340"/>
      <c r="AL129" s="340"/>
      <c r="AM129" s="340"/>
    </row>
    <row r="130" spans="1:39" ht="15.75">
      <c r="A130" s="340"/>
      <c r="B130" s="692"/>
      <c r="C130" s="692"/>
      <c r="D130" s="692"/>
      <c r="E130" s="692"/>
      <c r="F130" s="692"/>
      <c r="G130" s="692"/>
      <c r="H130" s="692"/>
      <c r="I130" s="692"/>
      <c r="J130" s="692"/>
      <c r="K130" s="692"/>
      <c r="L130" s="692"/>
      <c r="M130" s="692"/>
      <c r="N130" s="692"/>
      <c r="O130" s="692"/>
      <c r="P130" s="692"/>
      <c r="Q130" s="692"/>
      <c r="R130" s="692"/>
      <c r="S130" s="692"/>
      <c r="T130" s="692"/>
      <c r="U130" s="692"/>
      <c r="V130" s="692"/>
      <c r="W130" s="692"/>
      <c r="X130" s="692"/>
      <c r="Y130" s="692"/>
      <c r="Z130" s="692"/>
      <c r="AA130" s="692"/>
      <c r="AB130" s="692"/>
      <c r="AC130" s="692"/>
      <c r="AD130" s="692"/>
      <c r="AE130" s="340"/>
      <c r="AF130" s="340"/>
      <c r="AG130" s="340"/>
      <c r="AH130" s="340"/>
      <c r="AI130" s="340"/>
      <c r="AJ130" s="340"/>
      <c r="AK130" s="340"/>
      <c r="AL130" s="340"/>
      <c r="AM130" s="340"/>
    </row>
    <row r="131" spans="1:39" ht="15.75">
      <c r="A131" s="340"/>
      <c r="B131" s="689" t="s">
        <v>7</v>
      </c>
      <c r="C131" s="689">
        <v>2003</v>
      </c>
      <c r="D131" s="689">
        <f t="shared" ref="D131:T131" si="286">C131+1</f>
        <v>2004</v>
      </c>
      <c r="E131" s="689">
        <f t="shared" si="286"/>
        <v>2005</v>
      </c>
      <c r="F131" s="689">
        <f t="shared" si="286"/>
        <v>2006</v>
      </c>
      <c r="G131" s="689">
        <f t="shared" si="286"/>
        <v>2007</v>
      </c>
      <c r="H131" s="689">
        <f t="shared" si="286"/>
        <v>2008</v>
      </c>
      <c r="I131" s="689">
        <f t="shared" si="286"/>
        <v>2009</v>
      </c>
      <c r="J131" s="689">
        <f t="shared" si="286"/>
        <v>2010</v>
      </c>
      <c r="K131" s="689">
        <f t="shared" si="286"/>
        <v>2011</v>
      </c>
      <c r="L131" s="689">
        <f t="shared" si="286"/>
        <v>2012</v>
      </c>
      <c r="M131" s="689">
        <f t="shared" si="286"/>
        <v>2013</v>
      </c>
      <c r="N131" s="689">
        <f t="shared" si="286"/>
        <v>2014</v>
      </c>
      <c r="O131" s="689">
        <f t="shared" si="286"/>
        <v>2015</v>
      </c>
      <c r="P131" s="689">
        <f t="shared" si="286"/>
        <v>2016</v>
      </c>
      <c r="Q131" s="689">
        <f t="shared" si="286"/>
        <v>2017</v>
      </c>
      <c r="R131" s="689">
        <f t="shared" si="286"/>
        <v>2018</v>
      </c>
      <c r="S131" s="689">
        <f t="shared" si="286"/>
        <v>2019</v>
      </c>
      <c r="T131" s="689">
        <f t="shared" si="286"/>
        <v>2020</v>
      </c>
      <c r="U131" s="689">
        <f t="shared" ref="U131" si="287">T131+1</f>
        <v>2021</v>
      </c>
      <c r="V131" s="689">
        <f t="shared" ref="V131" si="288">U131+1</f>
        <v>2022</v>
      </c>
      <c r="W131" s="689">
        <f t="shared" ref="W131" si="289">V131+1</f>
        <v>2023</v>
      </c>
      <c r="X131" s="689">
        <f t="shared" ref="X131" si="290">W131+1</f>
        <v>2024</v>
      </c>
      <c r="Y131" s="689">
        <f t="shared" ref="Y131" si="291">X131+1</f>
        <v>2025</v>
      </c>
      <c r="Z131" s="689">
        <f t="shared" ref="Z131" si="292">Y131+1</f>
        <v>2026</v>
      </c>
      <c r="AA131" s="689">
        <f t="shared" ref="AA131" si="293">Z131+1</f>
        <v>2027</v>
      </c>
      <c r="AB131" s="689">
        <f t="shared" ref="AB131" si="294">AA131+1</f>
        <v>2028</v>
      </c>
      <c r="AC131" s="689">
        <f t="shared" ref="AC131" si="295">AB131+1</f>
        <v>2029</v>
      </c>
      <c r="AD131" s="689">
        <f t="shared" ref="AD131" si="296">AC131+1</f>
        <v>2030</v>
      </c>
      <c r="AE131" s="340"/>
      <c r="AF131" s="340"/>
      <c r="AG131" s="340"/>
      <c r="AH131" s="340"/>
      <c r="AI131" s="340"/>
      <c r="AJ131" s="340"/>
      <c r="AK131" s="340"/>
      <c r="AL131" s="340"/>
      <c r="AM131" s="340"/>
    </row>
    <row r="132" spans="1:39" ht="15.75">
      <c r="A132" s="340"/>
      <c r="B132" s="692" t="s">
        <v>7</v>
      </c>
      <c r="C132" s="727"/>
      <c r="D132" s="727"/>
      <c r="E132" s="727"/>
      <c r="F132" s="727"/>
      <c r="G132" s="727"/>
      <c r="H132" s="727"/>
      <c r="I132" s="727"/>
      <c r="J132" s="727"/>
      <c r="K132" s="727"/>
      <c r="L132" s="728">
        <v>309</v>
      </c>
      <c r="M132" s="728">
        <v>260</v>
      </c>
      <c r="N132" s="693">
        <f t="shared" ref="N132:R132" si="297">N134+N133</f>
        <v>173.14031180400892</v>
      </c>
      <c r="O132" s="693">
        <f t="shared" si="297"/>
        <v>100.79180162796816</v>
      </c>
      <c r="P132" s="693">
        <f t="shared" si="297"/>
        <v>222.51592540687301</v>
      </c>
      <c r="Q132" s="693">
        <f t="shared" si="297"/>
        <v>120.30180379042088</v>
      </c>
      <c r="R132" s="693">
        <f t="shared" si="297"/>
        <v>105.65042520354027</v>
      </c>
      <c r="S132" s="693">
        <f t="shared" ref="S132:U132" si="298">S134+S133</f>
        <v>44.472005263851067</v>
      </c>
      <c r="T132" s="693">
        <f t="shared" si="298"/>
        <v>46.514942082111013</v>
      </c>
      <c r="U132" s="693">
        <f t="shared" ca="1" si="298"/>
        <v>306.32799999999997</v>
      </c>
      <c r="V132" s="486">
        <f>2045.101-1989.434</f>
        <v>55.667000000000144</v>
      </c>
      <c r="W132" s="693">
        <f t="shared" ref="W132:Y132" si="299">W134+W133</f>
        <v>56.077280000000009</v>
      </c>
      <c r="X132" s="693">
        <f t="shared" si="299"/>
        <v>55.508006399999942</v>
      </c>
      <c r="Y132" s="693">
        <f t="shared" si="299"/>
        <v>55.74431923200013</v>
      </c>
      <c r="Z132" s="693">
        <f t="shared" ref="Z132:AD132" si="300">Z134+Z133</f>
        <v>55.715961692159986</v>
      </c>
      <c r="AA132" s="693">
        <f t="shared" si="300"/>
        <v>55.719364596940949</v>
      </c>
      <c r="AB132" s="693">
        <f t="shared" si="300"/>
        <v>55.718956248367107</v>
      </c>
      <c r="AC132" s="693">
        <f t="shared" si="300"/>
        <v>55.719005250195849</v>
      </c>
      <c r="AD132" s="693">
        <f t="shared" si="300"/>
        <v>55.71899936997638</v>
      </c>
      <c r="AE132" s="340"/>
      <c r="AF132" s="340"/>
      <c r="AG132" s="340"/>
      <c r="AH132" s="340"/>
      <c r="AI132" s="340"/>
      <c r="AJ132" s="340"/>
      <c r="AK132" s="340"/>
      <c r="AL132" s="340"/>
      <c r="AM132" s="340"/>
    </row>
    <row r="133" spans="1:39" ht="15.75">
      <c r="A133" s="340"/>
      <c r="B133" s="692" t="s">
        <v>63</v>
      </c>
      <c r="C133" s="727"/>
      <c r="D133" s="727"/>
      <c r="E133" s="727"/>
      <c r="F133" s="727"/>
      <c r="G133" s="727"/>
      <c r="H133" s="727"/>
      <c r="I133" s="727"/>
      <c r="J133" s="727"/>
      <c r="K133" s="727"/>
      <c r="L133" s="728">
        <v>0</v>
      </c>
      <c r="M133" s="728">
        <v>0</v>
      </c>
      <c r="N133" s="728">
        <v>0</v>
      </c>
      <c r="O133" s="728">
        <v>0</v>
      </c>
      <c r="P133" s="728">
        <v>0</v>
      </c>
      <c r="Q133" s="728">
        <v>0</v>
      </c>
      <c r="R133" s="728">
        <v>0</v>
      </c>
      <c r="S133" s="728">
        <v>0</v>
      </c>
      <c r="T133" s="728">
        <v>0</v>
      </c>
      <c r="U133" s="728">
        <v>0</v>
      </c>
      <c r="V133" s="728">
        <v>0</v>
      </c>
      <c r="W133" s="728">
        <v>0</v>
      </c>
      <c r="X133" s="728">
        <v>0</v>
      </c>
      <c r="Y133" s="728">
        <v>0</v>
      </c>
      <c r="Z133" s="728">
        <v>0</v>
      </c>
      <c r="AA133" s="728">
        <v>0</v>
      </c>
      <c r="AB133" s="728">
        <v>0</v>
      </c>
      <c r="AC133" s="728">
        <v>0</v>
      </c>
      <c r="AD133" s="728">
        <v>0</v>
      </c>
      <c r="AE133" s="340"/>
      <c r="AF133" s="340"/>
      <c r="AG133" s="340"/>
      <c r="AH133" s="340"/>
      <c r="AI133" s="340"/>
      <c r="AJ133" s="340"/>
      <c r="AK133" s="340"/>
      <c r="AL133" s="340"/>
      <c r="AM133" s="340"/>
    </row>
    <row r="134" spans="1:39" ht="15.75">
      <c r="A134" s="340"/>
      <c r="B134" s="692" t="s">
        <v>64</v>
      </c>
      <c r="C134" s="727"/>
      <c r="D134" s="727"/>
      <c r="E134" s="727"/>
      <c r="F134" s="727"/>
      <c r="G134" s="727"/>
      <c r="H134" s="727"/>
      <c r="I134" s="727"/>
      <c r="J134" s="727"/>
      <c r="K134" s="727"/>
      <c r="L134" s="693">
        <f>L132-L133</f>
        <v>309</v>
      </c>
      <c r="M134" s="693">
        <f>M132-M133</f>
        <v>260</v>
      </c>
      <c r="N134" s="729">
        <f t="shared" ref="N134:T134" si="301">N135*M139</f>
        <v>173.14031180400892</v>
      </c>
      <c r="O134" s="729">
        <f t="shared" si="301"/>
        <v>100.79180162796816</v>
      </c>
      <c r="P134" s="729">
        <f t="shared" si="301"/>
        <v>222.51592540687301</v>
      </c>
      <c r="Q134" s="729">
        <f t="shared" si="301"/>
        <v>120.30180379042088</v>
      </c>
      <c r="R134" s="729">
        <f t="shared" si="301"/>
        <v>105.65042520354027</v>
      </c>
      <c r="S134" s="729">
        <f t="shared" si="301"/>
        <v>44.472005263851067</v>
      </c>
      <c r="T134" s="729">
        <f t="shared" si="301"/>
        <v>46.514942082111013</v>
      </c>
      <c r="U134" s="729">
        <f ca="1">U132-U133</f>
        <v>306.32799999999997</v>
      </c>
      <c r="V134" s="729">
        <f>V132-V133</f>
        <v>55.667000000000144</v>
      </c>
      <c r="W134" s="729">
        <f t="shared" ref="W134" si="302">W135*V139</f>
        <v>56.077280000000009</v>
      </c>
      <c r="X134" s="729">
        <f t="shared" ref="X134" si="303">X135*W139</f>
        <v>55.508006399999942</v>
      </c>
      <c r="Y134" s="729">
        <f t="shared" ref="Y134" si="304">Y135*X139</f>
        <v>55.74431923200013</v>
      </c>
      <c r="Z134" s="729">
        <f t="shared" ref="Z134" si="305">Z135*Y139</f>
        <v>55.715961692159986</v>
      </c>
      <c r="AA134" s="729">
        <f t="shared" ref="AA134" si="306">AA135*Z139</f>
        <v>55.719364596940949</v>
      </c>
      <c r="AB134" s="729">
        <f t="shared" ref="AB134" si="307">AB135*AA139</f>
        <v>55.718956248367107</v>
      </c>
      <c r="AC134" s="729">
        <f t="shared" ref="AC134" si="308">AC135*AB139</f>
        <v>55.719005250195849</v>
      </c>
      <c r="AD134" s="729">
        <f t="shared" ref="AD134" si="309">AD135*AC139</f>
        <v>55.71899936997638</v>
      </c>
      <c r="AE134" s="340"/>
      <c r="AF134" s="340"/>
      <c r="AG134" s="340"/>
      <c r="AH134" s="340"/>
      <c r="AI134" s="340"/>
      <c r="AJ134" s="340"/>
      <c r="AK134" s="340"/>
      <c r="AL134" s="340"/>
      <c r="AM134" s="340"/>
    </row>
    <row r="135" spans="1:39" ht="15.75">
      <c r="A135" s="340"/>
      <c r="B135" s="692" t="s">
        <v>65</v>
      </c>
      <c r="C135" s="727"/>
      <c r="D135" s="727"/>
      <c r="E135" s="727"/>
      <c r="F135" s="727"/>
      <c r="G135" s="727"/>
      <c r="H135" s="727"/>
      <c r="I135" s="727"/>
      <c r="J135" s="727"/>
      <c r="K135" s="727"/>
      <c r="L135" s="701"/>
      <c r="M135" s="701">
        <f t="shared" ref="M135" si="310">M134/L139</f>
        <v>0.57906458797327398</v>
      </c>
      <c r="N135" s="732">
        <f t="shared" ref="N135:U135" si="311">M135</f>
        <v>0.57906458797327398</v>
      </c>
      <c r="O135" s="732">
        <f t="shared" si="311"/>
        <v>0.57906458797327398</v>
      </c>
      <c r="P135" s="732">
        <f t="shared" si="311"/>
        <v>0.57906458797327398</v>
      </c>
      <c r="Q135" s="732">
        <f t="shared" si="311"/>
        <v>0.57906458797327398</v>
      </c>
      <c r="R135" s="732">
        <f t="shared" si="311"/>
        <v>0.57906458797327398</v>
      </c>
      <c r="S135" s="732">
        <f t="shared" si="311"/>
        <v>0.57906458797327398</v>
      </c>
      <c r="T135" s="732">
        <f t="shared" si="311"/>
        <v>0.57906458797327398</v>
      </c>
      <c r="U135" s="732">
        <f t="shared" si="311"/>
        <v>0.57906458797327398</v>
      </c>
      <c r="V135" s="701">
        <f>V134/U139</f>
        <v>1.1162869976738619</v>
      </c>
      <c r="W135" s="732">
        <v>1.1200000000000001</v>
      </c>
      <c r="X135" s="732">
        <v>1.1200000000000001</v>
      </c>
      <c r="Y135" s="732">
        <v>1.1200000000000001</v>
      </c>
      <c r="Z135" s="732">
        <v>1.1200000000000001</v>
      </c>
      <c r="AA135" s="732">
        <v>1.1200000000000001</v>
      </c>
      <c r="AB135" s="732">
        <v>1.1200000000000001</v>
      </c>
      <c r="AC135" s="732">
        <v>1.1200000000000001</v>
      </c>
      <c r="AD135" s="732">
        <v>1.1200000000000001</v>
      </c>
      <c r="AE135" s="340"/>
      <c r="AF135" s="340"/>
      <c r="AG135" s="340"/>
      <c r="AH135" s="340"/>
      <c r="AI135" s="340"/>
      <c r="AJ135" s="340"/>
      <c r="AK135" s="340"/>
      <c r="AL135" s="340"/>
      <c r="AM135" s="340"/>
    </row>
    <row r="136" spans="1:39" ht="15.75">
      <c r="A136" s="340"/>
      <c r="B136" s="692"/>
      <c r="C136" s="727"/>
      <c r="D136" s="727"/>
      <c r="E136" s="727"/>
      <c r="F136" s="727"/>
      <c r="G136" s="727"/>
      <c r="H136" s="727"/>
      <c r="I136" s="727"/>
      <c r="J136" s="727"/>
      <c r="K136" s="727"/>
      <c r="L136" s="692"/>
      <c r="M136" s="692"/>
      <c r="N136" s="692"/>
      <c r="O136" s="692"/>
      <c r="P136" s="692"/>
      <c r="Q136" s="692"/>
      <c r="R136" s="692"/>
      <c r="S136" s="692"/>
      <c r="T136" s="692"/>
      <c r="U136" s="692"/>
      <c r="V136" s="692"/>
      <c r="W136" s="692"/>
      <c r="X136" s="692"/>
      <c r="Y136" s="692"/>
      <c r="Z136" s="692"/>
      <c r="AA136" s="692"/>
      <c r="AB136" s="692"/>
      <c r="AC136" s="692"/>
      <c r="AD136" s="692"/>
      <c r="AE136" s="340"/>
      <c r="AF136" s="340"/>
      <c r="AG136" s="340"/>
      <c r="AH136" s="340"/>
      <c r="AI136" s="340"/>
      <c r="AJ136" s="340"/>
      <c r="AK136" s="340"/>
      <c r="AL136" s="340"/>
      <c r="AM136" s="340"/>
    </row>
    <row r="137" spans="1:39" ht="15.75">
      <c r="A137" s="340"/>
      <c r="B137" s="692" t="s">
        <v>66</v>
      </c>
      <c r="C137" s="727"/>
      <c r="D137" s="727"/>
      <c r="E137" s="727"/>
      <c r="F137" s="727"/>
      <c r="G137" s="727"/>
      <c r="H137" s="727"/>
      <c r="I137" s="727"/>
      <c r="J137" s="727"/>
      <c r="K137" s="727"/>
      <c r="L137" s="693">
        <f>L139+L138</f>
        <v>758</v>
      </c>
      <c r="M137" s="693">
        <f>M139+M138</f>
        <v>868</v>
      </c>
      <c r="N137" s="693">
        <f>M137+N141+N142</f>
        <v>916.2</v>
      </c>
      <c r="O137" s="693">
        <f>N137+O141+O142</f>
        <v>1227.2</v>
      </c>
      <c r="P137" s="693">
        <f>O137+P141+P142</f>
        <v>1273.2</v>
      </c>
      <c r="Q137" s="693">
        <f t="shared" ref="Q137:T137" si="312">P137+Q141+Q142</f>
        <v>1368.2</v>
      </c>
      <c r="R137" s="693">
        <f t="shared" si="312"/>
        <v>1368.2</v>
      </c>
      <c r="S137" s="693">
        <f t="shared" si="312"/>
        <v>1416.2</v>
      </c>
      <c r="T137" s="693">
        <f t="shared" si="312"/>
        <v>1416.2</v>
      </c>
      <c r="U137" s="486">
        <v>2039.3009999999999</v>
      </c>
      <c r="V137" s="486">
        <v>2095.02</v>
      </c>
      <c r="W137" s="693">
        <f t="shared" ref="W137" si="313">V137+W141+W142</f>
        <v>2150.739</v>
      </c>
      <c r="X137" s="693">
        <f t="shared" ref="X137" si="314">W137+X141+X142</f>
        <v>2206.4580000000001</v>
      </c>
      <c r="Y137" s="693">
        <f t="shared" ref="Y137" si="315">X137+Y141+Y142</f>
        <v>2262.1770000000001</v>
      </c>
      <c r="Z137" s="693">
        <f t="shared" ref="Z137" si="316">Y137+Z141+Z142</f>
        <v>2317.8960000000002</v>
      </c>
      <c r="AA137" s="693">
        <f t="shared" ref="AA137" si="317">Z137+AA141+AA142</f>
        <v>2373.6150000000002</v>
      </c>
      <c r="AB137" s="693">
        <f t="shared" ref="AB137" si="318">AA137+AB141+AB142</f>
        <v>2429.3340000000003</v>
      </c>
      <c r="AC137" s="693">
        <f t="shared" ref="AC137" si="319">AB137+AC141+AC142</f>
        <v>2485.0530000000003</v>
      </c>
      <c r="AD137" s="693">
        <f t="shared" ref="AD137" si="320">AC137+AD141+AD142</f>
        <v>2540.7720000000004</v>
      </c>
      <c r="AE137" s="340"/>
      <c r="AF137" s="340"/>
      <c r="AG137" s="340"/>
      <c r="AH137" s="340"/>
      <c r="AI137" s="340"/>
      <c r="AJ137" s="340"/>
      <c r="AK137" s="340"/>
      <c r="AL137" s="340"/>
      <c r="AM137" s="340"/>
    </row>
    <row r="138" spans="1:39" ht="15.75">
      <c r="A138" s="340"/>
      <c r="B138" s="692" t="s">
        <v>67</v>
      </c>
      <c r="C138" s="727"/>
      <c r="D138" s="727"/>
      <c r="E138" s="727"/>
      <c r="F138" s="727"/>
      <c r="G138" s="727"/>
      <c r="H138" s="727"/>
      <c r="I138" s="727"/>
      <c r="J138" s="727"/>
      <c r="K138" s="727"/>
      <c r="L138" s="693">
        <f t="shared" ref="L138:T138" si="321">K138+L132</f>
        <v>309</v>
      </c>
      <c r="M138" s="693">
        <f t="shared" si="321"/>
        <v>569</v>
      </c>
      <c r="N138" s="693">
        <f>M138+N132</f>
        <v>742.14031180400889</v>
      </c>
      <c r="O138" s="693">
        <f>N138+O132</f>
        <v>842.93211343197709</v>
      </c>
      <c r="P138" s="693">
        <f t="shared" si="321"/>
        <v>1065.4480388388502</v>
      </c>
      <c r="Q138" s="693">
        <f t="shared" si="321"/>
        <v>1185.7498426292709</v>
      </c>
      <c r="R138" s="693">
        <f t="shared" si="321"/>
        <v>1291.4002678328111</v>
      </c>
      <c r="S138" s="693">
        <f t="shared" si="321"/>
        <v>1335.8722730966622</v>
      </c>
      <c r="T138" s="693">
        <f t="shared" si="321"/>
        <v>1382.3872151787732</v>
      </c>
      <c r="U138" s="486">
        <v>1989.434</v>
      </c>
      <c r="V138" s="486">
        <v>2045.1010000000001</v>
      </c>
      <c r="W138" s="693">
        <f t="shared" ref="W138" si="322">V138+W132</f>
        <v>2101.1782800000001</v>
      </c>
      <c r="X138" s="693">
        <f t="shared" ref="X138" si="323">W138+X132</f>
        <v>2156.6862864</v>
      </c>
      <c r="Y138" s="693">
        <f t="shared" ref="Y138" si="324">X138+Y132</f>
        <v>2212.4306056320002</v>
      </c>
      <c r="Z138" s="693">
        <f t="shared" ref="Z138" si="325">Y138+Z132</f>
        <v>2268.1465673241601</v>
      </c>
      <c r="AA138" s="693">
        <f t="shared" ref="AA138" si="326">Z138+AA132</f>
        <v>2323.865931921101</v>
      </c>
      <c r="AB138" s="693">
        <f t="shared" ref="AB138" si="327">AA138+AB132</f>
        <v>2379.5848881694683</v>
      </c>
      <c r="AC138" s="693">
        <f t="shared" ref="AC138" si="328">AB138+AC132</f>
        <v>2435.3038934196643</v>
      </c>
      <c r="AD138" s="693">
        <f t="shared" ref="AD138" si="329">AC138+AD132</f>
        <v>2491.0228927896405</v>
      </c>
      <c r="AE138" s="340"/>
      <c r="AF138" s="340"/>
      <c r="AG138" s="340"/>
      <c r="AH138" s="340"/>
      <c r="AI138" s="340"/>
      <c r="AJ138" s="340"/>
      <c r="AK138" s="340"/>
      <c r="AL138" s="340"/>
      <c r="AM138" s="340"/>
    </row>
    <row r="139" spans="1:39" ht="15.75">
      <c r="A139" s="340"/>
      <c r="B139" s="691" t="s">
        <v>31</v>
      </c>
      <c r="C139" s="727"/>
      <c r="D139" s="727"/>
      <c r="E139" s="727"/>
      <c r="F139" s="727"/>
      <c r="G139" s="727"/>
      <c r="H139" s="727"/>
      <c r="I139" s="727"/>
      <c r="J139" s="727"/>
      <c r="K139" s="727"/>
      <c r="L139" s="733">
        <v>449</v>
      </c>
      <c r="M139" s="733">
        <v>299</v>
      </c>
      <c r="N139" s="697">
        <f>N137-N138</f>
        <v>174.05968819599116</v>
      </c>
      <c r="O139" s="697">
        <f>O137-O138</f>
        <v>384.26788656802296</v>
      </c>
      <c r="P139" s="697">
        <f t="shared" ref="P139:R139" si="330">P137-P138</f>
        <v>207.75196116114989</v>
      </c>
      <c r="Q139" s="697">
        <f t="shared" si="330"/>
        <v>182.45015737072913</v>
      </c>
      <c r="R139" s="697">
        <f t="shared" si="330"/>
        <v>76.799732167188949</v>
      </c>
      <c r="S139" s="697">
        <f t="shared" ref="S139:T139" si="331">S137-S138</f>
        <v>80.327726903337862</v>
      </c>
      <c r="T139" s="697">
        <f t="shared" si="331"/>
        <v>33.812784821226842</v>
      </c>
      <c r="U139" s="758">
        <v>49.868000000000002</v>
      </c>
      <c r="V139" s="758">
        <v>50.069000000000003</v>
      </c>
      <c r="W139" s="697">
        <f t="shared" ref="W139:Y139" si="332">W137-W138</f>
        <v>49.560719999999947</v>
      </c>
      <c r="X139" s="697">
        <f t="shared" si="332"/>
        <v>49.771713600000112</v>
      </c>
      <c r="Y139" s="697">
        <f t="shared" si="332"/>
        <v>49.746394367999983</v>
      </c>
      <c r="Z139" s="697">
        <f t="shared" ref="Z139:AD139" si="333">Z137-Z138</f>
        <v>49.749432675840126</v>
      </c>
      <c r="AA139" s="697">
        <f t="shared" si="333"/>
        <v>49.749068078899199</v>
      </c>
      <c r="AB139" s="697">
        <f t="shared" si="333"/>
        <v>49.749111830532001</v>
      </c>
      <c r="AC139" s="697">
        <f t="shared" si="333"/>
        <v>49.749106580336047</v>
      </c>
      <c r="AD139" s="697">
        <f t="shared" si="333"/>
        <v>49.749107210359853</v>
      </c>
      <c r="AE139" s="340"/>
      <c r="AF139" s="340"/>
      <c r="AG139" s="340"/>
      <c r="AH139" s="340"/>
      <c r="AI139" s="340"/>
      <c r="AJ139" s="340"/>
      <c r="AK139" s="340"/>
      <c r="AL139" s="340"/>
      <c r="AM139" s="340"/>
    </row>
    <row r="140" spans="1:39" ht="15.75">
      <c r="A140" s="340"/>
      <c r="B140" s="692"/>
      <c r="C140" s="727"/>
      <c r="D140" s="727"/>
      <c r="E140" s="727"/>
      <c r="F140" s="727"/>
      <c r="G140" s="727"/>
      <c r="H140" s="727"/>
      <c r="I140" s="727"/>
      <c r="J140" s="727"/>
      <c r="K140" s="727"/>
      <c r="L140" s="692"/>
      <c r="M140" s="692"/>
      <c r="N140" s="692"/>
      <c r="O140" s="692"/>
      <c r="P140" s="692"/>
      <c r="Q140" s="692"/>
      <c r="R140" s="692"/>
      <c r="S140" s="692"/>
      <c r="T140" s="692"/>
      <c r="U140" s="692"/>
      <c r="V140" s="692"/>
      <c r="W140" s="692"/>
      <c r="X140" s="692"/>
      <c r="Y140" s="692"/>
      <c r="Z140" s="692"/>
      <c r="AA140" s="692"/>
      <c r="AB140" s="692"/>
      <c r="AC140" s="692"/>
      <c r="AD140" s="692"/>
      <c r="AE140" s="340"/>
      <c r="AF140" s="340"/>
      <c r="AG140" s="340"/>
      <c r="AH140" s="340"/>
      <c r="AI140" s="340"/>
      <c r="AJ140" s="340"/>
      <c r="AK140" s="340"/>
      <c r="AL140" s="340"/>
      <c r="AM140" s="340"/>
    </row>
    <row r="141" spans="1:39" ht="15.75">
      <c r="A141" s="340"/>
      <c r="B141" s="692" t="s">
        <v>68</v>
      </c>
      <c r="C141" s="727"/>
      <c r="D141" s="727"/>
      <c r="E141" s="727"/>
      <c r="F141" s="727"/>
      <c r="G141" s="727"/>
      <c r="H141" s="727"/>
      <c r="I141" s="727"/>
      <c r="J141" s="727"/>
      <c r="K141" s="727"/>
      <c r="L141" s="728"/>
      <c r="M141" s="728"/>
      <c r="N141" s="728"/>
      <c r="O141" s="728"/>
      <c r="P141" s="728"/>
      <c r="Q141" s="728"/>
      <c r="R141" s="728"/>
      <c r="S141" s="728"/>
      <c r="T141" s="728"/>
      <c r="U141" s="728"/>
      <c r="V141" s="728">
        <f>2095.02-2039.301</f>
        <v>55.719000000000051</v>
      </c>
      <c r="W141" s="728">
        <f>V141</f>
        <v>55.719000000000051</v>
      </c>
      <c r="X141" s="728">
        <f t="shared" ref="X141:AD141" si="334">W141</f>
        <v>55.719000000000051</v>
      </c>
      <c r="Y141" s="728">
        <f t="shared" si="334"/>
        <v>55.719000000000051</v>
      </c>
      <c r="Z141" s="728">
        <f t="shared" si="334"/>
        <v>55.719000000000051</v>
      </c>
      <c r="AA141" s="728">
        <f t="shared" si="334"/>
        <v>55.719000000000051</v>
      </c>
      <c r="AB141" s="728">
        <f t="shared" si="334"/>
        <v>55.719000000000051</v>
      </c>
      <c r="AC141" s="728">
        <f t="shared" si="334"/>
        <v>55.719000000000051</v>
      </c>
      <c r="AD141" s="728">
        <f t="shared" si="334"/>
        <v>55.719000000000051</v>
      </c>
      <c r="AE141" s="340"/>
      <c r="AF141" s="340"/>
      <c r="AG141" s="340"/>
      <c r="AH141" s="340"/>
      <c r="AI141" s="340"/>
      <c r="AJ141" s="340"/>
      <c r="AK141" s="340"/>
      <c r="AL141" s="340"/>
      <c r="AM141" s="340"/>
    </row>
    <row r="142" spans="1:39" ht="15.75">
      <c r="A142" s="340"/>
      <c r="B142" s="692" t="s">
        <v>69</v>
      </c>
      <c r="C142" s="727"/>
      <c r="D142" s="727"/>
      <c r="E142" s="727"/>
      <c r="F142" s="727"/>
      <c r="G142" s="727"/>
      <c r="H142" s="727"/>
      <c r="I142" s="727"/>
      <c r="J142" s="727"/>
      <c r="K142" s="727"/>
      <c r="L142" s="728">
        <f t="shared" ref="L142:T142" si="335">L25+L26</f>
        <v>0</v>
      </c>
      <c r="M142" s="728">
        <f t="shared" si="335"/>
        <v>0</v>
      </c>
      <c r="N142" s="728">
        <f t="shared" si="335"/>
        <v>48.2</v>
      </c>
      <c r="O142" s="728">
        <f t="shared" si="335"/>
        <v>311</v>
      </c>
      <c r="P142" s="728">
        <f t="shared" si="335"/>
        <v>46</v>
      </c>
      <c r="Q142" s="728">
        <f t="shared" si="335"/>
        <v>95</v>
      </c>
      <c r="R142" s="728">
        <f t="shared" si="335"/>
        <v>0</v>
      </c>
      <c r="S142" s="728">
        <f t="shared" si="335"/>
        <v>48</v>
      </c>
      <c r="T142" s="728">
        <f t="shared" si="335"/>
        <v>0</v>
      </c>
      <c r="U142" s="728">
        <f t="shared" ref="U142" si="336">U25+U26</f>
        <v>-27</v>
      </c>
      <c r="V142" s="728">
        <f>V25+V26</f>
        <v>16.675000000000001</v>
      </c>
      <c r="W142" s="728"/>
      <c r="X142" s="728"/>
      <c r="Y142" s="728"/>
      <c r="Z142" s="728"/>
      <c r="AA142" s="728"/>
      <c r="AB142" s="728"/>
      <c r="AC142" s="728"/>
      <c r="AD142" s="728"/>
      <c r="AE142" s="340"/>
      <c r="AF142" s="340"/>
      <c r="AG142" s="340"/>
      <c r="AH142" s="340"/>
      <c r="AI142" s="340"/>
      <c r="AJ142" s="340"/>
      <c r="AK142" s="340"/>
      <c r="AL142" s="340"/>
      <c r="AM142" s="340"/>
    </row>
    <row r="143" spans="1:39" ht="15.75">
      <c r="A143" s="340"/>
      <c r="B143" s="692"/>
      <c r="C143" s="727"/>
      <c r="D143" s="727"/>
      <c r="E143" s="727"/>
      <c r="F143" s="727"/>
      <c r="G143" s="727"/>
      <c r="H143" s="727"/>
      <c r="I143" s="727"/>
      <c r="J143" s="727"/>
      <c r="K143" s="727"/>
      <c r="L143" s="692"/>
      <c r="M143" s="692"/>
      <c r="N143" s="692"/>
      <c r="O143" s="692"/>
      <c r="P143" s="692"/>
      <c r="Q143" s="692"/>
      <c r="R143" s="692"/>
      <c r="S143" s="692"/>
      <c r="T143" s="692"/>
      <c r="U143" s="692"/>
      <c r="V143" s="692"/>
      <c r="W143" s="692"/>
      <c r="X143" s="692"/>
      <c r="Y143" s="692"/>
      <c r="Z143" s="692"/>
      <c r="AA143" s="692"/>
      <c r="AB143" s="692"/>
      <c r="AC143" s="692"/>
      <c r="AD143" s="692"/>
      <c r="AE143" s="340"/>
      <c r="AF143" s="340"/>
      <c r="AG143" s="340"/>
      <c r="AH143" s="340"/>
      <c r="AI143" s="340"/>
      <c r="AJ143" s="340"/>
      <c r="AK143" s="340"/>
      <c r="AL143" s="340"/>
      <c r="AM143" s="340"/>
    </row>
    <row r="144" spans="1:39" ht="15.75">
      <c r="A144" s="340"/>
      <c r="B144" s="692" t="s">
        <v>70</v>
      </c>
      <c r="C144" s="727"/>
      <c r="D144" s="727"/>
      <c r="E144" s="727"/>
      <c r="F144" s="727"/>
      <c r="G144" s="727"/>
      <c r="H144" s="727"/>
      <c r="I144" s="727"/>
      <c r="J144" s="727"/>
      <c r="K144" s="727"/>
      <c r="L144" s="693">
        <f>L145+L146</f>
        <v>4277</v>
      </c>
      <c r="M144" s="693">
        <f>M145+M146</f>
        <v>4378</v>
      </c>
      <c r="N144" s="693">
        <f t="shared" ref="N144:U144" si="337">N146+N145</f>
        <v>4378</v>
      </c>
      <c r="O144" s="693">
        <f t="shared" si="337"/>
        <v>4378</v>
      </c>
      <c r="P144" s="693">
        <f t="shared" si="337"/>
        <v>4170.2480388388503</v>
      </c>
      <c r="Q144" s="693">
        <f t="shared" si="337"/>
        <v>4195.5498426292706</v>
      </c>
      <c r="R144" s="693">
        <f t="shared" si="337"/>
        <v>4378</v>
      </c>
      <c r="S144" s="693">
        <f t="shared" si="337"/>
        <v>4378</v>
      </c>
      <c r="T144" s="693">
        <f t="shared" si="337"/>
        <v>4378</v>
      </c>
      <c r="U144" s="693">
        <f t="shared" si="337"/>
        <v>4378</v>
      </c>
      <c r="V144" s="693">
        <f t="shared" ref="V144" si="338">U144+V148</f>
        <v>4378</v>
      </c>
      <c r="W144" s="693">
        <f t="shared" ref="W144" si="339">V144+W148</f>
        <v>4378</v>
      </c>
      <c r="X144" s="693">
        <f t="shared" ref="X144" si="340">W144+X148</f>
        <v>4378</v>
      </c>
      <c r="Y144" s="693">
        <f t="shared" ref="Y144" si="341">X144+Y148</f>
        <v>4378</v>
      </c>
      <c r="Z144" s="693">
        <f t="shared" ref="Z144" si="342">Y144+Z148</f>
        <v>4378</v>
      </c>
      <c r="AA144" s="693">
        <f t="shared" ref="AA144" si="343">Z144+AA148</f>
        <v>4378</v>
      </c>
      <c r="AB144" s="693">
        <f t="shared" ref="AB144" si="344">AA144+AB148</f>
        <v>4378</v>
      </c>
      <c r="AC144" s="693">
        <f t="shared" ref="AC144" si="345">AB144+AC148</f>
        <v>4378</v>
      </c>
      <c r="AD144" s="693">
        <f t="shared" ref="AD144" si="346">AC144+AD148</f>
        <v>4378</v>
      </c>
      <c r="AE144" s="340"/>
      <c r="AF144" s="340"/>
      <c r="AG144" s="340"/>
      <c r="AH144" s="340"/>
      <c r="AI144" s="340"/>
      <c r="AJ144" s="340"/>
      <c r="AK144" s="340"/>
      <c r="AL144" s="340"/>
      <c r="AM144" s="340"/>
    </row>
    <row r="145" spans="1:39" ht="15.75">
      <c r="A145" s="340"/>
      <c r="B145" s="692" t="s">
        <v>71</v>
      </c>
      <c r="C145" s="727"/>
      <c r="D145" s="727"/>
      <c r="E145" s="727"/>
      <c r="F145" s="727"/>
      <c r="G145" s="727"/>
      <c r="H145" s="727"/>
      <c r="I145" s="727"/>
      <c r="J145" s="727"/>
      <c r="K145" s="727"/>
      <c r="L145" s="728">
        <v>0</v>
      </c>
      <c r="M145" s="728">
        <v>0</v>
      </c>
      <c r="N145" s="728">
        <v>0</v>
      </c>
      <c r="O145" s="728">
        <v>0</v>
      </c>
      <c r="P145" s="728">
        <v>0</v>
      </c>
      <c r="Q145" s="728">
        <v>0</v>
      </c>
      <c r="R145" s="728">
        <v>0</v>
      </c>
      <c r="S145" s="728">
        <v>0</v>
      </c>
      <c r="T145" s="728">
        <v>0</v>
      </c>
      <c r="U145" s="728">
        <v>0</v>
      </c>
      <c r="V145" s="693">
        <f t="shared" ref="V145" si="347">U145</f>
        <v>0</v>
      </c>
      <c r="W145" s="693">
        <f t="shared" ref="W145" si="348">V145</f>
        <v>0</v>
      </c>
      <c r="X145" s="693">
        <f t="shared" ref="X145" si="349">W145</f>
        <v>0</v>
      </c>
      <c r="Y145" s="693">
        <f t="shared" ref="Y145" si="350">X145</f>
        <v>0</v>
      </c>
      <c r="Z145" s="693">
        <f t="shared" ref="Z145" si="351">Y145</f>
        <v>0</v>
      </c>
      <c r="AA145" s="693">
        <f t="shared" ref="AA145" si="352">Z145</f>
        <v>0</v>
      </c>
      <c r="AB145" s="693">
        <f t="shared" ref="AB145" si="353">AA145</f>
        <v>0</v>
      </c>
      <c r="AC145" s="693">
        <f t="shared" ref="AC145" si="354">AB145</f>
        <v>0</v>
      </c>
      <c r="AD145" s="693">
        <f t="shared" ref="AD145" si="355">AC145</f>
        <v>0</v>
      </c>
      <c r="AE145" s="340"/>
      <c r="AF145" s="340"/>
      <c r="AG145" s="340"/>
      <c r="AH145" s="340"/>
      <c r="AI145" s="340"/>
      <c r="AJ145" s="340"/>
      <c r="AK145" s="340"/>
      <c r="AL145" s="340"/>
      <c r="AM145" s="340"/>
    </row>
    <row r="146" spans="1:39" ht="15.75">
      <c r="A146" s="340"/>
      <c r="B146" s="691" t="s">
        <v>72</v>
      </c>
      <c r="C146" s="727"/>
      <c r="D146" s="727"/>
      <c r="E146" s="727"/>
      <c r="F146" s="727"/>
      <c r="G146" s="727"/>
      <c r="H146" s="727"/>
      <c r="I146" s="727"/>
      <c r="J146" s="727"/>
      <c r="K146" s="727"/>
      <c r="L146" s="733">
        <v>4277</v>
      </c>
      <c r="M146" s="733">
        <v>4378</v>
      </c>
      <c r="N146" s="733">
        <v>4378</v>
      </c>
      <c r="O146" s="733">
        <v>4378</v>
      </c>
      <c r="P146" s="733">
        <f>4378-P139</f>
        <v>4170.2480388388503</v>
      </c>
      <c r="Q146" s="733">
        <f>4378-Q139</f>
        <v>4195.5498426292706</v>
      </c>
      <c r="R146" s="733">
        <v>4378</v>
      </c>
      <c r="S146" s="733">
        <v>4378</v>
      </c>
      <c r="T146" s="733">
        <v>4378</v>
      </c>
      <c r="U146" s="733">
        <v>4378</v>
      </c>
      <c r="V146" s="733">
        <v>4378.3969999999999</v>
      </c>
      <c r="W146" s="733">
        <v>4366.058</v>
      </c>
      <c r="X146" s="697">
        <f t="shared" ref="X146:Y146" si="356">X144-X145</f>
        <v>4378</v>
      </c>
      <c r="Y146" s="697">
        <f t="shared" si="356"/>
        <v>4378</v>
      </c>
      <c r="Z146" s="697">
        <f t="shared" ref="Z146:AD146" si="357">Z144-Z145</f>
        <v>4378</v>
      </c>
      <c r="AA146" s="697">
        <f t="shared" si="357"/>
        <v>4378</v>
      </c>
      <c r="AB146" s="697">
        <f t="shared" si="357"/>
        <v>4378</v>
      </c>
      <c r="AC146" s="697">
        <f t="shared" si="357"/>
        <v>4378</v>
      </c>
      <c r="AD146" s="697">
        <f t="shared" si="357"/>
        <v>4378</v>
      </c>
      <c r="AE146" s="340"/>
      <c r="AF146" s="340"/>
      <c r="AG146" s="340"/>
      <c r="AH146" s="340"/>
      <c r="AI146" s="340"/>
      <c r="AJ146" s="340"/>
      <c r="AK146" s="340"/>
      <c r="AL146" s="340"/>
      <c r="AM146" s="340"/>
    </row>
    <row r="147" spans="1:39" ht="15.75">
      <c r="A147" s="340"/>
      <c r="B147" s="692"/>
      <c r="C147" s="727"/>
      <c r="D147" s="727"/>
      <c r="E147" s="727"/>
      <c r="F147" s="727"/>
      <c r="G147" s="727"/>
      <c r="H147" s="727"/>
      <c r="I147" s="727"/>
      <c r="J147" s="727"/>
      <c r="K147" s="727"/>
      <c r="L147" s="692"/>
      <c r="M147" s="692"/>
      <c r="N147" s="692"/>
      <c r="O147" s="692"/>
      <c r="P147" s="692"/>
      <c r="Q147" s="692"/>
      <c r="R147" s="692"/>
      <c r="S147" s="692"/>
      <c r="T147" s="692"/>
      <c r="U147" s="692"/>
      <c r="V147" s="692"/>
      <c r="W147" s="692"/>
      <c r="X147" s="692"/>
      <c r="Y147" s="692"/>
      <c r="Z147" s="692"/>
      <c r="AA147" s="692"/>
      <c r="AB147" s="692"/>
      <c r="AC147" s="692"/>
      <c r="AD147" s="692"/>
      <c r="AE147" s="340"/>
      <c r="AF147" s="340"/>
      <c r="AG147" s="340"/>
      <c r="AH147" s="340"/>
      <c r="AI147" s="340"/>
      <c r="AJ147" s="340"/>
      <c r="AK147" s="340"/>
      <c r="AL147" s="340"/>
      <c r="AM147" s="340"/>
    </row>
    <row r="148" spans="1:39" ht="15.75">
      <c r="A148" s="340"/>
      <c r="B148" s="692" t="s">
        <v>73</v>
      </c>
      <c r="C148" s="727"/>
      <c r="D148" s="727"/>
      <c r="E148" s="727"/>
      <c r="F148" s="727"/>
      <c r="G148" s="727"/>
      <c r="H148" s="727"/>
      <c r="I148" s="727"/>
      <c r="J148" s="727"/>
      <c r="K148" s="727"/>
      <c r="L148" s="728">
        <v>0</v>
      </c>
      <c r="M148" s="728">
        <v>0</v>
      </c>
      <c r="N148" s="728">
        <v>0</v>
      </c>
      <c r="O148" s="728">
        <v>0</v>
      </c>
      <c r="P148" s="728">
        <v>0</v>
      </c>
      <c r="Q148" s="728">
        <v>0</v>
      </c>
      <c r="R148" s="728">
        <v>0</v>
      </c>
      <c r="S148" s="728">
        <v>0</v>
      </c>
      <c r="T148" s="728">
        <v>0</v>
      </c>
      <c r="U148" s="728">
        <v>0</v>
      </c>
      <c r="V148" s="728">
        <v>0</v>
      </c>
      <c r="W148" s="728">
        <v>0</v>
      </c>
      <c r="X148" s="728">
        <v>0</v>
      </c>
      <c r="Y148" s="728">
        <v>0</v>
      </c>
      <c r="Z148" s="728">
        <v>0</v>
      </c>
      <c r="AA148" s="728">
        <v>0</v>
      </c>
      <c r="AB148" s="728">
        <v>0</v>
      </c>
      <c r="AC148" s="728">
        <v>0</v>
      </c>
      <c r="AD148" s="728">
        <v>0</v>
      </c>
      <c r="AE148" s="340"/>
      <c r="AF148" s="340"/>
      <c r="AG148" s="340"/>
      <c r="AH148" s="340"/>
      <c r="AI148" s="340"/>
      <c r="AJ148" s="340"/>
      <c r="AK148" s="340"/>
      <c r="AL148" s="340"/>
      <c r="AM148" s="340"/>
    </row>
    <row r="149" spans="1:39" ht="15.75">
      <c r="A149" s="340"/>
      <c r="B149" s="692" t="s">
        <v>74</v>
      </c>
      <c r="C149" s="727"/>
      <c r="D149" s="727"/>
      <c r="E149" s="727"/>
      <c r="F149" s="727"/>
      <c r="G149" s="727"/>
      <c r="H149" s="727"/>
      <c r="I149" s="727"/>
      <c r="J149" s="727"/>
      <c r="K149" s="727"/>
      <c r="L149" s="728">
        <v>0</v>
      </c>
      <c r="M149" s="728">
        <v>0</v>
      </c>
      <c r="N149" s="728">
        <v>0</v>
      </c>
      <c r="O149" s="728">
        <v>0</v>
      </c>
      <c r="P149" s="728">
        <v>0</v>
      </c>
      <c r="Q149" s="728">
        <v>0</v>
      </c>
      <c r="R149" s="728">
        <v>0</v>
      </c>
      <c r="S149" s="728">
        <v>0</v>
      </c>
      <c r="T149" s="728">
        <v>0</v>
      </c>
      <c r="U149" s="728">
        <v>0</v>
      </c>
      <c r="V149" s="728">
        <v>0</v>
      </c>
      <c r="W149" s="728">
        <v>0</v>
      </c>
      <c r="X149" s="728">
        <v>0</v>
      </c>
      <c r="Y149" s="728">
        <v>0</v>
      </c>
      <c r="Z149" s="728">
        <v>0</v>
      </c>
      <c r="AA149" s="728">
        <v>0</v>
      </c>
      <c r="AB149" s="728">
        <v>0</v>
      </c>
      <c r="AC149" s="728">
        <v>0</v>
      </c>
      <c r="AD149" s="728">
        <v>0</v>
      </c>
      <c r="AE149" s="340"/>
      <c r="AF149" s="340"/>
      <c r="AG149" s="340"/>
      <c r="AH149" s="340"/>
      <c r="AI149" s="340"/>
      <c r="AJ149" s="340"/>
      <c r="AK149" s="340"/>
      <c r="AL149" s="340"/>
      <c r="AM149" s="340"/>
    </row>
    <row r="150" spans="1:39" ht="15.75">
      <c r="A150" s="340"/>
      <c r="B150" s="692"/>
      <c r="C150" s="727"/>
      <c r="D150" s="727"/>
      <c r="E150" s="727"/>
      <c r="F150" s="727"/>
      <c r="G150" s="727"/>
      <c r="H150" s="727"/>
      <c r="I150" s="727"/>
      <c r="J150" s="727"/>
      <c r="K150" s="727"/>
      <c r="L150" s="692"/>
      <c r="M150" s="692"/>
      <c r="N150" s="692"/>
      <c r="O150" s="692"/>
      <c r="P150" s="692"/>
      <c r="Q150" s="692"/>
      <c r="R150" s="692"/>
      <c r="S150" s="692"/>
      <c r="T150" s="692"/>
      <c r="U150" s="692"/>
      <c r="V150" s="692"/>
      <c r="W150" s="692"/>
      <c r="X150" s="692"/>
      <c r="Y150" s="692"/>
      <c r="Z150" s="692"/>
      <c r="AA150" s="692"/>
      <c r="AB150" s="692"/>
      <c r="AC150" s="692"/>
      <c r="AD150" s="692"/>
      <c r="AE150" s="340"/>
      <c r="AF150" s="340"/>
      <c r="AG150" s="340"/>
      <c r="AH150" s="340"/>
      <c r="AI150" s="340"/>
      <c r="AJ150" s="340"/>
      <c r="AK150" s="340"/>
      <c r="AL150" s="340"/>
      <c r="AM150" s="340"/>
    </row>
    <row r="151" spans="1:39" ht="15.75">
      <c r="A151" s="340"/>
      <c r="B151" s="691" t="s">
        <v>75</v>
      </c>
      <c r="C151" s="727"/>
      <c r="D151" s="727"/>
      <c r="E151" s="727"/>
      <c r="F151" s="727"/>
      <c r="G151" s="727"/>
      <c r="H151" s="727"/>
      <c r="I151" s="727"/>
      <c r="J151" s="727"/>
      <c r="K151" s="727"/>
      <c r="L151" s="692"/>
      <c r="M151" s="692"/>
      <c r="N151" s="692"/>
      <c r="O151" s="692"/>
      <c r="P151" s="692"/>
      <c r="Q151" s="692"/>
      <c r="R151" s="692"/>
      <c r="S151" s="692"/>
      <c r="T151" s="692"/>
      <c r="U151" s="692"/>
      <c r="V151" s="692"/>
      <c r="W151" s="692"/>
      <c r="X151" s="692"/>
      <c r="Y151" s="692"/>
      <c r="Z151" s="692"/>
      <c r="AA151" s="692"/>
      <c r="AB151" s="692"/>
      <c r="AC151" s="692"/>
      <c r="AD151" s="692"/>
      <c r="AE151" s="340"/>
      <c r="AF151" s="340"/>
      <c r="AG151" s="340"/>
      <c r="AH151" s="340"/>
      <c r="AI151" s="340"/>
      <c r="AJ151" s="340"/>
      <c r="AK151" s="340"/>
      <c r="AL151" s="340"/>
      <c r="AM151" s="340"/>
    </row>
    <row r="152" spans="1:39" ht="15.75">
      <c r="A152" s="340"/>
      <c r="B152" s="692" t="s">
        <v>76</v>
      </c>
      <c r="C152" s="727"/>
      <c r="D152" s="727"/>
      <c r="E152" s="727"/>
      <c r="F152" s="727"/>
      <c r="G152" s="727"/>
      <c r="H152" s="727"/>
      <c r="I152" s="727"/>
      <c r="J152" s="727"/>
      <c r="K152" s="727"/>
      <c r="L152" s="693">
        <f t="shared" ref="L152:R152" si="358">L118</f>
        <v>11571</v>
      </c>
      <c r="M152" s="693">
        <f t="shared" si="358"/>
        <v>12486</v>
      </c>
      <c r="N152" s="693">
        <f t="shared" si="358"/>
        <v>14321</v>
      </c>
      <c r="O152" s="693">
        <f t="shared" si="358"/>
        <v>17658</v>
      </c>
      <c r="P152" s="693">
        <f t="shared" si="358"/>
        <v>21522</v>
      </c>
      <c r="Q152" s="693">
        <f t="shared" si="358"/>
        <v>24385</v>
      </c>
      <c r="R152" s="693">
        <f t="shared" si="358"/>
        <v>26890</v>
      </c>
      <c r="S152" s="693">
        <f t="shared" ref="S152:T152" si="359">S118</f>
        <v>30623</v>
      </c>
      <c r="T152" s="693">
        <f t="shared" si="359"/>
        <v>33804</v>
      </c>
      <c r="U152" s="693">
        <f t="shared" ref="U152" si="360">U118</f>
        <v>39071.879999999997</v>
      </c>
      <c r="V152" s="693">
        <f>V118</f>
        <v>46236.025999999998</v>
      </c>
      <c r="W152" s="693">
        <f>W118</f>
        <v>53407.135000000002</v>
      </c>
      <c r="X152" s="693">
        <f ca="1">X118</f>
        <v>53492.45112457627</v>
      </c>
      <c r="Y152" s="693">
        <f ca="1">Y118</f>
        <v>55399.509555104902</v>
      </c>
      <c r="Z152" s="693">
        <f t="shared" ref="Z152:AD152" ca="1" si="361">Z118</f>
        <v>56612.903653356101</v>
      </c>
      <c r="AA152" s="693">
        <f t="shared" ca="1" si="361"/>
        <v>57380.545989868668</v>
      </c>
      <c r="AB152" s="693">
        <f t="shared" ca="1" si="361"/>
        <v>58508.225546665373</v>
      </c>
      <c r="AC152" s="693">
        <f t="shared" ca="1" si="361"/>
        <v>59931.197880757434</v>
      </c>
      <c r="AD152" s="693">
        <f t="shared" ca="1" si="361"/>
        <v>61614.146620950618</v>
      </c>
      <c r="AE152" s="340"/>
      <c r="AF152" s="340"/>
      <c r="AG152" s="340"/>
      <c r="AH152" s="340"/>
      <c r="AI152" s="340"/>
      <c r="AJ152" s="340"/>
      <c r="AK152" s="340"/>
      <c r="AL152" s="340"/>
      <c r="AM152" s="340"/>
    </row>
    <row r="153" spans="1:39" ht="15.75">
      <c r="A153" s="340"/>
      <c r="B153" s="692" t="s">
        <v>77</v>
      </c>
      <c r="C153" s="727"/>
      <c r="D153" s="727"/>
      <c r="E153" s="727"/>
      <c r="F153" s="727"/>
      <c r="G153" s="727"/>
      <c r="H153" s="727"/>
      <c r="I153" s="727"/>
      <c r="J153" s="727"/>
      <c r="K153" s="727"/>
      <c r="L153" s="696">
        <f t="shared" ref="L153:R153" si="362">L139</f>
        <v>449</v>
      </c>
      <c r="M153" s="696">
        <f t="shared" si="362"/>
        <v>299</v>
      </c>
      <c r="N153" s="696">
        <f t="shared" si="362"/>
        <v>174.05968819599116</v>
      </c>
      <c r="O153" s="696">
        <f t="shared" si="362"/>
        <v>384.26788656802296</v>
      </c>
      <c r="P153" s="696">
        <f t="shared" si="362"/>
        <v>207.75196116114989</v>
      </c>
      <c r="Q153" s="696">
        <f t="shared" si="362"/>
        <v>182.45015737072913</v>
      </c>
      <c r="R153" s="696">
        <f t="shared" si="362"/>
        <v>76.799732167188949</v>
      </c>
      <c r="S153" s="696">
        <f t="shared" ref="S153:T153" si="363">S139</f>
        <v>80.327726903337862</v>
      </c>
      <c r="T153" s="696">
        <f t="shared" si="363"/>
        <v>33.812784821226842</v>
      </c>
      <c r="U153" s="696">
        <f t="shared" ref="U153:Y153" si="364">U139</f>
        <v>49.868000000000002</v>
      </c>
      <c r="V153" s="696">
        <f t="shared" si="364"/>
        <v>50.069000000000003</v>
      </c>
      <c r="W153" s="696">
        <f t="shared" si="364"/>
        <v>49.560719999999947</v>
      </c>
      <c r="X153" s="696">
        <f t="shared" si="364"/>
        <v>49.771713600000112</v>
      </c>
      <c r="Y153" s="696">
        <f t="shared" si="364"/>
        <v>49.746394367999983</v>
      </c>
      <c r="Z153" s="696">
        <f t="shared" ref="Z153:AD153" si="365">Z139</f>
        <v>49.749432675840126</v>
      </c>
      <c r="AA153" s="696">
        <f t="shared" si="365"/>
        <v>49.749068078899199</v>
      </c>
      <c r="AB153" s="696">
        <f t="shared" si="365"/>
        <v>49.749111830532001</v>
      </c>
      <c r="AC153" s="696">
        <f t="shared" si="365"/>
        <v>49.749106580336047</v>
      </c>
      <c r="AD153" s="696">
        <f t="shared" si="365"/>
        <v>49.749107210359853</v>
      </c>
      <c r="AE153" s="340"/>
      <c r="AF153" s="340"/>
      <c r="AG153" s="340"/>
      <c r="AH153" s="340"/>
      <c r="AI153" s="340"/>
      <c r="AJ153" s="340"/>
      <c r="AK153" s="340"/>
      <c r="AL153" s="340"/>
      <c r="AM153" s="340"/>
    </row>
    <row r="154" spans="1:39" ht="15.75">
      <c r="A154" s="340"/>
      <c r="B154" s="692" t="s">
        <v>21</v>
      </c>
      <c r="C154" s="693"/>
      <c r="D154" s="693"/>
      <c r="E154" s="693"/>
      <c r="F154" s="693"/>
      <c r="G154" s="693"/>
      <c r="H154" s="693"/>
      <c r="I154" s="693"/>
      <c r="J154" s="693"/>
      <c r="K154" s="693"/>
      <c r="L154" s="693">
        <f t="shared" ref="L154:R154" si="366">L152+L153</f>
        <v>12020</v>
      </c>
      <c r="M154" s="693">
        <f t="shared" si="366"/>
        <v>12785</v>
      </c>
      <c r="N154" s="693">
        <f t="shared" si="366"/>
        <v>14495.059688195992</v>
      </c>
      <c r="O154" s="693">
        <f t="shared" si="366"/>
        <v>18042.267886568025</v>
      </c>
      <c r="P154" s="693">
        <f t="shared" si="366"/>
        <v>21729.75196116115</v>
      </c>
      <c r="Q154" s="693">
        <f t="shared" si="366"/>
        <v>24567.450157370728</v>
      </c>
      <c r="R154" s="693">
        <f t="shared" si="366"/>
        <v>26966.79973216719</v>
      </c>
      <c r="S154" s="693">
        <f t="shared" ref="S154:T154" si="367">S152+S153</f>
        <v>30703.327726903339</v>
      </c>
      <c r="T154" s="693">
        <f t="shared" si="367"/>
        <v>33837.812784821224</v>
      </c>
      <c r="U154" s="693">
        <f t="shared" ref="U154" si="368">U152+U153</f>
        <v>39121.748</v>
      </c>
      <c r="V154" s="693">
        <f>V152+V153</f>
        <v>46286.095000000001</v>
      </c>
      <c r="W154" s="693">
        <f>W152+W153</f>
        <v>53456.695720000003</v>
      </c>
      <c r="X154" s="693">
        <f ca="1">X152+X153</f>
        <v>53542.222838176269</v>
      </c>
      <c r="Y154" s="693">
        <f ca="1">Y152+Y153</f>
        <v>55449.255949472899</v>
      </c>
      <c r="Z154" s="693">
        <f t="shared" ref="Z154:AD154" ca="1" si="369">Z152+Z153</f>
        <v>56662.65308603194</v>
      </c>
      <c r="AA154" s="693">
        <f t="shared" ca="1" si="369"/>
        <v>57430.295057947566</v>
      </c>
      <c r="AB154" s="693">
        <f t="shared" ca="1" si="369"/>
        <v>58557.974658495907</v>
      </c>
      <c r="AC154" s="693">
        <f t="shared" ca="1" si="369"/>
        <v>59980.946987337767</v>
      </c>
      <c r="AD154" s="693">
        <f t="shared" ca="1" si="369"/>
        <v>61663.895728160976</v>
      </c>
      <c r="AE154" s="340"/>
      <c r="AF154" s="340"/>
      <c r="AG154" s="340"/>
      <c r="AH154" s="340"/>
      <c r="AI154" s="340"/>
      <c r="AJ154" s="340"/>
      <c r="AK154" s="340"/>
      <c r="AL154" s="340"/>
      <c r="AM154" s="340"/>
    </row>
    <row r="155" spans="1:39" ht="15.75">
      <c r="A155" s="340"/>
      <c r="B155" s="692"/>
      <c r="C155" s="692"/>
      <c r="D155" s="692"/>
      <c r="E155" s="692"/>
      <c r="F155" s="692"/>
      <c r="G155" s="692"/>
      <c r="H155" s="692"/>
      <c r="I155" s="692"/>
      <c r="J155" s="692"/>
      <c r="K155" s="692"/>
      <c r="L155" s="692"/>
      <c r="M155" s="692"/>
      <c r="N155" s="692"/>
      <c r="O155" s="692"/>
      <c r="P155" s="692"/>
      <c r="Q155" s="692"/>
      <c r="R155" s="692"/>
      <c r="S155" s="692"/>
      <c r="T155" s="692"/>
      <c r="U155" s="692"/>
      <c r="V155" s="692"/>
      <c r="W155" s="692"/>
      <c r="X155" s="716"/>
      <c r="Y155" s="692"/>
      <c r="Z155" s="692"/>
      <c r="AA155" s="692"/>
      <c r="AB155" s="692"/>
      <c r="AC155" s="692"/>
      <c r="AD155" s="692"/>
      <c r="AE155" s="340"/>
      <c r="AF155" s="340"/>
      <c r="AG155" s="340"/>
      <c r="AH155" s="340"/>
      <c r="AI155" s="340"/>
      <c r="AJ155" s="340"/>
      <c r="AK155" s="340"/>
      <c r="AL155" s="340"/>
      <c r="AM155" s="340"/>
    </row>
    <row r="156" spans="1:39" ht="15.75">
      <c r="A156" s="340"/>
      <c r="B156" s="692"/>
      <c r="C156" s="692"/>
      <c r="D156" s="692"/>
      <c r="E156" s="692"/>
      <c r="F156" s="692"/>
      <c r="G156" s="692"/>
      <c r="H156" s="692"/>
      <c r="I156" s="692"/>
      <c r="J156" s="692"/>
      <c r="K156" s="692"/>
      <c r="L156" s="692"/>
      <c r="M156" s="692"/>
      <c r="N156" s="692"/>
      <c r="O156" s="692"/>
      <c r="P156" s="692"/>
      <c r="Q156" s="692"/>
      <c r="R156" s="692"/>
      <c r="S156" s="692"/>
      <c r="T156" s="692"/>
      <c r="U156" s="692"/>
      <c r="V156" s="692"/>
      <c r="W156" s="692"/>
      <c r="X156" s="716"/>
      <c r="Y156" s="692"/>
      <c r="Z156" s="692"/>
      <c r="AA156" s="692"/>
      <c r="AB156" s="692"/>
      <c r="AC156" s="692"/>
      <c r="AD156" s="692"/>
      <c r="AE156" s="340"/>
      <c r="AF156" s="340"/>
      <c r="AG156" s="340"/>
      <c r="AH156" s="340"/>
      <c r="AI156" s="340"/>
      <c r="AJ156" s="340"/>
      <c r="AK156" s="340"/>
      <c r="AL156" s="340"/>
      <c r="AM156" s="340"/>
    </row>
    <row r="157" spans="1:39" ht="15.75">
      <c r="A157" s="340"/>
      <c r="B157" s="692"/>
      <c r="C157" s="692"/>
      <c r="D157" s="692"/>
      <c r="E157" s="692"/>
      <c r="F157" s="692"/>
      <c r="G157" s="692"/>
      <c r="H157" s="692"/>
      <c r="I157" s="692"/>
      <c r="J157" s="692"/>
      <c r="K157" s="692"/>
      <c r="L157" s="692"/>
      <c r="M157" s="692"/>
      <c r="N157" s="692"/>
      <c r="O157" s="692"/>
      <c r="P157" s="692"/>
      <c r="Q157" s="692"/>
      <c r="R157" s="692"/>
      <c r="S157" s="692"/>
      <c r="T157" s="692"/>
      <c r="U157" s="692"/>
      <c r="V157" s="692"/>
      <c r="W157" s="692"/>
      <c r="X157" s="716"/>
      <c r="Y157" s="692"/>
      <c r="Z157" s="692"/>
      <c r="AA157" s="692"/>
      <c r="AB157" s="692"/>
      <c r="AC157" s="692"/>
      <c r="AD157" s="692"/>
      <c r="AE157" s="340"/>
      <c r="AF157" s="340"/>
      <c r="AG157" s="340"/>
      <c r="AH157" s="340"/>
      <c r="AI157" s="340"/>
      <c r="AJ157" s="340"/>
      <c r="AK157" s="340"/>
      <c r="AL157" s="340"/>
      <c r="AM157" s="340"/>
    </row>
    <row r="158" spans="1:39" ht="15.75">
      <c r="A158" s="340"/>
      <c r="B158" s="689" t="s">
        <v>78</v>
      </c>
      <c r="C158" s="689">
        <v>2003</v>
      </c>
      <c r="D158" s="689">
        <f t="shared" ref="D158:T158" si="370">C158+1</f>
        <v>2004</v>
      </c>
      <c r="E158" s="689">
        <f t="shared" si="370"/>
        <v>2005</v>
      </c>
      <c r="F158" s="689">
        <f t="shared" si="370"/>
        <v>2006</v>
      </c>
      <c r="G158" s="689">
        <f t="shared" si="370"/>
        <v>2007</v>
      </c>
      <c r="H158" s="689">
        <f t="shared" si="370"/>
        <v>2008</v>
      </c>
      <c r="I158" s="689">
        <f t="shared" si="370"/>
        <v>2009</v>
      </c>
      <c r="J158" s="689">
        <f t="shared" si="370"/>
        <v>2010</v>
      </c>
      <c r="K158" s="689">
        <f t="shared" si="370"/>
        <v>2011</v>
      </c>
      <c r="L158" s="689">
        <f t="shared" si="370"/>
        <v>2012</v>
      </c>
      <c r="M158" s="689">
        <f t="shared" si="370"/>
        <v>2013</v>
      </c>
      <c r="N158" s="689">
        <f t="shared" si="370"/>
        <v>2014</v>
      </c>
      <c r="O158" s="689">
        <f t="shared" si="370"/>
        <v>2015</v>
      </c>
      <c r="P158" s="689">
        <f t="shared" si="370"/>
        <v>2016</v>
      </c>
      <c r="Q158" s="689">
        <f t="shared" si="370"/>
        <v>2017</v>
      </c>
      <c r="R158" s="689">
        <f t="shared" si="370"/>
        <v>2018</v>
      </c>
      <c r="S158" s="689">
        <f t="shared" si="370"/>
        <v>2019</v>
      </c>
      <c r="T158" s="689">
        <f t="shared" si="370"/>
        <v>2020</v>
      </c>
      <c r="U158" s="689">
        <f t="shared" ref="U158" si="371">T158+1</f>
        <v>2021</v>
      </c>
      <c r="V158" s="689">
        <f t="shared" ref="V158" si="372">U158+1</f>
        <v>2022</v>
      </c>
      <c r="W158" s="689">
        <f t="shared" ref="W158" si="373">V158+1</f>
        <v>2023</v>
      </c>
      <c r="X158" s="689">
        <f t="shared" ref="X158" si="374">W158+1</f>
        <v>2024</v>
      </c>
      <c r="Y158" s="689">
        <f t="shared" ref="Y158" si="375">X158+1</f>
        <v>2025</v>
      </c>
      <c r="Z158" s="689">
        <f t="shared" ref="Z158" si="376">Y158+1</f>
        <v>2026</v>
      </c>
      <c r="AA158" s="689">
        <f t="shared" ref="AA158" si="377">Z158+1</f>
        <v>2027</v>
      </c>
      <c r="AB158" s="689">
        <f t="shared" ref="AB158" si="378">AA158+1</f>
        <v>2028</v>
      </c>
      <c r="AC158" s="689">
        <f t="shared" ref="AC158" si="379">AB158+1</f>
        <v>2029</v>
      </c>
      <c r="AD158" s="689">
        <f t="shared" ref="AD158" si="380">AC158+1</f>
        <v>2030</v>
      </c>
      <c r="AE158" s="340"/>
      <c r="AF158" s="340"/>
      <c r="AG158" s="340"/>
      <c r="AH158" s="340"/>
      <c r="AI158" s="340"/>
      <c r="AJ158" s="340"/>
      <c r="AK158" s="340"/>
      <c r="AL158" s="340"/>
      <c r="AM158" s="340"/>
    </row>
    <row r="159" spans="1:39" ht="15.75">
      <c r="A159" s="340"/>
      <c r="B159" s="692" t="s">
        <v>79</v>
      </c>
      <c r="C159" s="727"/>
      <c r="D159" s="727"/>
      <c r="E159" s="727"/>
      <c r="F159" s="727"/>
      <c r="G159" s="727"/>
      <c r="H159" s="727"/>
      <c r="I159" s="727"/>
      <c r="J159" s="727"/>
      <c r="K159" s="727"/>
      <c r="L159" s="727">
        <f t="shared" ref="L159:M159" si="381">SUM(L169:L170)+SUM(L164:L165)</f>
        <v>112</v>
      </c>
      <c r="M159" s="727">
        <f t="shared" si="381"/>
        <v>34</v>
      </c>
      <c r="N159" s="736">
        <f>-SUM(Quarts!AA182:AD182)</f>
        <v>-36.900000000000006</v>
      </c>
      <c r="O159" s="736">
        <f>-SUM(Quarts!AE182:AH182)</f>
        <v>-80.733000000000004</v>
      </c>
      <c r="P159" s="736">
        <v>-113</v>
      </c>
      <c r="Q159" s="736">
        <v>2.5</v>
      </c>
      <c r="R159" s="736">
        <f>17.7+11.6</f>
        <v>29.299999999999997</v>
      </c>
      <c r="S159" s="736">
        <v>413</v>
      </c>
      <c r="T159" s="736">
        <f>457+88</f>
        <v>545</v>
      </c>
      <c r="U159" s="736">
        <v>697</v>
      </c>
      <c r="V159" s="736">
        <v>1196</v>
      </c>
      <c r="W159" s="736">
        <v>1934.32</v>
      </c>
      <c r="X159" s="727">
        <f t="shared" ref="X159:AD159" ca="1" si="382">SUM(X169:X170)-SUM(X164:X165)</f>
        <v>1927.1022094474192</v>
      </c>
      <c r="Y159" s="727">
        <f t="shared" ca="1" si="382"/>
        <v>2004.982414803399</v>
      </c>
      <c r="Z159" s="727">
        <f t="shared" ca="1" si="382"/>
        <v>1905.1750436563566</v>
      </c>
      <c r="AA159" s="727">
        <f t="shared" ca="1" si="382"/>
        <v>1639.0747507462811</v>
      </c>
      <c r="AB159" s="727">
        <f t="shared" ca="1" si="382"/>
        <v>1367.2452702938772</v>
      </c>
      <c r="AC159" s="727">
        <f t="shared" ca="1" si="382"/>
        <v>1228.4440639052707</v>
      </c>
      <c r="AD159" s="727">
        <f t="shared" ca="1" si="382"/>
        <v>1306.3804451764161</v>
      </c>
      <c r="AE159" s="340"/>
      <c r="AF159" s="340"/>
      <c r="AG159" s="340"/>
      <c r="AH159" s="340"/>
      <c r="AI159" s="340"/>
      <c r="AJ159" s="340"/>
      <c r="AK159" s="340"/>
      <c r="AL159" s="340"/>
      <c r="AM159" s="340"/>
    </row>
    <row r="160" spans="1:39" ht="15.75">
      <c r="A160" s="340"/>
      <c r="B160" s="692" t="s">
        <v>80</v>
      </c>
      <c r="C160" s="727"/>
      <c r="D160" s="727"/>
      <c r="E160" s="727"/>
      <c r="F160" s="727"/>
      <c r="G160" s="727"/>
      <c r="H160" s="727"/>
      <c r="I160" s="727"/>
      <c r="J160" s="727"/>
      <c r="K160" s="727"/>
      <c r="L160" s="727">
        <f t="shared" ref="L160:R160" si="383">L165+L170</f>
        <v>0</v>
      </c>
      <c r="M160" s="727">
        <f t="shared" si="383"/>
        <v>0</v>
      </c>
      <c r="N160" s="727">
        <f t="shared" si="383"/>
        <v>0</v>
      </c>
      <c r="O160" s="727">
        <f t="shared" si="383"/>
        <v>0</v>
      </c>
      <c r="P160" s="727">
        <f t="shared" si="383"/>
        <v>100</v>
      </c>
      <c r="Q160" s="727">
        <f t="shared" si="383"/>
        <v>0</v>
      </c>
      <c r="R160" s="727">
        <f t="shared" si="383"/>
        <v>0</v>
      </c>
      <c r="S160" s="727">
        <f t="shared" ref="S160:T160" si="384">S165+S170</f>
        <v>0</v>
      </c>
      <c r="T160" s="727">
        <f t="shared" si="384"/>
        <v>0</v>
      </c>
      <c r="U160" s="727">
        <f t="shared" ref="U160:Y160" si="385">U165+U170</f>
        <v>0</v>
      </c>
      <c r="V160" s="727">
        <f t="shared" si="385"/>
        <v>0</v>
      </c>
      <c r="W160" s="727">
        <f t="shared" si="385"/>
        <v>0</v>
      </c>
      <c r="X160" s="727">
        <f t="shared" si="385"/>
        <v>0</v>
      </c>
      <c r="Y160" s="727">
        <f t="shared" si="385"/>
        <v>0</v>
      </c>
      <c r="Z160" s="727">
        <f t="shared" ref="Z160:AD160" si="386">Z165+Z170</f>
        <v>0</v>
      </c>
      <c r="AA160" s="727">
        <f t="shared" si="386"/>
        <v>0</v>
      </c>
      <c r="AB160" s="727">
        <f t="shared" si="386"/>
        <v>0</v>
      </c>
      <c r="AC160" s="727">
        <f t="shared" si="386"/>
        <v>0</v>
      </c>
      <c r="AD160" s="727">
        <f t="shared" si="386"/>
        <v>0</v>
      </c>
      <c r="AE160" s="340"/>
      <c r="AF160" s="340"/>
      <c r="AG160" s="340"/>
      <c r="AH160" s="340"/>
      <c r="AI160" s="340"/>
      <c r="AJ160" s="340"/>
      <c r="AK160" s="340"/>
      <c r="AL160" s="340"/>
      <c r="AM160" s="340"/>
    </row>
    <row r="161" spans="1:39" ht="15.75">
      <c r="A161" s="340"/>
      <c r="B161" s="692" t="s">
        <v>81</v>
      </c>
      <c r="C161" s="727"/>
      <c r="D161" s="727"/>
      <c r="E161" s="727"/>
      <c r="F161" s="727"/>
      <c r="G161" s="727"/>
      <c r="H161" s="727"/>
      <c r="I161" s="727"/>
      <c r="J161" s="727"/>
      <c r="K161" s="727"/>
      <c r="L161" s="693">
        <f t="shared" ref="L161:R161" si="387">L159-L160</f>
        <v>112</v>
      </c>
      <c r="M161" s="693">
        <f t="shared" si="387"/>
        <v>34</v>
      </c>
      <c r="N161" s="693">
        <f t="shared" si="387"/>
        <v>-36.900000000000006</v>
      </c>
      <c r="O161" s="693">
        <f t="shared" si="387"/>
        <v>-80.733000000000004</v>
      </c>
      <c r="P161" s="693">
        <f t="shared" si="387"/>
        <v>-213</v>
      </c>
      <c r="Q161" s="693">
        <f t="shared" si="387"/>
        <v>2.5</v>
      </c>
      <c r="R161" s="693">
        <f t="shared" si="387"/>
        <v>29.299999999999997</v>
      </c>
      <c r="S161" s="693">
        <f t="shared" ref="S161:T161" si="388">S159-S160</f>
        <v>413</v>
      </c>
      <c r="T161" s="693">
        <f t="shared" si="388"/>
        <v>545</v>
      </c>
      <c r="U161" s="693">
        <f>U159-U160</f>
        <v>697</v>
      </c>
      <c r="V161" s="693">
        <f>V159-V160</f>
        <v>1196</v>
      </c>
      <c r="W161" s="693">
        <f>W159-W160</f>
        <v>1934.32</v>
      </c>
      <c r="X161" s="693">
        <f ca="1">X159-X160</f>
        <v>1927.1022094474192</v>
      </c>
      <c r="Y161" s="693">
        <f ca="1">Y159-Y160</f>
        <v>2004.982414803399</v>
      </c>
      <c r="Z161" s="693">
        <f t="shared" ref="Z161:AD161" ca="1" si="389">Z159-Z160</f>
        <v>1905.1750436563566</v>
      </c>
      <c r="AA161" s="693">
        <f t="shared" ca="1" si="389"/>
        <v>1639.0747507462811</v>
      </c>
      <c r="AB161" s="693">
        <f t="shared" ca="1" si="389"/>
        <v>1367.2452702938772</v>
      </c>
      <c r="AC161" s="693">
        <f t="shared" ca="1" si="389"/>
        <v>1228.4440639052707</v>
      </c>
      <c r="AD161" s="693">
        <f t="shared" ca="1" si="389"/>
        <v>1306.3804451764161</v>
      </c>
      <c r="AE161" s="340"/>
      <c r="AF161" s="340"/>
      <c r="AG161" s="340"/>
      <c r="AH161" s="340"/>
      <c r="AI161" s="340"/>
      <c r="AJ161" s="340"/>
      <c r="AK161" s="340"/>
      <c r="AL161" s="340"/>
      <c r="AM161" s="340"/>
    </row>
    <row r="162" spans="1:39" ht="15.75">
      <c r="A162" s="340"/>
      <c r="B162" s="692" t="s">
        <v>2</v>
      </c>
      <c r="C162" s="727"/>
      <c r="D162" s="727"/>
      <c r="E162" s="727"/>
      <c r="F162" s="727"/>
      <c r="G162" s="727"/>
      <c r="H162" s="727"/>
      <c r="I162" s="727"/>
      <c r="J162" s="727"/>
      <c r="K162" s="727"/>
      <c r="L162" s="701"/>
      <c r="M162" s="701">
        <f t="shared" ref="M162:T162" si="390">M161/L161-1</f>
        <v>-0.6964285714285714</v>
      </c>
      <c r="N162" s="701">
        <f t="shared" si="390"/>
        <v>-2.085294117647059</v>
      </c>
      <c r="O162" s="701">
        <f t="shared" si="390"/>
        <v>1.1878861788617883</v>
      </c>
      <c r="P162" s="701">
        <f t="shared" si="390"/>
        <v>1.6383263349559658</v>
      </c>
      <c r="Q162" s="701">
        <f t="shared" si="390"/>
        <v>-1.011737089201878</v>
      </c>
      <c r="R162" s="701">
        <f t="shared" si="390"/>
        <v>10.719999999999999</v>
      </c>
      <c r="S162" s="701">
        <f t="shared" si="390"/>
        <v>13.095563139931741</v>
      </c>
      <c r="T162" s="701">
        <f t="shared" si="390"/>
        <v>0.31961259079903148</v>
      </c>
      <c r="U162" s="701">
        <f>U161/T161-1</f>
        <v>0.27889908256880735</v>
      </c>
      <c r="V162" s="701">
        <f>V161/U161-1</f>
        <v>0.71592539454806303</v>
      </c>
      <c r="W162" s="701">
        <f>W161/V161-1</f>
        <v>0.61732441471571908</v>
      </c>
      <c r="X162" s="701">
        <f ca="1">X161/W161-1</f>
        <v>-3.731435622120749E-3</v>
      </c>
      <c r="Y162" s="701">
        <f ca="1">Y161/X161-1</f>
        <v>4.0413116115056047E-2</v>
      </c>
      <c r="Z162" s="701">
        <f t="shared" ref="Z162:AD162" ca="1" si="391">Z161/Y161-1</f>
        <v>-4.9779674080996483E-2</v>
      </c>
      <c r="AA162" s="701">
        <f t="shared" ca="1" si="391"/>
        <v>-0.13967235913366971</v>
      </c>
      <c r="AB162" s="701">
        <f t="shared" ca="1" si="391"/>
        <v>-0.16584324804505601</v>
      </c>
      <c r="AC162" s="701">
        <f t="shared" ca="1" si="391"/>
        <v>-0.10151887843705787</v>
      </c>
      <c r="AD162" s="701">
        <f t="shared" ca="1" si="391"/>
        <v>6.3443166490936953E-2</v>
      </c>
      <c r="AE162" s="340"/>
      <c r="AF162" s="340"/>
      <c r="AG162" s="340"/>
      <c r="AH162" s="340"/>
      <c r="AI162" s="340"/>
      <c r="AJ162" s="340"/>
      <c r="AK162" s="340"/>
      <c r="AL162" s="340"/>
      <c r="AM162" s="340"/>
    </row>
    <row r="163" spans="1:39" ht="15.75">
      <c r="A163" s="340"/>
      <c r="B163" s="692"/>
      <c r="C163" s="727"/>
      <c r="D163" s="727"/>
      <c r="E163" s="727"/>
      <c r="F163" s="727"/>
      <c r="G163" s="727"/>
      <c r="H163" s="727"/>
      <c r="I163" s="727"/>
      <c r="J163" s="727"/>
      <c r="K163" s="727"/>
      <c r="L163" s="692"/>
      <c r="M163" s="692"/>
      <c r="N163" s="692"/>
      <c r="O163" s="692"/>
      <c r="P163" s="692"/>
      <c r="Q163" s="692"/>
      <c r="R163" s="692"/>
      <c r="S163" s="692"/>
      <c r="T163" s="692"/>
      <c r="U163" s="692"/>
      <c r="V163" s="692"/>
      <c r="W163" s="692"/>
      <c r="X163" s="692"/>
      <c r="Y163" s="692"/>
      <c r="Z163" s="692"/>
      <c r="AA163" s="692"/>
      <c r="AB163" s="692"/>
      <c r="AC163" s="692"/>
      <c r="AD163" s="692"/>
      <c r="AE163" s="340"/>
      <c r="AF163" s="340"/>
      <c r="AG163" s="340"/>
      <c r="AH163" s="340"/>
      <c r="AI163" s="340"/>
      <c r="AJ163" s="340"/>
      <c r="AK163" s="340"/>
      <c r="AL163" s="340"/>
      <c r="AM163" s="340"/>
    </row>
    <row r="164" spans="1:39" ht="15.75">
      <c r="A164" s="340"/>
      <c r="B164" s="692" t="s">
        <v>82</v>
      </c>
      <c r="C164" s="727"/>
      <c r="D164" s="727"/>
      <c r="E164" s="727"/>
      <c r="F164" s="727"/>
      <c r="G164" s="727"/>
      <c r="H164" s="727"/>
      <c r="I164" s="727"/>
      <c r="J164" s="727"/>
      <c r="K164" s="727"/>
      <c r="L164" s="728">
        <v>232</v>
      </c>
      <c r="M164" s="728">
        <v>205</v>
      </c>
      <c r="N164" s="728">
        <v>205</v>
      </c>
      <c r="O164" s="728">
        <v>205</v>
      </c>
      <c r="P164" s="728">
        <v>205</v>
      </c>
      <c r="Q164" s="728">
        <v>205</v>
      </c>
      <c r="R164" s="728">
        <v>205</v>
      </c>
      <c r="S164" s="728">
        <v>75</v>
      </c>
      <c r="T164" s="728">
        <v>145.99299999999999</v>
      </c>
      <c r="U164" s="728">
        <v>191.12899999999999</v>
      </c>
      <c r="V164" s="728">
        <v>370.90800000000002</v>
      </c>
      <c r="W164" s="737">
        <v>216</v>
      </c>
      <c r="X164" s="738">
        <f ca="1">X166*AVERAGE(W179:X179)</f>
        <v>247.68887814423266</v>
      </c>
      <c r="Y164" s="738">
        <f ca="1">Y166*AVERAGE(X179:Y179)</f>
        <v>265.21061158537077</v>
      </c>
      <c r="Z164" s="738">
        <f t="shared" ref="Z164:AD164" ca="1" si="392">Z166*AVERAGE(Y179:Z179)</f>
        <v>365.01798273241326</v>
      </c>
      <c r="AA164" s="738">
        <f t="shared" ca="1" si="392"/>
        <v>631.1182756424887</v>
      </c>
      <c r="AB164" s="738">
        <f t="shared" ca="1" si="392"/>
        <v>902.9477560948925</v>
      </c>
      <c r="AC164" s="738">
        <f t="shared" ca="1" si="392"/>
        <v>1041.7489624834993</v>
      </c>
      <c r="AD164" s="738">
        <f t="shared" ca="1" si="392"/>
        <v>963.81258121235408</v>
      </c>
      <c r="AE164" s="340"/>
      <c r="AF164" s="340"/>
      <c r="AG164" s="340"/>
      <c r="AH164" s="340"/>
      <c r="AI164" s="340"/>
      <c r="AJ164" s="340"/>
      <c r="AK164" s="340"/>
      <c r="AL164" s="340"/>
      <c r="AM164" s="340"/>
    </row>
    <row r="165" spans="1:39" ht="15.75">
      <c r="A165" s="340"/>
      <c r="B165" s="692" t="s">
        <v>83</v>
      </c>
      <c r="C165" s="727"/>
      <c r="D165" s="727"/>
      <c r="E165" s="727"/>
      <c r="F165" s="727"/>
      <c r="G165" s="727"/>
      <c r="H165" s="727"/>
      <c r="I165" s="727"/>
      <c r="J165" s="727"/>
      <c r="K165" s="727"/>
      <c r="L165" s="728">
        <v>0</v>
      </c>
      <c r="M165" s="728">
        <v>0</v>
      </c>
      <c r="N165" s="728">
        <v>0</v>
      </c>
      <c r="O165" s="728">
        <v>0</v>
      </c>
      <c r="P165" s="728">
        <v>100</v>
      </c>
      <c r="Q165" s="728">
        <v>0</v>
      </c>
      <c r="R165" s="728">
        <v>0</v>
      </c>
      <c r="S165" s="728">
        <v>0</v>
      </c>
      <c r="T165" s="728">
        <v>0</v>
      </c>
      <c r="U165" s="728">
        <v>0</v>
      </c>
      <c r="V165" s="728">
        <v>0</v>
      </c>
      <c r="W165" s="728">
        <v>0</v>
      </c>
      <c r="X165" s="728">
        <v>0</v>
      </c>
      <c r="Y165" s="728">
        <v>0</v>
      </c>
      <c r="Z165" s="728">
        <v>0</v>
      </c>
      <c r="AA165" s="728">
        <v>0</v>
      </c>
      <c r="AB165" s="728">
        <v>0</v>
      </c>
      <c r="AC165" s="728">
        <v>0</v>
      </c>
      <c r="AD165" s="728">
        <v>0</v>
      </c>
      <c r="AE165" s="340"/>
      <c r="AF165" s="340"/>
      <c r="AG165" s="340"/>
      <c r="AH165" s="340"/>
      <c r="AI165" s="340"/>
      <c r="AJ165" s="340"/>
      <c r="AK165" s="340"/>
      <c r="AL165" s="340"/>
      <c r="AM165" s="340"/>
    </row>
    <row r="166" spans="1:39" ht="15.75">
      <c r="A166" s="340"/>
      <c r="B166" s="692" t="s">
        <v>84</v>
      </c>
      <c r="C166" s="727"/>
      <c r="D166" s="727"/>
      <c r="E166" s="727"/>
      <c r="F166" s="727"/>
      <c r="G166" s="727"/>
      <c r="H166" s="727"/>
      <c r="I166" s="727"/>
      <c r="J166" s="727"/>
      <c r="K166" s="727"/>
      <c r="L166" s="708">
        <f t="shared" ref="L166:M166" si="393">L164/AVERAGE(K188:L188)</f>
        <v>9.3060569594865625E-2</v>
      </c>
      <c r="M166" s="708">
        <f t="shared" si="393"/>
        <v>8.0396886091338715E-2</v>
      </c>
      <c r="N166" s="708">
        <f t="shared" ref="N166" si="394">N164/AVERAGE(M188:N188)</f>
        <v>6.2077005768619319E-2</v>
      </c>
      <c r="O166" s="708">
        <f t="shared" ref="O166" si="395">O164/AVERAGE(N188:O188)</f>
        <v>6.0285252168798709E-2</v>
      </c>
      <c r="P166" s="708">
        <f t="shared" ref="P166:W166" si="396">P164/AVERAGE(O188:P188)</f>
        <v>0.10361384887541067</v>
      </c>
      <c r="Q166" s="708">
        <f t="shared" si="396"/>
        <v>9.5996253804729578E-2</v>
      </c>
      <c r="R166" s="708">
        <f t="shared" si="396"/>
        <v>6.3585607940446653E-2</v>
      </c>
      <c r="S166" s="708">
        <f t="shared" si="396"/>
        <v>2.7095375722543353E-2</v>
      </c>
      <c r="T166" s="708">
        <f t="shared" si="396"/>
        <v>4.517110148514851E-2</v>
      </c>
      <c r="U166" s="708">
        <f t="shared" si="396"/>
        <v>4.8007706190195704E-2</v>
      </c>
      <c r="V166" s="708">
        <f t="shared" si="396"/>
        <v>0.14581247324306443</v>
      </c>
      <c r="W166" s="708">
        <f t="shared" si="396"/>
        <v>0.14582997170493464</v>
      </c>
      <c r="X166" s="739">
        <f t="shared" ref="X166" si="397">W166+X167</f>
        <v>0.14582997170493464</v>
      </c>
      <c r="Y166" s="739">
        <f t="shared" ref="Y166" si="398">X166+Y167</f>
        <v>0.14582997170493464</v>
      </c>
      <c r="Z166" s="739">
        <f t="shared" ref="Z166" si="399">Y166+Z167</f>
        <v>0.14582997170493464</v>
      </c>
      <c r="AA166" s="739">
        <f t="shared" ref="AA166" si="400">Z166+AA167</f>
        <v>0.14582997170493464</v>
      </c>
      <c r="AB166" s="739">
        <f t="shared" ref="AB166" si="401">AA166+AB167</f>
        <v>0.13582997170493463</v>
      </c>
      <c r="AC166" s="739">
        <f t="shared" ref="AC166" si="402">AB166+AC167</f>
        <v>0.11582997170493463</v>
      </c>
      <c r="AD166" s="739">
        <f t="shared" ref="AD166" si="403">AC166+AD167</f>
        <v>8.5829971704934629E-2</v>
      </c>
      <c r="AE166" s="340"/>
      <c r="AF166" s="340"/>
      <c r="AG166" s="340"/>
      <c r="AH166" s="340"/>
      <c r="AI166" s="340"/>
      <c r="AJ166" s="340"/>
      <c r="AK166" s="340"/>
      <c r="AL166" s="340"/>
      <c r="AM166" s="340"/>
    </row>
    <row r="167" spans="1:39" ht="15.75">
      <c r="A167" s="340"/>
      <c r="B167" s="692" t="s">
        <v>85</v>
      </c>
      <c r="C167" s="727"/>
      <c r="D167" s="727"/>
      <c r="E167" s="727"/>
      <c r="F167" s="727"/>
      <c r="G167" s="727"/>
      <c r="H167" s="727"/>
      <c r="I167" s="727"/>
      <c r="J167" s="727"/>
      <c r="K167" s="727"/>
      <c r="L167" s="708">
        <f t="shared" ref="L167:M167" si="404">L166-K166</f>
        <v>9.3060569594865625E-2</v>
      </c>
      <c r="M167" s="708">
        <f t="shared" si="404"/>
        <v>-1.266368350352691E-2</v>
      </c>
      <c r="N167" s="708">
        <f t="shared" ref="N167" si="405">N166-M166</f>
        <v>-1.8319880322719397E-2</v>
      </c>
      <c r="O167" s="708">
        <f t="shared" ref="O167" si="406">O166-N166</f>
        <v>-1.7917535998206099E-3</v>
      </c>
      <c r="P167" s="708">
        <f t="shared" ref="P167:W167" si="407">P166-O166</f>
        <v>4.332859670661196E-2</v>
      </c>
      <c r="Q167" s="708">
        <f t="shared" si="407"/>
        <v>-7.6175950706810908E-3</v>
      </c>
      <c r="R167" s="708">
        <f t="shared" si="407"/>
        <v>-3.2410645864282925E-2</v>
      </c>
      <c r="S167" s="708">
        <f t="shared" si="407"/>
        <v>-3.6490232217903304E-2</v>
      </c>
      <c r="T167" s="708">
        <f t="shared" si="407"/>
        <v>1.8075725762605157E-2</v>
      </c>
      <c r="U167" s="708">
        <f t="shared" si="407"/>
        <v>2.8366047050471938E-3</v>
      </c>
      <c r="V167" s="708">
        <f t="shared" si="407"/>
        <v>9.7804767052868724E-2</v>
      </c>
      <c r="W167" s="708">
        <f t="shared" si="407"/>
        <v>1.7498461870213422E-5</v>
      </c>
      <c r="X167" s="740">
        <v>0</v>
      </c>
      <c r="Y167" s="740">
        <v>0</v>
      </c>
      <c r="Z167" s="740">
        <v>0</v>
      </c>
      <c r="AA167" s="740">
        <v>0</v>
      </c>
      <c r="AB167" s="740">
        <v>-0.01</v>
      </c>
      <c r="AC167" s="740">
        <v>-0.02</v>
      </c>
      <c r="AD167" s="740">
        <v>-0.03</v>
      </c>
      <c r="AE167" s="340"/>
      <c r="AF167" s="340"/>
      <c r="AG167" s="340"/>
      <c r="AH167" s="340"/>
      <c r="AI167" s="340"/>
      <c r="AJ167" s="340"/>
      <c r="AK167" s="340"/>
      <c r="AL167" s="340"/>
      <c r="AM167" s="340"/>
    </row>
    <row r="168" spans="1:39" ht="15.75">
      <c r="A168" s="340"/>
      <c r="B168" s="692"/>
      <c r="C168" s="727"/>
      <c r="D168" s="727"/>
      <c r="E168" s="727"/>
      <c r="F168" s="727"/>
      <c r="G168" s="727"/>
      <c r="H168" s="727"/>
      <c r="I168" s="727"/>
      <c r="J168" s="727"/>
      <c r="K168" s="727"/>
      <c r="L168" s="692"/>
      <c r="M168" s="692"/>
      <c r="N168" s="692"/>
      <c r="O168" s="692"/>
      <c r="P168" s="692"/>
      <c r="Q168" s="692"/>
      <c r="R168" s="692"/>
      <c r="S168" s="692"/>
      <c r="T168" s="692"/>
      <c r="U168" s="692"/>
      <c r="V168" s="692"/>
      <c r="W168" s="692"/>
      <c r="X168" s="692"/>
      <c r="Y168" s="692"/>
      <c r="Z168" s="692"/>
      <c r="AA168" s="692"/>
      <c r="AB168" s="692"/>
      <c r="AC168" s="692"/>
      <c r="AD168" s="692"/>
      <c r="AE168" s="340"/>
      <c r="AF168" s="340"/>
      <c r="AG168" s="340"/>
      <c r="AH168" s="340"/>
      <c r="AI168" s="340"/>
      <c r="AJ168" s="340"/>
      <c r="AK168" s="340"/>
      <c r="AL168" s="340"/>
      <c r="AM168" s="340"/>
    </row>
    <row r="169" spans="1:39" ht="15.75">
      <c r="A169" s="340"/>
      <c r="B169" s="692" t="s">
        <v>86</v>
      </c>
      <c r="C169" s="727"/>
      <c r="D169" s="727"/>
      <c r="E169" s="727"/>
      <c r="F169" s="727"/>
      <c r="G169" s="727"/>
      <c r="H169" s="727"/>
      <c r="I169" s="727"/>
      <c r="J169" s="727"/>
      <c r="K169" s="727"/>
      <c r="L169" s="728">
        <v>-120</v>
      </c>
      <c r="M169" s="728">
        <v>-171</v>
      </c>
      <c r="N169" s="693">
        <f t="shared" ref="N169:S169" si="408">N159-N164</f>
        <v>-241.9</v>
      </c>
      <c r="O169" s="693">
        <f t="shared" si="408"/>
        <v>-285.733</v>
      </c>
      <c r="P169" s="693">
        <f t="shared" si="408"/>
        <v>-318</v>
      </c>
      <c r="Q169" s="693">
        <f t="shared" si="408"/>
        <v>-202.5</v>
      </c>
      <c r="R169" s="693">
        <f t="shared" si="408"/>
        <v>-175.7</v>
      </c>
      <c r="S169" s="693">
        <f t="shared" si="408"/>
        <v>338</v>
      </c>
      <c r="T169" s="693">
        <f t="shared" ref="T169:W169" si="409">T159-T164</f>
        <v>399.00700000000001</v>
      </c>
      <c r="U169" s="693">
        <f t="shared" si="409"/>
        <v>505.87099999999998</v>
      </c>
      <c r="V169" s="693">
        <f t="shared" si="409"/>
        <v>825.09199999999998</v>
      </c>
      <c r="W169" s="693">
        <f t="shared" si="409"/>
        <v>1718.32</v>
      </c>
      <c r="X169" s="693">
        <f>X171*AVERAGE(W178:X178)</f>
        <v>2174.7910875916518</v>
      </c>
      <c r="Y169" s="693">
        <f t="shared" ref="Y169" si="410">Y171*AVERAGE(X178:Y178)</f>
        <v>2270.1930263887698</v>
      </c>
      <c r="Z169" s="693">
        <f t="shared" ref="Z169" si="411">Z171*AVERAGE(Y178:Z178)</f>
        <v>2270.1930263887698</v>
      </c>
      <c r="AA169" s="693">
        <f t="shared" ref="AA169" si="412">AA171*AVERAGE(Z178:AA178)</f>
        <v>2270.1930263887698</v>
      </c>
      <c r="AB169" s="693">
        <f t="shared" ref="AB169" si="413">AB171*AVERAGE(AA178:AB178)</f>
        <v>2270.1930263887698</v>
      </c>
      <c r="AC169" s="693">
        <f t="shared" ref="AC169" si="414">AC171*AVERAGE(AB178:AC178)</f>
        <v>2270.1930263887698</v>
      </c>
      <c r="AD169" s="693">
        <f t="shared" ref="AD169" si="415">AD171*AVERAGE(AC178:AD178)</f>
        <v>2270.1930263887698</v>
      </c>
      <c r="AE169" s="340"/>
      <c r="AF169" s="340"/>
      <c r="AG169" s="340"/>
      <c r="AH169" s="340"/>
      <c r="AI169" s="340"/>
      <c r="AJ169" s="340"/>
      <c r="AK169" s="340"/>
      <c r="AL169" s="340"/>
      <c r="AM169" s="340"/>
    </row>
    <row r="170" spans="1:39" ht="15.75">
      <c r="A170" s="340"/>
      <c r="B170" s="692" t="s">
        <v>87</v>
      </c>
      <c r="C170" s="727"/>
      <c r="D170" s="727"/>
      <c r="E170" s="727"/>
      <c r="F170" s="727"/>
      <c r="G170" s="727"/>
      <c r="H170" s="727"/>
      <c r="I170" s="727"/>
      <c r="J170" s="727"/>
      <c r="K170" s="727"/>
      <c r="L170" s="728"/>
      <c r="M170" s="728"/>
      <c r="N170" s="728">
        <v>0</v>
      </c>
      <c r="O170" s="728">
        <v>0</v>
      </c>
      <c r="P170" s="728">
        <v>0</v>
      </c>
      <c r="Q170" s="728">
        <v>0</v>
      </c>
      <c r="R170" s="728">
        <v>0</v>
      </c>
      <c r="S170" s="728">
        <v>0</v>
      </c>
      <c r="T170" s="728">
        <v>0</v>
      </c>
      <c r="U170" s="728">
        <v>0</v>
      </c>
      <c r="V170" s="728">
        <v>0</v>
      </c>
      <c r="W170" s="728">
        <v>0</v>
      </c>
      <c r="X170" s="728">
        <v>0</v>
      </c>
      <c r="Y170" s="728">
        <v>0</v>
      </c>
      <c r="Z170" s="728">
        <v>0</v>
      </c>
      <c r="AA170" s="728">
        <v>0</v>
      </c>
      <c r="AB170" s="728">
        <v>0</v>
      </c>
      <c r="AC170" s="728">
        <v>0</v>
      </c>
      <c r="AD170" s="728">
        <v>0</v>
      </c>
      <c r="AE170" s="340"/>
      <c r="AF170" s="340"/>
      <c r="AG170" s="340"/>
      <c r="AH170" s="340"/>
      <c r="AI170" s="340"/>
      <c r="AJ170" s="340"/>
      <c r="AK170" s="340"/>
      <c r="AL170" s="340"/>
      <c r="AM170" s="340"/>
    </row>
    <row r="171" spans="1:39" ht="15.75">
      <c r="A171" s="340"/>
      <c r="B171" s="692" t="s">
        <v>88</v>
      </c>
      <c r="C171" s="727"/>
      <c r="D171" s="727"/>
      <c r="E171" s="727"/>
      <c r="F171" s="727"/>
      <c r="G171" s="727"/>
      <c r="H171" s="727"/>
      <c r="I171" s="727"/>
      <c r="J171" s="727"/>
      <c r="K171" s="727"/>
      <c r="L171" s="708">
        <f t="shared" ref="L171:W171" si="416">L169/AVERAGE(K178:L178)</f>
        <v>-5.6048575432041101E-2</v>
      </c>
      <c r="M171" s="708">
        <f t="shared" si="416"/>
        <v>-7.8765545831414097E-2</v>
      </c>
      <c r="N171" s="708">
        <f t="shared" si="416"/>
        <v>-9.4844148206234075E-2</v>
      </c>
      <c r="O171" s="708">
        <f t="shared" si="416"/>
        <v>-9.3621559633027526E-2</v>
      </c>
      <c r="P171" s="708">
        <f t="shared" si="416"/>
        <v>-9.2955276235018994E-2</v>
      </c>
      <c r="Q171" s="708">
        <f t="shared" si="416"/>
        <v>-5.2658952021843716E-2</v>
      </c>
      <c r="R171" s="708">
        <f t="shared" si="416"/>
        <v>-4.4190696563085552E-2</v>
      </c>
      <c r="S171" s="708">
        <f t="shared" si="416"/>
        <v>6.2030299415483721E-2</v>
      </c>
      <c r="T171" s="708">
        <f t="shared" si="416"/>
        <v>5.3628762146231107E-2</v>
      </c>
      <c r="U171" s="708">
        <f t="shared" si="416"/>
        <v>6.2249488817983763E-2</v>
      </c>
      <c r="V171" s="708">
        <f t="shared" si="416"/>
        <v>7.3022354739330414E-2</v>
      </c>
      <c r="W171" s="708">
        <f t="shared" si="416"/>
        <v>9.5401938797117863E-2</v>
      </c>
      <c r="X171" s="708">
        <f t="shared" ref="X171" si="417">W171+X172</f>
        <v>9.5401938797117863E-2</v>
      </c>
      <c r="Y171" s="708">
        <f t="shared" ref="Y171" si="418">X171+Y172</f>
        <v>9.5401938797117863E-2</v>
      </c>
      <c r="Z171" s="708">
        <f t="shared" ref="Z171" si="419">Y171+Z172</f>
        <v>9.5401938797117863E-2</v>
      </c>
      <c r="AA171" s="708">
        <f t="shared" ref="AA171" si="420">Z171+AA172</f>
        <v>9.5401938797117863E-2</v>
      </c>
      <c r="AB171" s="708">
        <f t="shared" ref="AB171" si="421">AA171+AB172</f>
        <v>9.5401938797117863E-2</v>
      </c>
      <c r="AC171" s="708">
        <f t="shared" ref="AC171" si="422">AB171+AC172</f>
        <v>9.5401938797117863E-2</v>
      </c>
      <c r="AD171" s="708">
        <f t="shared" ref="AD171" si="423">AC171+AD172</f>
        <v>9.5401938797117863E-2</v>
      </c>
      <c r="AE171" s="340"/>
      <c r="AF171" s="340"/>
      <c r="AG171" s="340"/>
      <c r="AH171" s="340"/>
      <c r="AI171" s="340"/>
      <c r="AJ171" s="340"/>
      <c r="AK171" s="340"/>
      <c r="AL171" s="340"/>
      <c r="AM171" s="340"/>
    </row>
    <row r="172" spans="1:39" ht="15.75">
      <c r="A172" s="340"/>
      <c r="B172" s="692" t="s">
        <v>85</v>
      </c>
      <c r="C172" s="727"/>
      <c r="D172" s="727"/>
      <c r="E172" s="727"/>
      <c r="F172" s="727"/>
      <c r="G172" s="727"/>
      <c r="H172" s="727"/>
      <c r="I172" s="727"/>
      <c r="J172" s="727"/>
      <c r="K172" s="727"/>
      <c r="L172" s="708">
        <f t="shared" ref="L172:W172" si="424">L171-K171</f>
        <v>-5.6048575432041101E-2</v>
      </c>
      <c r="M172" s="708">
        <f t="shared" si="424"/>
        <v>-2.2716970399372996E-2</v>
      </c>
      <c r="N172" s="708">
        <f t="shared" si="424"/>
        <v>-1.6078602374819978E-2</v>
      </c>
      <c r="O172" s="708">
        <f t="shared" si="424"/>
        <v>1.2225885732065483E-3</v>
      </c>
      <c r="P172" s="708">
        <f t="shared" si="424"/>
        <v>6.6628339800853253E-4</v>
      </c>
      <c r="Q172" s="708">
        <f t="shared" si="424"/>
        <v>4.0296324213175277E-2</v>
      </c>
      <c r="R172" s="708">
        <f t="shared" si="424"/>
        <v>8.4682554587581643E-3</v>
      </c>
      <c r="S172" s="708">
        <f t="shared" si="424"/>
        <v>0.10622099597856927</v>
      </c>
      <c r="T172" s="708">
        <f t="shared" si="424"/>
        <v>-8.4015372692526138E-3</v>
      </c>
      <c r="U172" s="708">
        <f t="shared" si="424"/>
        <v>8.6207266717526557E-3</v>
      </c>
      <c r="V172" s="708">
        <f t="shared" si="424"/>
        <v>1.0772865921346651E-2</v>
      </c>
      <c r="W172" s="708">
        <f t="shared" si="424"/>
        <v>2.2379584057787449E-2</v>
      </c>
      <c r="X172" s="740">
        <v>0</v>
      </c>
      <c r="Y172" s="740">
        <v>0</v>
      </c>
      <c r="Z172" s="740">
        <v>0</v>
      </c>
      <c r="AA172" s="740">
        <v>0</v>
      </c>
      <c r="AB172" s="740">
        <v>0</v>
      </c>
      <c r="AC172" s="740">
        <v>0</v>
      </c>
      <c r="AD172" s="740">
        <v>0</v>
      </c>
      <c r="AE172" s="340"/>
      <c r="AF172" s="340"/>
      <c r="AG172" s="340"/>
      <c r="AH172" s="340"/>
      <c r="AI172" s="340"/>
      <c r="AJ172" s="340"/>
      <c r="AK172" s="340"/>
      <c r="AL172" s="340"/>
      <c r="AM172" s="340"/>
    </row>
    <row r="173" spans="1:39" ht="15.75">
      <c r="A173" s="340"/>
      <c r="B173" s="692"/>
      <c r="C173" s="727"/>
      <c r="D173" s="727"/>
      <c r="E173" s="727"/>
      <c r="F173" s="727"/>
      <c r="G173" s="727"/>
      <c r="H173" s="727"/>
      <c r="I173" s="727"/>
      <c r="J173" s="727"/>
      <c r="K173" s="727"/>
      <c r="L173" s="692"/>
      <c r="M173" s="692"/>
      <c r="N173" s="692"/>
      <c r="O173" s="692"/>
      <c r="P173" s="692"/>
      <c r="Q173" s="692"/>
      <c r="R173" s="692"/>
      <c r="S173" s="692"/>
      <c r="T173" s="692"/>
      <c r="U173" s="692"/>
      <c r="V173" s="692"/>
      <c r="W173" s="692"/>
      <c r="X173" s="692"/>
      <c r="Y173" s="692"/>
      <c r="Z173" s="692"/>
      <c r="AA173" s="692"/>
      <c r="AB173" s="692"/>
      <c r="AC173" s="692"/>
      <c r="AD173" s="692"/>
      <c r="AE173" s="340"/>
      <c r="AF173" s="340"/>
      <c r="AG173" s="340"/>
      <c r="AH173" s="340"/>
      <c r="AI173" s="340"/>
      <c r="AJ173" s="340"/>
      <c r="AK173" s="340"/>
      <c r="AL173" s="340"/>
      <c r="AM173" s="340"/>
    </row>
    <row r="174" spans="1:39" ht="15.75">
      <c r="A174" s="340"/>
      <c r="B174" s="692" t="s">
        <v>89</v>
      </c>
      <c r="C174" s="727"/>
      <c r="D174" s="727"/>
      <c r="E174" s="727"/>
      <c r="F174" s="727"/>
      <c r="G174" s="727"/>
      <c r="H174" s="727"/>
      <c r="I174" s="727"/>
      <c r="J174" s="727"/>
      <c r="K174" s="727"/>
      <c r="L174" s="708">
        <f>L161/L176</f>
        <v>-0.31818181818181818</v>
      </c>
      <c r="M174" s="708">
        <f>M161/M176</f>
        <v>-8.9745281773789126E-2</v>
      </c>
      <c r="N174" s="708">
        <f t="shared" ref="N174:R174" si="425">N161/N176</f>
        <v>4.9078938618075427E-2</v>
      </c>
      <c r="O174" s="708">
        <f t="shared" si="425"/>
        <v>0.23165853658536587</v>
      </c>
      <c r="P174" s="708">
        <f t="shared" si="425"/>
        <v>-0.14766031195840554</v>
      </c>
      <c r="Q174" s="708">
        <f t="shared" si="425"/>
        <v>1.4619883040935672E-3</v>
      </c>
      <c r="R174" s="708">
        <f t="shared" si="425"/>
        <v>3.8965356739144884E-2</v>
      </c>
      <c r="S174" s="708">
        <f t="shared" ref="S174:T174" si="426">S161/S176</f>
        <v>0.15404987038176768</v>
      </c>
      <c r="T174" s="708">
        <f t="shared" si="426"/>
        <v>0.12951003857260451</v>
      </c>
      <c r="U174" s="708">
        <f>U161/U176</f>
        <v>0.16814249702705009</v>
      </c>
      <c r="V174" s="708">
        <f>V161/V176</f>
        <v>0.13660083443008042</v>
      </c>
      <c r="W174" s="708">
        <f>W161/W176</f>
        <v>0.11701735920025635</v>
      </c>
      <c r="X174" s="708">
        <f ca="1">X161/X176</f>
        <v>9.1342196704053982E-2</v>
      </c>
      <c r="Y174" s="708">
        <f ca="1">Y161/Y176</f>
        <v>9.122903248530731E-2</v>
      </c>
      <c r="Z174" s="708">
        <f t="shared" ref="Z174:AD174" ca="1" si="427">Z161/Z176</f>
        <v>8.9474028741315825E-2</v>
      </c>
      <c r="AA174" s="708">
        <f t="shared" ca="1" si="427"/>
        <v>8.4191890268928482E-2</v>
      </c>
      <c r="AB174" s="708">
        <f t="shared" ca="1" si="427"/>
        <v>7.9729932722532357E-2</v>
      </c>
      <c r="AC174" s="708">
        <f t="shared" ca="1" si="427"/>
        <v>8.2990014214552821E-2</v>
      </c>
      <c r="AD174" s="708">
        <f t="shared" ca="1" si="427"/>
        <v>0.1039551920826407</v>
      </c>
      <c r="AE174" s="340"/>
      <c r="AF174" s="340"/>
      <c r="AG174" s="340"/>
      <c r="AH174" s="340"/>
      <c r="AI174" s="340"/>
      <c r="AJ174" s="340"/>
      <c r="AK174" s="340"/>
      <c r="AL174" s="340"/>
      <c r="AM174" s="340"/>
    </row>
    <row r="175" spans="1:39" ht="15.75">
      <c r="A175" s="340"/>
      <c r="B175" s="692" t="s">
        <v>85</v>
      </c>
      <c r="C175" s="727"/>
      <c r="D175" s="727"/>
      <c r="E175" s="727"/>
      <c r="F175" s="727"/>
      <c r="G175" s="727"/>
      <c r="H175" s="727"/>
      <c r="I175" s="727"/>
      <c r="J175" s="727"/>
      <c r="K175" s="727"/>
      <c r="L175" s="708">
        <f t="shared" ref="L175:T175" si="428">L174-K174</f>
        <v>-0.31818181818181818</v>
      </c>
      <c r="M175" s="708">
        <f t="shared" si="428"/>
        <v>0.22843653640802905</v>
      </c>
      <c r="N175" s="708">
        <f t="shared" si="428"/>
        <v>0.13882422039186454</v>
      </c>
      <c r="O175" s="708">
        <f t="shared" si="428"/>
        <v>0.18257959796729045</v>
      </c>
      <c r="P175" s="708">
        <f t="shared" si="428"/>
        <v>-0.3793188485437714</v>
      </c>
      <c r="Q175" s="708">
        <f t="shared" si="428"/>
        <v>0.14912230026249912</v>
      </c>
      <c r="R175" s="708">
        <f t="shared" si="428"/>
        <v>3.7503368435051317E-2</v>
      </c>
      <c r="S175" s="708">
        <f t="shared" si="428"/>
        <v>0.11508451364262279</v>
      </c>
      <c r="T175" s="708">
        <f t="shared" si="428"/>
        <v>-2.4539831809163165E-2</v>
      </c>
      <c r="U175" s="708">
        <f>U174-T174</f>
        <v>3.8632458454445573E-2</v>
      </c>
      <c r="V175" s="708">
        <f>V174-U174</f>
        <v>-3.1541662596969666E-2</v>
      </c>
      <c r="W175" s="708">
        <f>W174-V174</f>
        <v>-1.9583475229824066E-2</v>
      </c>
      <c r="X175" s="708">
        <f ca="1">X174-W174</f>
        <v>-2.5675162496202372E-2</v>
      </c>
      <c r="Y175" s="708">
        <f ca="1">Y174-X174</f>
        <v>-1.1316421874667248E-4</v>
      </c>
      <c r="Z175" s="708">
        <f t="shared" ref="Z175:AD175" ca="1" si="429">Z174-Y174</f>
        <v>-1.7550037439914845E-3</v>
      </c>
      <c r="AA175" s="708">
        <f t="shared" ca="1" si="429"/>
        <v>-5.2821384723873432E-3</v>
      </c>
      <c r="AB175" s="708">
        <f t="shared" ca="1" si="429"/>
        <v>-4.4619575463961253E-3</v>
      </c>
      <c r="AC175" s="708">
        <f t="shared" ca="1" si="429"/>
        <v>3.260081492020464E-3</v>
      </c>
      <c r="AD175" s="708">
        <f t="shared" ca="1" si="429"/>
        <v>2.0965177868087881E-2</v>
      </c>
      <c r="AE175" s="340"/>
      <c r="AF175" s="340"/>
      <c r="AG175" s="340"/>
      <c r="AH175" s="340"/>
      <c r="AI175" s="340"/>
      <c r="AJ175" s="340"/>
      <c r="AK175" s="340"/>
      <c r="AL175" s="340"/>
      <c r="AM175" s="340"/>
    </row>
    <row r="176" spans="1:39" ht="15.75">
      <c r="A176" s="340"/>
      <c r="B176" s="692" t="s">
        <v>90</v>
      </c>
      <c r="C176" s="727"/>
      <c r="D176" s="727"/>
      <c r="E176" s="727"/>
      <c r="F176" s="727"/>
      <c r="G176" s="727"/>
      <c r="H176" s="727"/>
      <c r="I176" s="727"/>
      <c r="J176" s="727"/>
      <c r="K176" s="727"/>
      <c r="L176" s="693">
        <f t="shared" ref="L176:T176" si="430">AVERAGE(K180:L180)</f>
        <v>-352</v>
      </c>
      <c r="M176" s="693">
        <f t="shared" si="430"/>
        <v>-378.84999999999991</v>
      </c>
      <c r="N176" s="693">
        <f t="shared" si="430"/>
        <v>-751.84999999999991</v>
      </c>
      <c r="O176" s="693">
        <f t="shared" si="430"/>
        <v>-348.5</v>
      </c>
      <c r="P176" s="693">
        <f t="shared" si="430"/>
        <v>1442.5</v>
      </c>
      <c r="Q176" s="693">
        <f t="shared" si="430"/>
        <v>1710</v>
      </c>
      <c r="R176" s="693">
        <f t="shared" si="430"/>
        <v>751.95</v>
      </c>
      <c r="S176" s="693">
        <f t="shared" si="430"/>
        <v>2680.95</v>
      </c>
      <c r="T176" s="693">
        <f t="shared" si="430"/>
        <v>4208.1679999999997</v>
      </c>
      <c r="U176" s="693">
        <f>AVERAGE(T180:U180)</f>
        <v>4145.2934999999998</v>
      </c>
      <c r="V176" s="693">
        <f>AVERAGE(U180:V180)</f>
        <v>8755.4369999999999</v>
      </c>
      <c r="W176" s="693">
        <f>AVERAGE(V180:W180)</f>
        <v>16530.197</v>
      </c>
      <c r="X176" s="693">
        <f ca="1">AVERAGE(W180:X180)</f>
        <v>21097.611826560002</v>
      </c>
      <c r="Y176" s="693">
        <f ca="1">AVERAGE(X180:Y180)</f>
        <v>21977.460027610257</v>
      </c>
      <c r="Z176" s="693">
        <f t="shared" ref="Z176:AD176" ca="1" si="431">AVERAGE(Y180:Z180)</f>
        <v>21293.050849029409</v>
      </c>
      <c r="AA176" s="693">
        <f t="shared" ca="1" si="431"/>
        <v>19468.32106406799</v>
      </c>
      <c r="AB176" s="693">
        <f t="shared" ca="1" si="431"/>
        <v>17148.45634013036</v>
      </c>
      <c r="AC176" s="693">
        <f t="shared" ca="1" si="431"/>
        <v>14802.311766442081</v>
      </c>
      <c r="AD176" s="693">
        <f t="shared" ca="1" si="431"/>
        <v>12566.764766668799</v>
      </c>
      <c r="AE176" s="340"/>
      <c r="AF176" s="340"/>
      <c r="AG176" s="340"/>
      <c r="AH176" s="340"/>
      <c r="AI176" s="340"/>
      <c r="AJ176" s="340"/>
      <c r="AK176" s="340"/>
      <c r="AL176" s="340"/>
      <c r="AM176" s="340"/>
    </row>
    <row r="177" spans="1:39" ht="15.75">
      <c r="A177" s="340"/>
      <c r="B177" s="692"/>
      <c r="C177" s="727"/>
      <c r="D177" s="727"/>
      <c r="E177" s="727"/>
      <c r="F177" s="727"/>
      <c r="G177" s="727"/>
      <c r="H177" s="727"/>
      <c r="I177" s="727"/>
      <c r="J177" s="727"/>
      <c r="K177" s="727"/>
      <c r="L177" s="692"/>
      <c r="M177" s="692"/>
      <c r="N177" s="692"/>
      <c r="O177" s="692"/>
      <c r="P177" s="692"/>
      <c r="Q177" s="692"/>
      <c r="R177" s="692"/>
      <c r="S177" s="692"/>
      <c r="T177" s="692"/>
      <c r="U177" s="692"/>
      <c r="V177" s="692"/>
      <c r="W177" s="692"/>
      <c r="X177" s="692"/>
      <c r="Y177" s="692"/>
      <c r="Z177" s="692"/>
      <c r="AA177" s="692"/>
      <c r="AB177" s="692"/>
      <c r="AC177" s="692"/>
      <c r="AD177" s="692"/>
      <c r="AE177" s="340"/>
      <c r="AF177" s="340"/>
      <c r="AG177" s="340"/>
      <c r="AH177" s="340"/>
      <c r="AI177" s="340"/>
      <c r="AJ177" s="340"/>
      <c r="AK177" s="340"/>
      <c r="AL177" s="340"/>
      <c r="AM177" s="340"/>
    </row>
    <row r="178" spans="1:39" ht="15.75">
      <c r="A178" s="340"/>
      <c r="B178" s="692" t="s">
        <v>91</v>
      </c>
      <c r="C178" s="727"/>
      <c r="D178" s="727"/>
      <c r="E178" s="727"/>
      <c r="F178" s="727"/>
      <c r="G178" s="727"/>
      <c r="H178" s="727"/>
      <c r="I178" s="727"/>
      <c r="J178" s="727"/>
      <c r="K178" s="727"/>
      <c r="L178" s="693">
        <f t="shared" ref="L178:R178" si="432">L185+L184</f>
        <v>2141</v>
      </c>
      <c r="M178" s="693">
        <f>M185+M184</f>
        <v>2201</v>
      </c>
      <c r="N178" s="693">
        <f>N185+N184</f>
        <v>2900</v>
      </c>
      <c r="O178" s="693">
        <f>O185+O184</f>
        <v>3204</v>
      </c>
      <c r="P178" s="693">
        <f t="shared" si="432"/>
        <v>3638</v>
      </c>
      <c r="Q178" s="693">
        <f t="shared" si="432"/>
        <v>4053</v>
      </c>
      <c r="R178" s="693">
        <f t="shared" si="432"/>
        <v>3898.9</v>
      </c>
      <c r="S178" s="693">
        <f t="shared" ref="S178:T178" si="433">S185+S184</f>
        <v>6999</v>
      </c>
      <c r="T178" s="693">
        <f t="shared" si="433"/>
        <v>7881.3360000000002</v>
      </c>
      <c r="U178" s="693">
        <f>U185+U184</f>
        <v>8371.6810000000005</v>
      </c>
      <c r="V178" s="693">
        <f t="shared" ref="V178:Y178" si="434">V185+V184</f>
        <v>14226.659</v>
      </c>
      <c r="W178" s="693">
        <f t="shared" si="434"/>
        <v>21796.089</v>
      </c>
      <c r="X178" s="693">
        <f t="shared" si="434"/>
        <v>23796.089</v>
      </c>
      <c r="Y178" s="693">
        <f t="shared" si="434"/>
        <v>23796.089</v>
      </c>
      <c r="Z178" s="693">
        <f t="shared" ref="Z178:AD178" si="435">Z185+Z184</f>
        <v>23796.089</v>
      </c>
      <c r="AA178" s="693">
        <f t="shared" si="435"/>
        <v>23796.089</v>
      </c>
      <c r="AB178" s="693">
        <f t="shared" si="435"/>
        <v>23796.089</v>
      </c>
      <c r="AC178" s="693">
        <f t="shared" si="435"/>
        <v>23796.089</v>
      </c>
      <c r="AD178" s="693">
        <f t="shared" si="435"/>
        <v>23796.089</v>
      </c>
      <c r="AE178" s="340"/>
      <c r="AF178" s="340"/>
      <c r="AG178" s="340"/>
      <c r="AH178" s="340"/>
      <c r="AI178" s="340"/>
      <c r="AJ178" s="340"/>
      <c r="AK178" s="340"/>
      <c r="AL178" s="340"/>
      <c r="AM178" s="340"/>
    </row>
    <row r="179" spans="1:39" ht="15.75">
      <c r="A179" s="340"/>
      <c r="B179" s="692" t="s">
        <v>92</v>
      </c>
      <c r="C179" s="727"/>
      <c r="D179" s="727"/>
      <c r="E179" s="727"/>
      <c r="F179" s="727"/>
      <c r="G179" s="727"/>
      <c r="H179" s="727"/>
      <c r="I179" s="727"/>
      <c r="J179" s="727"/>
      <c r="K179" s="727"/>
      <c r="L179" s="741">
        <f t="shared" ref="L179:W179" si="436">L188</f>
        <v>2493</v>
      </c>
      <c r="M179" s="741">
        <f t="shared" si="436"/>
        <v>2606.6999999999998</v>
      </c>
      <c r="N179" s="741">
        <f t="shared" si="436"/>
        <v>3998</v>
      </c>
      <c r="O179" s="741">
        <f t="shared" si="436"/>
        <v>2803</v>
      </c>
      <c r="P179" s="741">
        <f t="shared" si="436"/>
        <v>1154</v>
      </c>
      <c r="Q179" s="741">
        <f t="shared" si="436"/>
        <v>3117</v>
      </c>
      <c r="R179" s="741">
        <f t="shared" si="436"/>
        <v>3331</v>
      </c>
      <c r="S179" s="741">
        <f t="shared" si="436"/>
        <v>2205</v>
      </c>
      <c r="T179" s="741">
        <f t="shared" si="436"/>
        <v>4259</v>
      </c>
      <c r="U179" s="741">
        <f t="shared" si="436"/>
        <v>3703.43</v>
      </c>
      <c r="V179" s="741">
        <f t="shared" si="436"/>
        <v>1384.0360000000001</v>
      </c>
      <c r="W179" s="741">
        <f t="shared" si="436"/>
        <v>1578.318</v>
      </c>
      <c r="X179" s="741">
        <f ca="1">X178-X180</f>
        <v>1818.6363468800009</v>
      </c>
      <c r="Y179" s="741">
        <f ca="1">Y178-Y180</f>
        <v>1818.6215978994878</v>
      </c>
      <c r="Z179" s="741">
        <f t="shared" ref="Z179:AD179" ca="1" si="437">Z178-Z180</f>
        <v>3187.4547040416946</v>
      </c>
      <c r="AA179" s="741">
        <f t="shared" ca="1" si="437"/>
        <v>5468.081167822329</v>
      </c>
      <c r="AB179" s="741">
        <f t="shared" ca="1" si="437"/>
        <v>7827.1841519169502</v>
      </c>
      <c r="AC179" s="741">
        <f t="shared" ca="1" si="437"/>
        <v>10160.370315198888</v>
      </c>
      <c r="AD179" s="741">
        <f t="shared" ca="1" si="437"/>
        <v>12298.278151463515</v>
      </c>
      <c r="AE179" s="340"/>
      <c r="AF179" s="340"/>
      <c r="AG179" s="340"/>
      <c r="AH179" s="340"/>
      <c r="AI179" s="340"/>
      <c r="AJ179" s="340"/>
      <c r="AK179" s="340"/>
      <c r="AL179" s="340"/>
      <c r="AM179" s="340"/>
    </row>
    <row r="180" spans="1:39" ht="15.75">
      <c r="A180" s="340"/>
      <c r="B180" s="691" t="s">
        <v>44</v>
      </c>
      <c r="C180" s="727"/>
      <c r="D180" s="727"/>
      <c r="E180" s="727"/>
      <c r="F180" s="727"/>
      <c r="G180" s="727"/>
      <c r="H180" s="727"/>
      <c r="I180" s="727"/>
      <c r="J180" s="727"/>
      <c r="K180" s="727"/>
      <c r="L180" s="697">
        <f t="shared" ref="L180" si="438">L178-L179</f>
        <v>-352</v>
      </c>
      <c r="M180" s="697">
        <f t="shared" ref="M180:S180" si="439">M178-M179</f>
        <v>-405.69999999999982</v>
      </c>
      <c r="N180" s="697">
        <f t="shared" si="439"/>
        <v>-1098</v>
      </c>
      <c r="O180" s="697">
        <f t="shared" si="439"/>
        <v>401</v>
      </c>
      <c r="P180" s="697">
        <f t="shared" si="439"/>
        <v>2484</v>
      </c>
      <c r="Q180" s="697">
        <f t="shared" si="439"/>
        <v>936</v>
      </c>
      <c r="R180" s="697">
        <f t="shared" si="439"/>
        <v>567.90000000000009</v>
      </c>
      <c r="S180" s="697">
        <f t="shared" si="439"/>
        <v>4794</v>
      </c>
      <c r="T180" s="697">
        <f>T178-T179</f>
        <v>3622.3360000000002</v>
      </c>
      <c r="U180" s="697">
        <f>U178-U179</f>
        <v>4668.2510000000002</v>
      </c>
      <c r="V180" s="697">
        <f>V178-V179</f>
        <v>12842.623</v>
      </c>
      <c r="W180" s="697">
        <f>W178-W179</f>
        <v>20217.771000000001</v>
      </c>
      <c r="X180" s="697">
        <f ca="1">X102</f>
        <v>21977.452653119999</v>
      </c>
      <c r="Y180" s="697">
        <f ca="1">Y102</f>
        <v>21977.467402100512</v>
      </c>
      <c r="Z180" s="697">
        <f t="shared" ref="Z180:AD180" ca="1" si="440">Z102</f>
        <v>20608.634295958305</v>
      </c>
      <c r="AA180" s="697">
        <f t="shared" ca="1" si="440"/>
        <v>18328.007832177671</v>
      </c>
      <c r="AB180" s="697">
        <f t="shared" ca="1" si="440"/>
        <v>15968.90484808305</v>
      </c>
      <c r="AC180" s="697">
        <f t="shared" ca="1" si="440"/>
        <v>13635.71868480111</v>
      </c>
      <c r="AD180" s="697">
        <f t="shared" ca="1" si="440"/>
        <v>11497.810848536479</v>
      </c>
      <c r="AE180" s="340"/>
      <c r="AF180" s="340"/>
      <c r="AG180" s="340"/>
      <c r="AH180" s="340"/>
      <c r="AI180" s="340"/>
      <c r="AJ180" s="340"/>
      <c r="AK180" s="340"/>
      <c r="AL180" s="340"/>
      <c r="AM180" s="340"/>
    </row>
    <row r="181" spans="1:39" ht="15.75">
      <c r="A181" s="340"/>
      <c r="B181" s="692" t="s">
        <v>93</v>
      </c>
      <c r="C181" s="727"/>
      <c r="D181" s="727"/>
      <c r="E181" s="727"/>
      <c r="F181" s="727"/>
      <c r="G181" s="727"/>
      <c r="H181" s="727"/>
      <c r="I181" s="727"/>
      <c r="J181" s="727"/>
      <c r="K181" s="727"/>
      <c r="L181" s="701">
        <f t="shared" ref="L181:T181" si="441">L179/L7</f>
        <v>0.27770970257324273</v>
      </c>
      <c r="M181" s="701">
        <f t="shared" si="441"/>
        <v>0.2589094159713945</v>
      </c>
      <c r="N181" s="701">
        <f t="shared" si="441"/>
        <v>0.3484095860566449</v>
      </c>
      <c r="O181" s="701">
        <f t="shared" si="441"/>
        <v>0.19255341073023288</v>
      </c>
      <c r="P181" s="701">
        <f t="shared" si="441"/>
        <v>6.8054490770773135E-2</v>
      </c>
      <c r="Q181" s="701">
        <f t="shared" si="441"/>
        <v>0.18030890264360502</v>
      </c>
      <c r="R181" s="701">
        <f t="shared" si="441"/>
        <v>0.17138300061741099</v>
      </c>
      <c r="S181" s="701">
        <f t="shared" si="441"/>
        <v>0.10206443251249768</v>
      </c>
      <c r="T181" s="701">
        <f t="shared" si="441"/>
        <v>0.19027833623732296</v>
      </c>
      <c r="U181" s="701">
        <f>U179/U7</f>
        <v>0.15033815052366648</v>
      </c>
      <c r="V181" s="701">
        <f>V179/V7</f>
        <v>5.0966956852842818E-2</v>
      </c>
      <c r="W181" s="701">
        <f>W179/W7</f>
        <v>5.283861624195612E-2</v>
      </c>
      <c r="X181" s="701">
        <f ca="1">X179/X7</f>
        <v>5.4967371166546451E-2</v>
      </c>
      <c r="Y181" s="701">
        <f ca="1">Y179/Y7</f>
        <v>5.0479819715300918E-2</v>
      </c>
      <c r="Z181" s="701">
        <f t="shared" ref="Z181:AD181" ca="1" si="442">Z179/Z7</f>
        <v>8.2259309355422985E-2</v>
      </c>
      <c r="AA181" s="701">
        <f t="shared" ca="1" si="442"/>
        <v>0.13340629380264885</v>
      </c>
      <c r="AB181" s="701">
        <f t="shared" ca="1" si="442"/>
        <v>0.18177051765666269</v>
      </c>
      <c r="AC181" s="701">
        <f t="shared" ca="1" si="442"/>
        <v>0.22531332390362582</v>
      </c>
      <c r="AD181" s="701">
        <f t="shared" ca="1" si="442"/>
        <v>0.26070424680716137</v>
      </c>
      <c r="AE181" s="340"/>
      <c r="AF181" s="340"/>
      <c r="AG181" s="340"/>
      <c r="AH181" s="340"/>
      <c r="AI181" s="340"/>
      <c r="AJ181" s="340"/>
      <c r="AK181" s="340"/>
      <c r="AL181" s="340"/>
      <c r="AM181" s="340"/>
    </row>
    <row r="182" spans="1:39" ht="15.75">
      <c r="A182" s="340"/>
      <c r="B182" s="691" t="s">
        <v>3209</v>
      </c>
      <c r="C182" s="759"/>
      <c r="D182" s="759"/>
      <c r="E182" s="759"/>
      <c r="F182" s="759"/>
      <c r="G182" s="759"/>
      <c r="H182" s="759"/>
      <c r="I182" s="759"/>
      <c r="J182" s="759"/>
      <c r="K182" s="759"/>
      <c r="L182" s="691"/>
      <c r="M182" s="691"/>
      <c r="N182" s="760">
        <f t="shared" ref="N182:V182" si="443">N180/N12</f>
        <v>-0.22653187538683722</v>
      </c>
      <c r="O182" s="760">
        <f t="shared" si="443"/>
        <v>6.8629128872154721E-2</v>
      </c>
      <c r="P182" s="760">
        <f t="shared" si="443"/>
        <v>0.35921908893709326</v>
      </c>
      <c r="Q182" s="760">
        <f t="shared" si="443"/>
        <v>0.12132209980557355</v>
      </c>
      <c r="R182" s="760">
        <f t="shared" si="443"/>
        <v>6.0757462287364943E-2</v>
      </c>
      <c r="S182" s="760">
        <f t="shared" si="443"/>
        <v>0.47180395630351346</v>
      </c>
      <c r="T182" s="760">
        <f t="shared" si="443"/>
        <v>0.32819932952795144</v>
      </c>
      <c r="U182" s="760">
        <f t="shared" si="443"/>
        <v>0.38529638494552659</v>
      </c>
      <c r="V182" s="760">
        <f t="shared" si="443"/>
        <v>1.0057643430371856</v>
      </c>
      <c r="W182" s="760">
        <f>W180/W12</f>
        <v>1.517851473345369</v>
      </c>
      <c r="X182" s="760">
        <f t="shared" ref="X182:AD182" ca="1" si="444">X180/X12</f>
        <v>1.460021065307634</v>
      </c>
      <c r="Y182" s="760">
        <f t="shared" ca="1" si="444"/>
        <v>1.3157042097376048</v>
      </c>
      <c r="Z182" s="760">
        <f t="shared" ca="1" si="444"/>
        <v>1.124450364320668</v>
      </c>
      <c r="AA182" s="760">
        <f t="shared" ca="1" si="444"/>
        <v>0.94567495589956907</v>
      </c>
      <c r="AB182" s="760">
        <f t="shared" ca="1" si="444"/>
        <v>0.7847585940615458</v>
      </c>
      <c r="AC182" s="760">
        <f t="shared" ca="1" si="444"/>
        <v>0.64036090102245891</v>
      </c>
      <c r="AD182" s="760">
        <f t="shared" ca="1" si="444"/>
        <v>0.51659728116242154</v>
      </c>
      <c r="AE182" s="340"/>
      <c r="AF182" s="340"/>
      <c r="AG182" s="340"/>
      <c r="AH182" s="340"/>
      <c r="AI182" s="340"/>
      <c r="AJ182" s="340"/>
      <c r="AK182" s="340"/>
      <c r="AL182" s="340"/>
      <c r="AM182" s="340"/>
    </row>
    <row r="183" spans="1:39" ht="15.75">
      <c r="A183" s="340"/>
      <c r="B183" s="692"/>
      <c r="C183" s="727"/>
      <c r="D183" s="727"/>
      <c r="E183" s="727"/>
      <c r="F183" s="727"/>
      <c r="G183" s="727"/>
      <c r="H183" s="727"/>
      <c r="I183" s="727"/>
      <c r="J183" s="727"/>
      <c r="K183" s="727"/>
      <c r="L183" s="692"/>
      <c r="M183" s="692"/>
      <c r="N183" s="742"/>
      <c r="O183" s="742"/>
      <c r="P183" s="742"/>
      <c r="Q183" s="742"/>
      <c r="R183" s="742"/>
      <c r="S183" s="742"/>
      <c r="T183" s="742"/>
      <c r="U183" s="742"/>
      <c r="V183" s="742"/>
      <c r="W183" s="742"/>
      <c r="X183" s="742"/>
      <c r="Y183" s="742"/>
      <c r="Z183" s="742"/>
      <c r="AA183" s="742"/>
      <c r="AB183" s="742"/>
      <c r="AC183" s="742"/>
      <c r="AD183" s="742"/>
      <c r="AE183" s="340"/>
      <c r="AF183" s="340"/>
      <c r="AG183" s="340"/>
      <c r="AH183" s="340"/>
      <c r="AI183" s="340"/>
      <c r="AJ183" s="340"/>
      <c r="AK183" s="340"/>
      <c r="AL183" s="340"/>
      <c r="AM183" s="340"/>
    </row>
    <row r="184" spans="1:39" ht="15.75">
      <c r="A184" s="340"/>
      <c r="B184" s="734" t="s">
        <v>94</v>
      </c>
      <c r="C184" s="727"/>
      <c r="D184" s="727"/>
      <c r="E184" s="727"/>
      <c r="F184" s="727"/>
      <c r="G184" s="727"/>
      <c r="H184" s="727"/>
      <c r="I184" s="727"/>
      <c r="J184" s="727"/>
      <c r="K184" s="727"/>
      <c r="L184" s="728">
        <f>2081+31</f>
        <v>2112</v>
      </c>
      <c r="M184" s="728">
        <f>57+29</f>
        <v>86</v>
      </c>
      <c r="N184" s="728">
        <v>685</v>
      </c>
      <c r="O184" s="728">
        <v>2188</v>
      </c>
      <c r="P184" s="728">
        <v>1573</v>
      </c>
      <c r="Q184" s="728">
        <v>132</v>
      </c>
      <c r="R184" s="728">
        <v>3778.6</v>
      </c>
      <c r="S184" s="728">
        <f>83+168</f>
        <v>251</v>
      </c>
      <c r="T184" s="728">
        <f>1166+124.836</f>
        <v>1290.836</v>
      </c>
      <c r="U184" s="728">
        <f>4448+111.681</f>
        <v>4559.6809999999996</v>
      </c>
      <c r="V184" s="728">
        <f>3286.113+128.615</f>
        <v>3414.7280000000001</v>
      </c>
      <c r="W184" s="728">
        <f>5593.405+67.912</f>
        <v>5661.317</v>
      </c>
      <c r="X184" s="728">
        <f t="shared" ref="X184:AD185" si="445">W184</f>
        <v>5661.317</v>
      </c>
      <c r="Y184" s="728">
        <f t="shared" si="445"/>
        <v>5661.317</v>
      </c>
      <c r="Z184" s="728">
        <f t="shared" si="445"/>
        <v>5661.317</v>
      </c>
      <c r="AA184" s="728">
        <f t="shared" si="445"/>
        <v>5661.317</v>
      </c>
      <c r="AB184" s="728">
        <f t="shared" si="445"/>
        <v>5661.317</v>
      </c>
      <c r="AC184" s="728">
        <f t="shared" si="445"/>
        <v>5661.317</v>
      </c>
      <c r="AD184" s="728">
        <f t="shared" si="445"/>
        <v>5661.317</v>
      </c>
      <c r="AE184" s="340"/>
      <c r="AF184" s="340"/>
      <c r="AG184" s="340"/>
      <c r="AH184" s="340"/>
      <c r="AI184" s="340"/>
      <c r="AJ184" s="340"/>
      <c r="AK184" s="340"/>
      <c r="AL184" s="340"/>
      <c r="AM184" s="340"/>
    </row>
    <row r="185" spans="1:39" ht="15.75">
      <c r="A185" s="340"/>
      <c r="B185" s="734" t="s">
        <v>95</v>
      </c>
      <c r="C185" s="727"/>
      <c r="D185" s="727"/>
      <c r="E185" s="727"/>
      <c r="F185" s="727"/>
      <c r="G185" s="727"/>
      <c r="H185" s="727"/>
      <c r="I185" s="727"/>
      <c r="J185" s="727"/>
      <c r="K185" s="727"/>
      <c r="L185" s="728">
        <v>29</v>
      </c>
      <c r="M185" s="728">
        <v>2115</v>
      </c>
      <c r="N185" s="728">
        <f>2131+84</f>
        <v>2215</v>
      </c>
      <c r="O185" s="728">
        <v>1016</v>
      </c>
      <c r="P185" s="728">
        <v>2065</v>
      </c>
      <c r="Q185" s="728">
        <v>3921</v>
      </c>
      <c r="R185" s="728">
        <v>120.3</v>
      </c>
      <c r="S185" s="728">
        <f>6427+321</f>
        <v>6748</v>
      </c>
      <c r="T185" s="728">
        <f>6359+231.5</f>
        <v>6590.5</v>
      </c>
      <c r="U185" s="728">
        <f>3458+354</f>
        <v>3812</v>
      </c>
      <c r="V185" s="728">
        <f>3448.524+363.407+7000</f>
        <v>10811.931</v>
      </c>
      <c r="W185" s="728">
        <f>8276.859+857.913+7000</f>
        <v>16134.772000000001</v>
      </c>
      <c r="X185" s="728">
        <f>W185+2000</f>
        <v>18134.772000000001</v>
      </c>
      <c r="Y185" s="728">
        <f t="shared" si="445"/>
        <v>18134.772000000001</v>
      </c>
      <c r="Z185" s="728">
        <f t="shared" si="445"/>
        <v>18134.772000000001</v>
      </c>
      <c r="AA185" s="728">
        <f t="shared" si="445"/>
        <v>18134.772000000001</v>
      </c>
      <c r="AB185" s="728">
        <f t="shared" si="445"/>
        <v>18134.772000000001</v>
      </c>
      <c r="AC185" s="728">
        <f t="shared" si="445"/>
        <v>18134.772000000001</v>
      </c>
      <c r="AD185" s="728">
        <f t="shared" si="445"/>
        <v>18134.772000000001</v>
      </c>
      <c r="AE185" s="340"/>
      <c r="AF185" s="340"/>
      <c r="AG185" s="340"/>
      <c r="AH185" s="340"/>
      <c r="AI185" s="340"/>
      <c r="AJ185" s="340"/>
      <c r="AK185" s="340"/>
      <c r="AL185" s="340"/>
      <c r="AM185" s="340"/>
    </row>
    <row r="186" spans="1:39" ht="15.75">
      <c r="A186" s="340"/>
      <c r="B186" s="734" t="s">
        <v>96</v>
      </c>
      <c r="C186" s="727"/>
      <c r="D186" s="727"/>
      <c r="E186" s="727"/>
      <c r="F186" s="727"/>
      <c r="G186" s="727"/>
      <c r="H186" s="727"/>
      <c r="I186" s="727"/>
      <c r="J186" s="727"/>
      <c r="K186" s="727"/>
      <c r="L186" s="727"/>
      <c r="M186" s="727"/>
      <c r="N186" s="727"/>
      <c r="O186" s="727"/>
      <c r="P186" s="727"/>
      <c r="Q186" s="727"/>
      <c r="R186" s="727"/>
      <c r="S186" s="727"/>
      <c r="T186" s="727"/>
      <c r="U186" s="727"/>
      <c r="V186" s="727"/>
      <c r="W186" s="727"/>
      <c r="X186" s="727"/>
      <c r="Y186" s="727"/>
      <c r="Z186" s="727"/>
      <c r="AA186" s="727"/>
      <c r="AB186" s="727"/>
      <c r="AC186" s="727"/>
      <c r="AD186" s="727"/>
      <c r="AE186" s="340"/>
      <c r="AF186" s="340"/>
      <c r="AG186" s="340"/>
      <c r="AH186" s="340"/>
      <c r="AI186" s="340"/>
      <c r="AJ186" s="340"/>
      <c r="AK186" s="340"/>
      <c r="AL186" s="340"/>
      <c r="AM186" s="340"/>
    </row>
    <row r="187" spans="1:39" ht="15.75">
      <c r="A187" s="340"/>
      <c r="B187" s="692"/>
      <c r="C187" s="727"/>
      <c r="D187" s="727"/>
      <c r="E187" s="727"/>
      <c r="F187" s="727"/>
      <c r="G187" s="727"/>
      <c r="H187" s="727"/>
      <c r="I187" s="727"/>
      <c r="J187" s="727"/>
      <c r="K187" s="727"/>
      <c r="L187" s="692"/>
      <c r="M187" s="692"/>
      <c r="N187" s="692"/>
      <c r="O187" s="692"/>
      <c r="P187" s="692"/>
      <c r="Q187" s="692"/>
      <c r="R187" s="692"/>
      <c r="S187" s="692"/>
      <c r="T187" s="692"/>
      <c r="U187" s="692"/>
      <c r="V187" s="692"/>
      <c r="W187" s="692"/>
      <c r="X187" s="692"/>
      <c r="Y187" s="692"/>
      <c r="Z187" s="692"/>
      <c r="AA187" s="692"/>
      <c r="AB187" s="692"/>
      <c r="AC187" s="692"/>
      <c r="AD187" s="692"/>
      <c r="AE187" s="340"/>
      <c r="AF187" s="340"/>
      <c r="AG187" s="340"/>
      <c r="AH187" s="340"/>
      <c r="AI187" s="340"/>
      <c r="AJ187" s="340"/>
      <c r="AK187" s="340"/>
      <c r="AL187" s="340"/>
      <c r="AM187" s="340"/>
    </row>
    <row r="188" spans="1:39" ht="15.75">
      <c r="A188" s="340"/>
      <c r="B188" s="692" t="s">
        <v>97</v>
      </c>
      <c r="C188" s="727"/>
      <c r="D188" s="727"/>
      <c r="E188" s="727"/>
      <c r="F188" s="727"/>
      <c r="G188" s="727"/>
      <c r="H188" s="727"/>
      <c r="I188" s="727"/>
      <c r="J188" s="727"/>
      <c r="K188" s="727"/>
      <c r="L188" s="743">
        <v>2493</v>
      </c>
      <c r="M188" s="743">
        <f>2346+260.7</f>
        <v>2606.6999999999998</v>
      </c>
      <c r="N188" s="743">
        <v>3998</v>
      </c>
      <c r="O188" s="743">
        <v>2803</v>
      </c>
      <c r="P188" s="743">
        <v>1154</v>
      </c>
      <c r="Q188" s="743">
        <v>3117</v>
      </c>
      <c r="R188" s="743">
        <v>3331</v>
      </c>
      <c r="S188" s="743">
        <v>2205</v>
      </c>
      <c r="T188" s="743">
        <v>4259</v>
      </c>
      <c r="U188" s="743">
        <f>3703.43</f>
        <v>3703.43</v>
      </c>
      <c r="V188" s="743">
        <v>1384.0360000000001</v>
      </c>
      <c r="W188" s="743">
        <v>1578.318</v>
      </c>
      <c r="X188" s="693">
        <f ca="1">X179</f>
        <v>1818.6363468800009</v>
      </c>
      <c r="Y188" s="693">
        <f ca="1">Y179</f>
        <v>1818.6215978994878</v>
      </c>
      <c r="Z188" s="693">
        <f t="shared" ref="Z188:AD188" ca="1" si="446">Z179</f>
        <v>3187.4547040416946</v>
      </c>
      <c r="AA188" s="693">
        <f t="shared" ca="1" si="446"/>
        <v>5468.081167822329</v>
      </c>
      <c r="AB188" s="693">
        <f t="shared" ca="1" si="446"/>
        <v>7827.1841519169502</v>
      </c>
      <c r="AC188" s="693">
        <f t="shared" ca="1" si="446"/>
        <v>10160.370315198888</v>
      </c>
      <c r="AD188" s="693">
        <f t="shared" ca="1" si="446"/>
        <v>12298.278151463515</v>
      </c>
      <c r="AE188" s="340"/>
      <c r="AF188" s="340"/>
      <c r="AG188" s="340"/>
      <c r="AH188" s="340"/>
      <c r="AI188" s="340"/>
      <c r="AJ188" s="340"/>
      <c r="AK188" s="340"/>
      <c r="AL188" s="340"/>
      <c r="AM188" s="340"/>
    </row>
    <row r="189" spans="1:39" ht="15.75">
      <c r="A189" s="340"/>
      <c r="B189" s="692"/>
      <c r="C189" s="727"/>
      <c r="D189" s="727"/>
      <c r="E189" s="727"/>
      <c r="F189" s="727"/>
      <c r="G189" s="727"/>
      <c r="H189" s="727"/>
      <c r="I189" s="727"/>
      <c r="J189" s="727"/>
      <c r="K189" s="727"/>
      <c r="L189" s="692"/>
      <c r="M189" s="692"/>
      <c r="N189" s="692"/>
      <c r="O189" s="692"/>
      <c r="P189" s="692"/>
      <c r="Q189" s="692"/>
      <c r="R189" s="692"/>
      <c r="S189" s="692"/>
      <c r="T189" s="692"/>
      <c r="U189" s="692"/>
      <c r="V189" s="692"/>
      <c r="W189" s="692"/>
      <c r="X189" s="692"/>
      <c r="Y189" s="692"/>
      <c r="Z189" s="692"/>
      <c r="AA189" s="692"/>
      <c r="AB189" s="692"/>
      <c r="AC189" s="692"/>
      <c r="AD189" s="692"/>
      <c r="AE189" s="340"/>
      <c r="AF189" s="340"/>
      <c r="AG189" s="340"/>
      <c r="AH189" s="340"/>
      <c r="AI189" s="340"/>
      <c r="AJ189" s="340"/>
      <c r="AK189" s="340"/>
      <c r="AL189" s="340"/>
      <c r="AM189" s="340"/>
    </row>
    <row r="190" spans="1:39" ht="15.75">
      <c r="A190" s="340"/>
      <c r="B190" s="692" t="s">
        <v>98</v>
      </c>
      <c r="C190" s="727"/>
      <c r="D190" s="727"/>
      <c r="E190" s="727"/>
      <c r="F190" s="727"/>
      <c r="G190" s="727"/>
      <c r="H190" s="727"/>
      <c r="I190" s="727"/>
      <c r="J190" s="727"/>
      <c r="K190" s="727"/>
      <c r="L190" s="693">
        <f t="shared" ref="L190:R190" si="447">L191+L192</f>
        <v>925</v>
      </c>
      <c r="M190" s="693">
        <f t="shared" si="447"/>
        <v>1013</v>
      </c>
      <c r="N190" s="693">
        <f t="shared" ref="N190" si="448">N191+N192</f>
        <v>804.94031180400907</v>
      </c>
      <c r="O190" s="693">
        <f t="shared" si="447"/>
        <v>844.73211343197727</v>
      </c>
      <c r="P190" s="693">
        <f t="shared" si="447"/>
        <v>1668</v>
      </c>
      <c r="Q190" s="693">
        <f t="shared" si="447"/>
        <v>1706</v>
      </c>
      <c r="R190" s="693">
        <f t="shared" si="447"/>
        <v>1888.2002678328108</v>
      </c>
      <c r="S190" s="693">
        <f t="shared" ref="S190:T190" si="449">S191+S192</f>
        <v>2561.6722730966621</v>
      </c>
      <c r="T190" s="693">
        <f t="shared" si="449"/>
        <v>2508.1872151787729</v>
      </c>
      <c r="U190" s="693">
        <f>U191+U192</f>
        <v>2033.4720000000034</v>
      </c>
      <c r="V190" s="693">
        <f>V191+V192</f>
        <v>2171.9630000000034</v>
      </c>
      <c r="W190" s="693">
        <f>W191+W192</f>
        <v>3301.3932800000021</v>
      </c>
      <c r="X190" s="693">
        <f ca="1">X191+X192</f>
        <v>3301.3932800000021</v>
      </c>
      <c r="Y190" s="693">
        <f ca="1">Y191+Y192</f>
        <v>3301.3932800000021</v>
      </c>
      <c r="Z190" s="693">
        <f t="shared" ref="Z190:AD190" ca="1" si="450">Z191+Z192</f>
        <v>3301.3932800000021</v>
      </c>
      <c r="AA190" s="693">
        <f t="shared" ca="1" si="450"/>
        <v>3301.3932800000021</v>
      </c>
      <c r="AB190" s="693">
        <f t="shared" ca="1" si="450"/>
        <v>3301.3932800000021</v>
      </c>
      <c r="AC190" s="693">
        <f t="shared" ca="1" si="450"/>
        <v>3301.3932800000025</v>
      </c>
      <c r="AD190" s="693">
        <f t="shared" ca="1" si="450"/>
        <v>3301.3932800000034</v>
      </c>
      <c r="AE190" s="340"/>
      <c r="AF190" s="340"/>
      <c r="AG190" s="340"/>
      <c r="AH190" s="340"/>
      <c r="AI190" s="340"/>
      <c r="AJ190" s="340"/>
      <c r="AK190" s="340"/>
      <c r="AL190" s="340"/>
      <c r="AM190" s="340"/>
    </row>
    <row r="191" spans="1:39" ht="15.75">
      <c r="A191" s="340"/>
      <c r="B191" s="692" t="s">
        <v>99</v>
      </c>
      <c r="C191" s="727"/>
      <c r="D191" s="727"/>
      <c r="E191" s="727"/>
      <c r="F191" s="727"/>
      <c r="G191" s="727"/>
      <c r="H191" s="727"/>
      <c r="I191" s="727"/>
      <c r="J191" s="727"/>
      <c r="K191" s="727"/>
      <c r="L191" s="728">
        <v>0</v>
      </c>
      <c r="M191" s="728">
        <v>0</v>
      </c>
      <c r="N191" s="728">
        <v>0</v>
      </c>
      <c r="O191" s="728">
        <v>0</v>
      </c>
      <c r="P191" s="728">
        <v>0</v>
      </c>
      <c r="Q191" s="728">
        <v>0</v>
      </c>
      <c r="R191" s="728">
        <v>0</v>
      </c>
      <c r="S191" s="728">
        <v>0</v>
      </c>
      <c r="T191" s="728">
        <v>0</v>
      </c>
      <c r="U191" s="728">
        <v>0</v>
      </c>
      <c r="V191" s="728">
        <v>0</v>
      </c>
      <c r="W191" s="728">
        <v>0</v>
      </c>
      <c r="X191" s="693">
        <f ca="1">W191-(X234-X261)</f>
        <v>0</v>
      </c>
      <c r="Y191" s="693">
        <f ca="1">X191-(Y234-Y261)</f>
        <v>0</v>
      </c>
      <c r="Z191" s="693">
        <f t="shared" ref="Z191:AD191" ca="1" si="451">Y191-(Z234-Z261)</f>
        <v>0</v>
      </c>
      <c r="AA191" s="693">
        <f t="shared" ca="1" si="451"/>
        <v>0</v>
      </c>
      <c r="AB191" s="693">
        <f t="shared" ca="1" si="451"/>
        <v>0</v>
      </c>
      <c r="AC191" s="693">
        <f t="shared" ca="1" si="451"/>
        <v>-4.5474735088646412E-13</v>
      </c>
      <c r="AD191" s="693">
        <f t="shared" ca="1" si="451"/>
        <v>-9.0949470177292824E-13</v>
      </c>
      <c r="AE191" s="340"/>
      <c r="AF191" s="340"/>
      <c r="AG191" s="340"/>
      <c r="AH191" s="340"/>
      <c r="AI191" s="340"/>
      <c r="AJ191" s="340"/>
      <c r="AK191" s="340"/>
      <c r="AL191" s="340"/>
      <c r="AM191" s="340"/>
    </row>
    <row r="192" spans="1:39" ht="15.75">
      <c r="A192" s="340"/>
      <c r="B192" s="692" t="s">
        <v>69</v>
      </c>
      <c r="C192" s="727"/>
      <c r="D192" s="727"/>
      <c r="E192" s="727"/>
      <c r="F192" s="727"/>
      <c r="G192" s="727"/>
      <c r="H192" s="727"/>
      <c r="I192" s="727"/>
      <c r="J192" s="727"/>
      <c r="K192" s="727"/>
      <c r="L192" s="728">
        <f>17222-L65-L66-L191</f>
        <v>925</v>
      </c>
      <c r="M192" s="728">
        <f>18176-M65-M66-M191</f>
        <v>1013</v>
      </c>
      <c r="N192" s="728">
        <f>19678-N65-N66-N191</f>
        <v>804.94031180400907</v>
      </c>
      <c r="O192" s="728">
        <f>29330-6065-O65-O66-O191</f>
        <v>844.73211343197727</v>
      </c>
      <c r="P192" s="728">
        <f>32663-5095-P65-P66-P191</f>
        <v>1668</v>
      </c>
      <c r="Q192" s="728">
        <f>36455-5986-Q65-Q66-Q191</f>
        <v>1706</v>
      </c>
      <c r="R192" s="728">
        <f>39408-6175-R65-R66-R191</f>
        <v>1888.2002678328108</v>
      </c>
      <c r="S192" s="728">
        <f>43308-5665-S65-S66-S191</f>
        <v>2561.6722730966621</v>
      </c>
      <c r="T192" s="728">
        <f>49830-9106-T65-T66-T191</f>
        <v>2508.1872151787729</v>
      </c>
      <c r="U192" s="728">
        <f>54206-8672.78-U65-U66-U191</f>
        <v>2033.4720000000034</v>
      </c>
      <c r="V192" s="728">
        <f>60132.557-7296.102-V65-V66-V191</f>
        <v>2171.9630000000034</v>
      </c>
      <c r="W192" s="728">
        <f>68405.251-7281.104-W65-W66-W191</f>
        <v>3301.3932800000021</v>
      </c>
      <c r="X192" s="693">
        <f t="shared" ref="X192:Y192" si="452">W192+X266</f>
        <v>3301.3932800000021</v>
      </c>
      <c r="Y192" s="693">
        <f t="shared" si="452"/>
        <v>3301.3932800000021</v>
      </c>
      <c r="Z192" s="693">
        <f t="shared" ref="Z192" si="453">Y192+Z266</f>
        <v>3301.3932800000021</v>
      </c>
      <c r="AA192" s="693">
        <f t="shared" ref="AA192" si="454">Z192+AA266</f>
        <v>3301.3932800000021</v>
      </c>
      <c r="AB192" s="693">
        <f t="shared" ref="AB192" si="455">AA192+AB266</f>
        <v>3301.3932800000021</v>
      </c>
      <c r="AC192" s="693">
        <f t="shared" ref="AC192" si="456">AB192+AC266</f>
        <v>3301.3932800000021</v>
      </c>
      <c r="AD192" s="693">
        <f t="shared" ref="AD192" si="457">AC192+AD266</f>
        <v>3301.3932800000021</v>
      </c>
      <c r="AE192" s="340"/>
      <c r="AF192" s="744"/>
      <c r="AG192" s="340"/>
      <c r="AH192" s="340"/>
      <c r="AI192" s="340"/>
      <c r="AJ192" s="340"/>
      <c r="AK192" s="340"/>
      <c r="AL192" s="340"/>
      <c r="AM192" s="340"/>
    </row>
    <row r="193" spans="1:39" ht="15.75">
      <c r="A193" s="340"/>
      <c r="B193" s="692"/>
      <c r="C193" s="692"/>
      <c r="D193" s="692"/>
      <c r="E193" s="692"/>
      <c r="F193" s="692"/>
      <c r="G193" s="692"/>
      <c r="H193" s="692"/>
      <c r="I193" s="692"/>
      <c r="J193" s="692"/>
      <c r="K193" s="692"/>
      <c r="L193" s="692"/>
      <c r="M193" s="692"/>
      <c r="N193" s="692"/>
      <c r="O193" s="692"/>
      <c r="P193" s="692"/>
      <c r="Q193" s="692"/>
      <c r="R193" s="692"/>
      <c r="S193" s="692"/>
      <c r="T193" s="692"/>
      <c r="U193" s="692"/>
      <c r="V193" s="692"/>
      <c r="W193" s="692"/>
      <c r="X193" s="692"/>
      <c r="Y193" s="692"/>
      <c r="Z193" s="692"/>
      <c r="AA193" s="692"/>
      <c r="AB193" s="692"/>
      <c r="AC193" s="692"/>
      <c r="AD193" s="692"/>
      <c r="AE193" s="340"/>
      <c r="AF193" s="340"/>
      <c r="AG193" s="340"/>
      <c r="AH193" s="340"/>
      <c r="AI193" s="340"/>
      <c r="AJ193" s="340"/>
      <c r="AK193" s="340"/>
      <c r="AL193" s="340"/>
      <c r="AM193" s="340"/>
    </row>
    <row r="194" spans="1:39" ht="15.75">
      <c r="A194" s="340"/>
      <c r="B194" s="692"/>
      <c r="C194" s="692"/>
      <c r="D194" s="692"/>
      <c r="E194" s="692"/>
      <c r="F194" s="692"/>
      <c r="G194" s="692"/>
      <c r="H194" s="692"/>
      <c r="I194" s="692"/>
      <c r="J194" s="692"/>
      <c r="K194" s="692"/>
      <c r="L194" s="692"/>
      <c r="M194" s="692"/>
      <c r="N194" s="692"/>
      <c r="O194" s="692"/>
      <c r="P194" s="692"/>
      <c r="Q194" s="692"/>
      <c r="R194" s="692"/>
      <c r="S194" s="692"/>
      <c r="T194" s="692"/>
      <c r="U194" s="692"/>
      <c r="V194" s="692"/>
      <c r="W194" s="692"/>
      <c r="X194" s="692"/>
      <c r="Y194" s="692"/>
      <c r="Z194" s="692"/>
      <c r="AA194" s="692"/>
      <c r="AB194" s="692"/>
      <c r="AC194" s="692"/>
      <c r="AD194" s="692"/>
      <c r="AE194" s="340"/>
      <c r="AF194" s="340"/>
      <c r="AG194" s="340"/>
      <c r="AH194" s="340"/>
      <c r="AI194" s="340"/>
      <c r="AJ194" s="340"/>
      <c r="AK194" s="340"/>
      <c r="AL194" s="340"/>
      <c r="AM194" s="340"/>
    </row>
    <row r="195" spans="1:39" ht="15.75">
      <c r="A195" s="340"/>
      <c r="B195" s="692"/>
      <c r="C195" s="692"/>
      <c r="D195" s="692"/>
      <c r="E195" s="692"/>
      <c r="F195" s="692"/>
      <c r="G195" s="692"/>
      <c r="H195" s="692"/>
      <c r="I195" s="692"/>
      <c r="J195" s="692"/>
      <c r="K195" s="692"/>
      <c r="L195" s="692"/>
      <c r="M195" s="692"/>
      <c r="N195" s="692"/>
      <c r="O195" s="692"/>
      <c r="P195" s="692"/>
      <c r="Q195" s="692"/>
      <c r="R195" s="692"/>
      <c r="S195" s="692"/>
      <c r="T195" s="692"/>
      <c r="U195" s="692"/>
      <c r="V195" s="692"/>
      <c r="W195" s="692"/>
      <c r="X195" s="692"/>
      <c r="Y195" s="692"/>
      <c r="Z195" s="692"/>
      <c r="AA195" s="692"/>
      <c r="AB195" s="692"/>
      <c r="AC195" s="692"/>
      <c r="AD195" s="692"/>
      <c r="AE195" s="340"/>
      <c r="AF195" s="340"/>
      <c r="AG195" s="340"/>
      <c r="AH195" s="340"/>
      <c r="AI195" s="340"/>
      <c r="AJ195" s="340"/>
      <c r="AK195" s="340"/>
      <c r="AL195" s="340"/>
      <c r="AM195" s="340"/>
    </row>
    <row r="196" spans="1:39" ht="15.75">
      <c r="A196" s="340"/>
      <c r="B196" s="689" t="s">
        <v>100</v>
      </c>
      <c r="C196" s="689">
        <v>2003</v>
      </c>
      <c r="D196" s="689">
        <f t="shared" ref="D196:T196" si="458">C196+1</f>
        <v>2004</v>
      </c>
      <c r="E196" s="689">
        <f t="shared" si="458"/>
        <v>2005</v>
      </c>
      <c r="F196" s="689">
        <f t="shared" si="458"/>
        <v>2006</v>
      </c>
      <c r="G196" s="689">
        <f t="shared" si="458"/>
        <v>2007</v>
      </c>
      <c r="H196" s="689">
        <f t="shared" si="458"/>
        <v>2008</v>
      </c>
      <c r="I196" s="689">
        <f t="shared" si="458"/>
        <v>2009</v>
      </c>
      <c r="J196" s="689">
        <f t="shared" si="458"/>
        <v>2010</v>
      </c>
      <c r="K196" s="689">
        <f t="shared" si="458"/>
        <v>2011</v>
      </c>
      <c r="L196" s="689">
        <f t="shared" si="458"/>
        <v>2012</v>
      </c>
      <c r="M196" s="689">
        <f t="shared" si="458"/>
        <v>2013</v>
      </c>
      <c r="N196" s="689">
        <f t="shared" si="458"/>
        <v>2014</v>
      </c>
      <c r="O196" s="689">
        <f t="shared" si="458"/>
        <v>2015</v>
      </c>
      <c r="P196" s="689">
        <f t="shared" si="458"/>
        <v>2016</v>
      </c>
      <c r="Q196" s="689">
        <f t="shared" si="458"/>
        <v>2017</v>
      </c>
      <c r="R196" s="689">
        <f t="shared" si="458"/>
        <v>2018</v>
      </c>
      <c r="S196" s="689">
        <f t="shared" si="458"/>
        <v>2019</v>
      </c>
      <c r="T196" s="689">
        <f t="shared" si="458"/>
        <v>2020</v>
      </c>
      <c r="U196" s="689">
        <f t="shared" ref="U196" si="459">T196+1</f>
        <v>2021</v>
      </c>
      <c r="V196" s="689">
        <f t="shared" ref="V196" si="460">U196+1</f>
        <v>2022</v>
      </c>
      <c r="W196" s="689">
        <f t="shared" ref="W196" si="461">V196+1</f>
        <v>2023</v>
      </c>
      <c r="X196" s="689">
        <f t="shared" ref="X196" si="462">W196+1</f>
        <v>2024</v>
      </c>
      <c r="Y196" s="689">
        <f t="shared" ref="Y196" si="463">X196+1</f>
        <v>2025</v>
      </c>
      <c r="Z196" s="689">
        <f t="shared" ref="Z196" si="464">Y196+1</f>
        <v>2026</v>
      </c>
      <c r="AA196" s="689">
        <f t="shared" ref="AA196" si="465">Z196+1</f>
        <v>2027</v>
      </c>
      <c r="AB196" s="689">
        <f t="shared" ref="AB196" si="466">AA196+1</f>
        <v>2028</v>
      </c>
      <c r="AC196" s="689">
        <f t="shared" ref="AC196" si="467">AB196+1</f>
        <v>2029</v>
      </c>
      <c r="AD196" s="689">
        <f t="shared" ref="AD196" si="468">AC196+1</f>
        <v>2030</v>
      </c>
      <c r="AE196" s="340"/>
      <c r="AF196" s="340"/>
      <c r="AG196" s="340"/>
      <c r="AH196" s="340"/>
      <c r="AI196" s="340"/>
      <c r="AJ196" s="340"/>
      <c r="AK196" s="340"/>
      <c r="AL196" s="340"/>
      <c r="AM196" s="340"/>
    </row>
    <row r="197" spans="1:39" ht="15.75">
      <c r="A197" s="340"/>
      <c r="B197" s="692" t="s">
        <v>27</v>
      </c>
      <c r="C197" s="727"/>
      <c r="D197" s="727"/>
      <c r="E197" s="727"/>
      <c r="F197" s="727"/>
      <c r="G197" s="727"/>
      <c r="H197" s="727"/>
      <c r="I197" s="727"/>
      <c r="J197" s="727"/>
      <c r="K197" s="727"/>
      <c r="L197" s="728">
        <v>0</v>
      </c>
      <c r="M197" s="728">
        <v>0</v>
      </c>
      <c r="N197" s="728">
        <v>0</v>
      </c>
      <c r="O197" s="728">
        <v>0</v>
      </c>
      <c r="P197" s="728">
        <v>0</v>
      </c>
      <c r="Q197" s="728">
        <v>0</v>
      </c>
      <c r="R197" s="728">
        <v>0</v>
      </c>
      <c r="S197" s="728">
        <v>0</v>
      </c>
      <c r="T197" s="728">
        <v>0</v>
      </c>
      <c r="U197" s="728">
        <v>430.80900000000003</v>
      </c>
      <c r="V197" s="728">
        <v>651.93600000000004</v>
      </c>
      <c r="W197" s="728">
        <v>773.82899999999995</v>
      </c>
      <c r="X197" s="693">
        <f>X198*V7</f>
        <v>651.93600000000004</v>
      </c>
      <c r="Y197" s="693">
        <f>Y198*W7</f>
        <v>717.1159037419784</v>
      </c>
      <c r="Z197" s="693">
        <f t="shared" ref="Z197:AD197" si="469">Z198*X7</f>
        <v>794.30478651776718</v>
      </c>
      <c r="AA197" s="693">
        <f t="shared" si="469"/>
        <v>864.90982298494328</v>
      </c>
      <c r="AB197" s="693">
        <f t="shared" si="469"/>
        <v>930.26191922592068</v>
      </c>
      <c r="AC197" s="693">
        <f t="shared" si="469"/>
        <v>984.02223927252282</v>
      </c>
      <c r="AD197" s="693">
        <f t="shared" si="469"/>
        <v>1033.7806238265537</v>
      </c>
      <c r="AE197" s="340"/>
      <c r="AF197" s="340"/>
      <c r="AG197" s="340"/>
      <c r="AH197" s="340"/>
      <c r="AI197" s="340"/>
      <c r="AJ197" s="340"/>
      <c r="AK197" s="340"/>
      <c r="AL197" s="340"/>
      <c r="AM197" s="340"/>
    </row>
    <row r="198" spans="1:39" ht="15.75">
      <c r="A198" s="340"/>
      <c r="B198" s="692" t="s">
        <v>101</v>
      </c>
      <c r="C198" s="708"/>
      <c r="D198" s="708"/>
      <c r="E198" s="708"/>
      <c r="F198" s="708"/>
      <c r="G198" s="708"/>
      <c r="H198" s="708"/>
      <c r="I198" s="708"/>
      <c r="J198" s="708"/>
      <c r="K198" s="708"/>
      <c r="L198" s="708">
        <f t="shared" ref="L198:Q198" si="470">L197/L7</f>
        <v>0</v>
      </c>
      <c r="M198" s="708">
        <f t="shared" si="470"/>
        <v>0</v>
      </c>
      <c r="N198" s="708">
        <f t="shared" si="470"/>
        <v>0</v>
      </c>
      <c r="O198" s="708">
        <f t="shared" si="470"/>
        <v>0</v>
      </c>
      <c r="P198" s="708">
        <f t="shared" si="470"/>
        <v>0</v>
      </c>
      <c r="Q198" s="708">
        <f t="shared" si="470"/>
        <v>0</v>
      </c>
      <c r="R198" s="708">
        <f t="shared" ref="R198:S198" si="471">R197/R7</f>
        <v>0</v>
      </c>
      <c r="S198" s="708">
        <f t="shared" si="471"/>
        <v>0</v>
      </c>
      <c r="T198" s="708">
        <f t="shared" ref="T198:W198" si="472">T197/T7</f>
        <v>0</v>
      </c>
      <c r="U198" s="708">
        <f t="shared" si="472"/>
        <v>1.7488390030039783E-2</v>
      </c>
      <c r="V198" s="708">
        <f t="shared" si="472"/>
        <v>2.4007463666273807E-2</v>
      </c>
      <c r="W198" s="708">
        <f t="shared" si="472"/>
        <v>2.5906093428508487E-2</v>
      </c>
      <c r="X198" s="745">
        <v>2.4007463666273807E-2</v>
      </c>
      <c r="Y198" s="745">
        <f t="shared" ref="Y198" si="473">X198</f>
        <v>2.4007463666273807E-2</v>
      </c>
      <c r="Z198" s="745">
        <f t="shared" ref="Z198" si="474">Y198</f>
        <v>2.4007463666273807E-2</v>
      </c>
      <c r="AA198" s="745">
        <f t="shared" ref="AA198" si="475">Z198</f>
        <v>2.4007463666273807E-2</v>
      </c>
      <c r="AB198" s="745">
        <f t="shared" ref="AB198" si="476">AA198</f>
        <v>2.4007463666273807E-2</v>
      </c>
      <c r="AC198" s="745">
        <f t="shared" ref="AC198" si="477">AB198</f>
        <v>2.4007463666273807E-2</v>
      </c>
      <c r="AD198" s="745">
        <f t="shared" ref="AD198" si="478">AC198</f>
        <v>2.4007463666273807E-2</v>
      </c>
      <c r="AE198" s="340"/>
      <c r="AF198" s="340"/>
      <c r="AG198" s="340"/>
      <c r="AH198" s="340"/>
      <c r="AI198" s="340"/>
      <c r="AJ198" s="340"/>
      <c r="AK198" s="340"/>
      <c r="AL198" s="340"/>
      <c r="AM198" s="340"/>
    </row>
    <row r="199" spans="1:39" ht="15.75">
      <c r="A199" s="340"/>
      <c r="B199" s="692" t="s">
        <v>102</v>
      </c>
      <c r="C199" s="693"/>
      <c r="D199" s="693"/>
      <c r="E199" s="693"/>
      <c r="F199" s="693"/>
      <c r="G199" s="693"/>
      <c r="H199" s="693"/>
      <c r="I199" s="693"/>
      <c r="J199" s="693"/>
      <c r="K199" s="693"/>
      <c r="L199" s="693">
        <f t="shared" ref="L199:U199" si="479">K197-L197</f>
        <v>0</v>
      </c>
      <c r="M199" s="693">
        <f t="shared" si="479"/>
        <v>0</v>
      </c>
      <c r="N199" s="693">
        <f t="shared" si="479"/>
        <v>0</v>
      </c>
      <c r="O199" s="693">
        <f t="shared" si="479"/>
        <v>0</v>
      </c>
      <c r="P199" s="693">
        <f t="shared" si="479"/>
        <v>0</v>
      </c>
      <c r="Q199" s="693">
        <f t="shared" si="479"/>
        <v>0</v>
      </c>
      <c r="R199" s="693">
        <f t="shared" si="479"/>
        <v>0</v>
      </c>
      <c r="S199" s="693">
        <f t="shared" si="479"/>
        <v>0</v>
      </c>
      <c r="T199" s="693">
        <f t="shared" si="479"/>
        <v>0</v>
      </c>
      <c r="U199" s="693">
        <f t="shared" si="479"/>
        <v>-430.80900000000003</v>
      </c>
      <c r="V199" s="693">
        <f t="shared" ref="V199" si="480">U197-V197</f>
        <v>-221.12700000000001</v>
      </c>
      <c r="W199" s="693">
        <f t="shared" ref="W199" si="481">V197-W197</f>
        <v>-121.89299999999992</v>
      </c>
      <c r="X199" s="693">
        <f>W197-X197</f>
        <v>121.89299999999992</v>
      </c>
      <c r="Y199" s="693">
        <f>X197-Y197</f>
        <v>-65.179903741978364</v>
      </c>
      <c r="Z199" s="693">
        <f t="shared" ref="Z199:AD199" si="482">Y197-Z197</f>
        <v>-77.188882775788784</v>
      </c>
      <c r="AA199" s="693">
        <f t="shared" si="482"/>
        <v>-70.605036467176092</v>
      </c>
      <c r="AB199" s="693">
        <f t="shared" si="482"/>
        <v>-65.352096240977403</v>
      </c>
      <c r="AC199" s="693">
        <f t="shared" si="482"/>
        <v>-53.760320046602146</v>
      </c>
      <c r="AD199" s="693">
        <f t="shared" si="482"/>
        <v>-49.75838455403084</v>
      </c>
      <c r="AE199" s="340"/>
      <c r="AF199" s="340"/>
      <c r="AG199" s="340"/>
      <c r="AH199" s="340"/>
      <c r="AI199" s="340"/>
      <c r="AJ199" s="340"/>
      <c r="AK199" s="340"/>
      <c r="AL199" s="340"/>
      <c r="AM199" s="340"/>
    </row>
    <row r="200" spans="1:39" ht="15.75">
      <c r="A200" s="340"/>
      <c r="B200" s="692" t="s">
        <v>28</v>
      </c>
      <c r="C200" s="693"/>
      <c r="D200" s="693"/>
      <c r="E200" s="693"/>
      <c r="F200" s="693"/>
      <c r="G200" s="693"/>
      <c r="H200" s="693"/>
      <c r="I200" s="693"/>
      <c r="J200" s="693"/>
      <c r="K200" s="693"/>
      <c r="L200" s="728">
        <v>48</v>
      </c>
      <c r="M200" s="728">
        <v>890</v>
      </c>
      <c r="N200" s="728">
        <v>860</v>
      </c>
      <c r="O200" s="728">
        <v>1714</v>
      </c>
      <c r="P200" s="728">
        <v>2309</v>
      </c>
      <c r="Q200" s="728">
        <v>1551</v>
      </c>
      <c r="R200" s="728">
        <f>1834+115</f>
        <v>1949</v>
      </c>
      <c r="S200" s="728">
        <v>1995</v>
      </c>
      <c r="T200" s="728">
        <v>3650</v>
      </c>
      <c r="U200" s="728">
        <v>3277</v>
      </c>
      <c r="V200" s="728">
        <v>3588.6289999999999</v>
      </c>
      <c r="W200" s="728">
        <f>3207.071</f>
        <v>3207.0709999999999</v>
      </c>
      <c r="X200" s="693">
        <f>X201*V7</f>
        <v>2915.5747746577395</v>
      </c>
      <c r="Y200" s="693">
        <f>Y201*W7</f>
        <v>3207.0709999999999</v>
      </c>
      <c r="Z200" s="693">
        <f t="shared" ref="Z200:AD200" si="483">Z201*X7</f>
        <v>3552.2735344590619</v>
      </c>
      <c r="AA200" s="693">
        <f t="shared" si="483"/>
        <v>3868.0319268280805</v>
      </c>
      <c r="AB200" s="693">
        <f t="shared" si="483"/>
        <v>4160.2982279238913</v>
      </c>
      <c r="AC200" s="693">
        <f t="shared" si="483"/>
        <v>4400.7240258632601</v>
      </c>
      <c r="AD200" s="693">
        <f t="shared" si="483"/>
        <v>4623.2524501770758</v>
      </c>
      <c r="AE200" s="340"/>
      <c r="AF200" s="340"/>
      <c r="AG200" s="340"/>
      <c r="AH200" s="340"/>
      <c r="AI200" s="340"/>
      <c r="AJ200" s="340"/>
      <c r="AK200" s="340"/>
      <c r="AL200" s="340"/>
      <c r="AM200" s="340"/>
    </row>
    <row r="201" spans="1:39" ht="15.75">
      <c r="A201" s="340"/>
      <c r="B201" s="692" t="s">
        <v>101</v>
      </c>
      <c r="C201" s="708"/>
      <c r="D201" s="708"/>
      <c r="E201" s="708"/>
      <c r="F201" s="708"/>
      <c r="G201" s="708"/>
      <c r="H201" s="708"/>
      <c r="I201" s="708"/>
      <c r="J201" s="708"/>
      <c r="K201" s="708"/>
      <c r="L201" s="708">
        <f t="shared" ref="L201:S201" si="484">L200/L7</f>
        <v>5.3469978834800045E-3</v>
      </c>
      <c r="M201" s="708">
        <f t="shared" si="484"/>
        <v>8.8398887564560991E-2</v>
      </c>
      <c r="N201" s="708">
        <f t="shared" si="484"/>
        <v>7.4945533769063183E-2</v>
      </c>
      <c r="O201" s="708">
        <f t="shared" si="484"/>
        <v>0.11774404066772</v>
      </c>
      <c r="P201" s="708">
        <f t="shared" si="484"/>
        <v>0.13616795423718819</v>
      </c>
      <c r="Q201" s="708">
        <f t="shared" si="484"/>
        <v>8.9720599294267372E-2</v>
      </c>
      <c r="R201" s="708">
        <f t="shared" si="484"/>
        <v>0.10027783494546202</v>
      </c>
      <c r="S201" s="708">
        <f t="shared" si="484"/>
        <v>9.2344010368450288E-2</v>
      </c>
      <c r="T201" s="708">
        <f t="shared" ref="T201" si="485">T200/T7</f>
        <v>0.16307018719563954</v>
      </c>
      <c r="U201" s="708">
        <f>U200/U7</f>
        <v>0.13302752293577982</v>
      </c>
      <c r="V201" s="708">
        <f>V200/V7</f>
        <v>0.1321508251258352</v>
      </c>
      <c r="W201" s="708">
        <f>W200/W7</f>
        <v>0.10736568538767628</v>
      </c>
      <c r="X201" s="745">
        <f>W201</f>
        <v>0.10736568538767628</v>
      </c>
      <c r="Y201" s="745">
        <f t="shared" ref="Y201" si="486">X201</f>
        <v>0.10736568538767628</v>
      </c>
      <c r="Z201" s="745">
        <f t="shared" ref="Z201" si="487">Y201</f>
        <v>0.10736568538767628</v>
      </c>
      <c r="AA201" s="745">
        <f t="shared" ref="AA201" si="488">Z201</f>
        <v>0.10736568538767628</v>
      </c>
      <c r="AB201" s="745">
        <f t="shared" ref="AB201" si="489">AA201</f>
        <v>0.10736568538767628</v>
      </c>
      <c r="AC201" s="745">
        <f t="shared" ref="AC201" si="490">AB201</f>
        <v>0.10736568538767628</v>
      </c>
      <c r="AD201" s="745">
        <f t="shared" ref="AD201" si="491">AC201</f>
        <v>0.10736568538767628</v>
      </c>
      <c r="AE201" s="340"/>
      <c r="AF201" s="340"/>
      <c r="AG201" s="340"/>
      <c r="AH201" s="340"/>
      <c r="AI201" s="340"/>
      <c r="AJ201" s="340"/>
      <c r="AK201" s="340"/>
      <c r="AL201" s="340"/>
      <c r="AM201" s="340"/>
    </row>
    <row r="202" spans="1:39" ht="15.75">
      <c r="A202" s="340"/>
      <c r="B202" s="692" t="s">
        <v>103</v>
      </c>
      <c r="C202" s="693"/>
      <c r="D202" s="693"/>
      <c r="E202" s="693"/>
      <c r="F202" s="693"/>
      <c r="G202" s="693"/>
      <c r="H202" s="693"/>
      <c r="I202" s="693"/>
      <c r="J202" s="693"/>
      <c r="K202" s="693"/>
      <c r="L202" s="693">
        <f t="shared" ref="L202:T202" si="492">K200-L200</f>
        <v>-48</v>
      </c>
      <c r="M202" s="693">
        <f t="shared" si="492"/>
        <v>-842</v>
      </c>
      <c r="N202" s="693">
        <f t="shared" si="492"/>
        <v>30</v>
      </c>
      <c r="O202" s="693">
        <f t="shared" si="492"/>
        <v>-854</v>
      </c>
      <c r="P202" s="693">
        <f t="shared" si="492"/>
        <v>-595</v>
      </c>
      <c r="Q202" s="693">
        <f t="shared" si="492"/>
        <v>758</v>
      </c>
      <c r="R202" s="693">
        <f t="shared" si="492"/>
        <v>-398</v>
      </c>
      <c r="S202" s="693">
        <f t="shared" si="492"/>
        <v>-46</v>
      </c>
      <c r="T202" s="693">
        <f t="shared" si="492"/>
        <v>-1655</v>
      </c>
      <c r="U202" s="693">
        <f>T200-U200</f>
        <v>373</v>
      </c>
      <c r="V202" s="693">
        <f t="shared" ref="V202" si="493">U200-V200</f>
        <v>-311.62899999999991</v>
      </c>
      <c r="W202" s="693">
        <f t="shared" ref="W202" si="494">V200-W200</f>
        <v>381.55799999999999</v>
      </c>
      <c r="X202" s="693">
        <f>W200-X200</f>
        <v>291.49622534226046</v>
      </c>
      <c r="Y202" s="693">
        <f>X200-Y200</f>
        <v>-291.49622534226046</v>
      </c>
      <c r="Z202" s="693">
        <f t="shared" ref="Z202:AD202" si="495">Y200-Z200</f>
        <v>-345.20253445906201</v>
      </c>
      <c r="AA202" s="693">
        <f t="shared" si="495"/>
        <v>-315.75839236901857</v>
      </c>
      <c r="AB202" s="693">
        <f t="shared" si="495"/>
        <v>-292.26630109581083</v>
      </c>
      <c r="AC202" s="693">
        <f t="shared" si="495"/>
        <v>-240.42579793936875</v>
      </c>
      <c r="AD202" s="693">
        <f t="shared" si="495"/>
        <v>-222.52842431381578</v>
      </c>
      <c r="AE202" s="340"/>
      <c r="AF202" s="340"/>
      <c r="AG202" s="340"/>
      <c r="AH202" s="340"/>
      <c r="AI202" s="340"/>
      <c r="AJ202" s="340"/>
      <c r="AK202" s="340"/>
      <c r="AL202" s="340"/>
      <c r="AM202" s="340"/>
    </row>
    <row r="203" spans="1:39" ht="15.75">
      <c r="A203" s="340"/>
      <c r="B203" s="692" t="s">
        <v>104</v>
      </c>
      <c r="C203" s="727"/>
      <c r="D203" s="727"/>
      <c r="E203" s="727"/>
      <c r="F203" s="727"/>
      <c r="G203" s="727"/>
      <c r="H203" s="727"/>
      <c r="I203" s="727"/>
      <c r="J203" s="727"/>
      <c r="K203" s="727"/>
      <c r="L203" s="728">
        <f>3436-L59-L60-L61</f>
        <v>895</v>
      </c>
      <c r="M203" s="728">
        <f>3919-M59-M60-M61</f>
        <v>422.30000000000018</v>
      </c>
      <c r="N203" s="728">
        <f>5567-N59-N60-N61</f>
        <v>709</v>
      </c>
      <c r="O203" s="728">
        <f>6065-O59-O60-O61</f>
        <v>1548</v>
      </c>
      <c r="P203" s="728">
        <f>5095-P59-P60-P61</f>
        <v>1632</v>
      </c>
      <c r="Q203" s="728">
        <f>5986-Q59-Q60-Q61</f>
        <v>1318</v>
      </c>
      <c r="R203" s="728">
        <f>6175-R59-R60-R61</f>
        <v>895</v>
      </c>
      <c r="S203" s="728">
        <f>5665-S59-S60-S61</f>
        <v>1465</v>
      </c>
      <c r="T203" s="728">
        <f>9106-T59-T60-T61</f>
        <v>1197</v>
      </c>
      <c r="U203" s="728">
        <f>8672-U59-U60-U61</f>
        <v>1260.7609999999995</v>
      </c>
      <c r="V203" s="728">
        <v>1671.501</v>
      </c>
      <c r="W203" s="728">
        <v>1721.8869999999999</v>
      </c>
      <c r="X203" s="693">
        <f>X204*V7</f>
        <v>1565.3817149701679</v>
      </c>
      <c r="Y203" s="693">
        <f>Y204*W7</f>
        <v>1721.8869999999999</v>
      </c>
      <c r="Z203" s="693">
        <f t="shared" ref="Z203:AD203" si="496">Z204*X7</f>
        <v>1907.2273795713006</v>
      </c>
      <c r="AA203" s="693">
        <f t="shared" si="496"/>
        <v>2076.7591021184821</v>
      </c>
      <c r="AB203" s="693">
        <f t="shared" si="496"/>
        <v>2233.6778433608688</v>
      </c>
      <c r="AC203" s="693">
        <f t="shared" si="496"/>
        <v>2362.7632474371821</v>
      </c>
      <c r="AD203" s="693">
        <f t="shared" si="496"/>
        <v>2482.2394925706521</v>
      </c>
      <c r="AE203" s="340"/>
      <c r="AF203" s="340"/>
      <c r="AG203" s="340"/>
      <c r="AH203" s="340"/>
      <c r="AI203" s="340"/>
      <c r="AJ203" s="340"/>
      <c r="AK203" s="340"/>
      <c r="AL203" s="340"/>
      <c r="AM203" s="340"/>
    </row>
    <row r="204" spans="1:39" ht="15.75">
      <c r="A204" s="340"/>
      <c r="B204" s="692" t="s">
        <v>101</v>
      </c>
      <c r="C204" s="708"/>
      <c r="D204" s="708"/>
      <c r="E204" s="708"/>
      <c r="F204" s="708"/>
      <c r="G204" s="708"/>
      <c r="H204" s="708"/>
      <c r="I204" s="708"/>
      <c r="J204" s="708"/>
      <c r="K204" s="708"/>
      <c r="L204" s="708">
        <f t="shared" ref="L204:Q204" si="497">L203/L7</f>
        <v>9.9699231369054245E-2</v>
      </c>
      <c r="M204" s="708">
        <f t="shared" si="497"/>
        <v>4.1944775526420362E-2</v>
      </c>
      <c r="N204" s="708">
        <f t="shared" si="497"/>
        <v>6.1786492374727671E-2</v>
      </c>
      <c r="O204" s="708">
        <f t="shared" si="497"/>
        <v>0.10634059215497699</v>
      </c>
      <c r="P204" s="708">
        <f t="shared" si="497"/>
        <v>9.6243439287609839E-2</v>
      </c>
      <c r="Q204" s="708">
        <f t="shared" si="497"/>
        <v>7.6242262972175623E-2</v>
      </c>
      <c r="R204" s="708">
        <f t="shared" ref="R204:S204" si="498">R203/R7</f>
        <v>4.6048569664540032E-2</v>
      </c>
      <c r="S204" s="708">
        <f t="shared" si="498"/>
        <v>6.7811516385854476E-2</v>
      </c>
      <c r="T204" s="708">
        <f t="shared" ref="T204:W204" si="499">T203/T7</f>
        <v>5.3478086047446721E-2</v>
      </c>
      <c r="U204" s="708">
        <f t="shared" si="499"/>
        <v>5.117971096857999E-2</v>
      </c>
      <c r="V204" s="708">
        <f t="shared" si="499"/>
        <v>6.1552820408200086E-2</v>
      </c>
      <c r="W204" s="708">
        <f t="shared" si="499"/>
        <v>5.7644990683127922E-2</v>
      </c>
      <c r="X204" s="745">
        <f>W204</f>
        <v>5.7644990683127922E-2</v>
      </c>
      <c r="Y204" s="745">
        <f t="shared" ref="Y204" si="500">X204</f>
        <v>5.7644990683127922E-2</v>
      </c>
      <c r="Z204" s="745">
        <f t="shared" ref="Z204" si="501">Y204</f>
        <v>5.7644990683127922E-2</v>
      </c>
      <c r="AA204" s="745">
        <f t="shared" ref="AA204" si="502">Z204</f>
        <v>5.7644990683127922E-2</v>
      </c>
      <c r="AB204" s="745">
        <f t="shared" ref="AB204" si="503">AA204</f>
        <v>5.7644990683127922E-2</v>
      </c>
      <c r="AC204" s="745">
        <f t="shared" ref="AC204" si="504">AB204</f>
        <v>5.7644990683127922E-2</v>
      </c>
      <c r="AD204" s="745">
        <f t="shared" ref="AD204" si="505">AC204</f>
        <v>5.7644990683127922E-2</v>
      </c>
      <c r="AE204" s="340"/>
      <c r="AF204" s="340"/>
      <c r="AG204" s="340"/>
      <c r="AH204" s="340"/>
      <c r="AI204" s="340"/>
      <c r="AJ204" s="340"/>
      <c r="AK204" s="340"/>
      <c r="AL204" s="340"/>
      <c r="AM204" s="340"/>
    </row>
    <row r="205" spans="1:39" ht="15.75">
      <c r="A205" s="340"/>
      <c r="B205" s="692" t="s">
        <v>105</v>
      </c>
      <c r="C205" s="693"/>
      <c r="D205" s="693"/>
      <c r="E205" s="693"/>
      <c r="F205" s="693"/>
      <c r="G205" s="693"/>
      <c r="H205" s="693"/>
      <c r="I205" s="693"/>
      <c r="J205" s="693"/>
      <c r="K205" s="693"/>
      <c r="L205" s="693">
        <f t="shared" ref="L205:T205" si="506">K203-L203</f>
        <v>-895</v>
      </c>
      <c r="M205" s="693">
        <f t="shared" si="506"/>
        <v>472.69999999999982</v>
      </c>
      <c r="N205" s="693">
        <f t="shared" si="506"/>
        <v>-286.69999999999982</v>
      </c>
      <c r="O205" s="693">
        <f t="shared" si="506"/>
        <v>-839</v>
      </c>
      <c r="P205" s="693">
        <f t="shared" si="506"/>
        <v>-84</v>
      </c>
      <c r="Q205" s="693">
        <f t="shared" si="506"/>
        <v>314</v>
      </c>
      <c r="R205" s="693">
        <f t="shared" si="506"/>
        <v>423</v>
      </c>
      <c r="S205" s="693">
        <f t="shared" si="506"/>
        <v>-570</v>
      </c>
      <c r="T205" s="693">
        <f t="shared" si="506"/>
        <v>268</v>
      </c>
      <c r="U205" s="693">
        <f t="shared" ref="U205" si="507">T203-U203</f>
        <v>-63.760999999999513</v>
      </c>
      <c r="V205" s="693">
        <f t="shared" ref="V205" si="508">U203-V203</f>
        <v>-410.74000000000046</v>
      </c>
      <c r="W205" s="693">
        <f t="shared" ref="W205" si="509">V203-W203</f>
        <v>-50.385999999999967</v>
      </c>
      <c r="X205" s="693">
        <f>W203-X203</f>
        <v>156.50528502983207</v>
      </c>
      <c r="Y205" s="693">
        <f>X203-Y203</f>
        <v>-156.50528502983207</v>
      </c>
      <c r="Z205" s="693">
        <f t="shared" ref="Z205:AD205" si="510">Y203-Z203</f>
        <v>-185.34037957130067</v>
      </c>
      <c r="AA205" s="693">
        <f t="shared" si="510"/>
        <v>-169.53172254718152</v>
      </c>
      <c r="AB205" s="693">
        <f t="shared" si="510"/>
        <v>-156.91874124238666</v>
      </c>
      <c r="AC205" s="693">
        <f t="shared" si="510"/>
        <v>-129.08540407631335</v>
      </c>
      <c r="AD205" s="693">
        <f t="shared" si="510"/>
        <v>-119.47624513347</v>
      </c>
      <c r="AE205" s="340"/>
      <c r="AF205" s="340"/>
      <c r="AG205" s="340"/>
      <c r="AH205" s="340"/>
      <c r="AI205" s="340"/>
      <c r="AJ205" s="340"/>
      <c r="AK205" s="340"/>
      <c r="AL205" s="340"/>
      <c r="AM205" s="340"/>
    </row>
    <row r="206" spans="1:39" ht="15.75">
      <c r="A206" s="340"/>
      <c r="B206" s="692"/>
      <c r="C206" s="692"/>
      <c r="D206" s="692"/>
      <c r="E206" s="692"/>
      <c r="F206" s="692"/>
      <c r="G206" s="692"/>
      <c r="H206" s="692"/>
      <c r="I206" s="692"/>
      <c r="J206" s="692"/>
      <c r="K206" s="692"/>
      <c r="L206" s="692"/>
      <c r="M206" s="692"/>
      <c r="N206" s="692"/>
      <c r="O206" s="692"/>
      <c r="P206" s="692"/>
      <c r="Q206" s="692"/>
      <c r="R206" s="692"/>
      <c r="S206" s="692"/>
      <c r="T206" s="692"/>
      <c r="U206" s="692"/>
      <c r="V206" s="692"/>
      <c r="W206" s="692"/>
      <c r="X206" s="692"/>
      <c r="Y206" s="692"/>
      <c r="Z206" s="692"/>
      <c r="AA206" s="692"/>
      <c r="AB206" s="692"/>
      <c r="AC206" s="692"/>
      <c r="AD206" s="692"/>
      <c r="AE206" s="340"/>
      <c r="AF206" s="340"/>
      <c r="AG206" s="340"/>
      <c r="AH206" s="340"/>
      <c r="AI206" s="340"/>
      <c r="AJ206" s="340"/>
      <c r="AK206" s="340"/>
      <c r="AL206" s="340"/>
      <c r="AM206" s="340"/>
    </row>
    <row r="207" spans="1:39" ht="15.75">
      <c r="A207" s="340"/>
      <c r="B207" s="692" t="s">
        <v>35</v>
      </c>
      <c r="C207" s="727"/>
      <c r="D207" s="727"/>
      <c r="E207" s="727"/>
      <c r="F207" s="727"/>
      <c r="G207" s="727"/>
      <c r="H207" s="727"/>
      <c r="I207" s="727"/>
      <c r="J207" s="727"/>
      <c r="K207" s="727"/>
      <c r="L207" s="728">
        <f>593+538</f>
        <v>1131</v>
      </c>
      <c r="M207" s="728">
        <f>683+642</f>
        <v>1325</v>
      </c>
      <c r="N207" s="728">
        <f>872+84</f>
        <v>956</v>
      </c>
      <c r="O207" s="728">
        <v>1498</v>
      </c>
      <c r="P207" s="728">
        <v>1922</v>
      </c>
      <c r="Q207" s="728">
        <v>1549</v>
      </c>
      <c r="R207" s="728">
        <v>1976</v>
      </c>
      <c r="S207" s="728">
        <v>838</v>
      </c>
      <c r="T207" s="728">
        <v>1717</v>
      </c>
      <c r="U207" s="728">
        <v>1844</v>
      </c>
      <c r="V207" s="728">
        <f>1191.205</f>
        <v>1191.2049999999999</v>
      </c>
      <c r="W207" s="728">
        <v>1531.9449999999999</v>
      </c>
      <c r="X207" s="693">
        <f>X208*V7</f>
        <v>1392.7038715896999</v>
      </c>
      <c r="Y207" s="693">
        <f>Y208*W7</f>
        <v>1531.9449999999999</v>
      </c>
      <c r="Z207" s="693">
        <f t="shared" ref="Z207:AD207" si="511">Z208*X7</f>
        <v>1696.8404128710863</v>
      </c>
      <c r="AA207" s="693">
        <f t="shared" si="511"/>
        <v>1847.671027596409</v>
      </c>
      <c r="AB207" s="693">
        <f t="shared" si="511"/>
        <v>1987.2800037095733</v>
      </c>
      <c r="AC207" s="693">
        <f t="shared" si="511"/>
        <v>2102.1259485060014</v>
      </c>
      <c r="AD207" s="693">
        <f t="shared" si="511"/>
        <v>2208.4227242822249</v>
      </c>
      <c r="AE207" s="340"/>
      <c r="AF207" s="340"/>
      <c r="AG207" s="340"/>
      <c r="AH207" s="340"/>
      <c r="AI207" s="340"/>
      <c r="AJ207" s="340"/>
      <c r="AK207" s="340"/>
      <c r="AL207" s="340"/>
      <c r="AM207" s="340"/>
    </row>
    <row r="208" spans="1:39" ht="15.75">
      <c r="A208" s="340"/>
      <c r="B208" s="692" t="s">
        <v>101</v>
      </c>
      <c r="C208" s="708"/>
      <c r="D208" s="708"/>
      <c r="E208" s="708"/>
      <c r="F208" s="708"/>
      <c r="G208" s="708"/>
      <c r="H208" s="708"/>
      <c r="I208" s="708"/>
      <c r="J208" s="708"/>
      <c r="K208" s="708"/>
      <c r="L208" s="708">
        <f t="shared" ref="L208:Q208" si="512">L207/L7</f>
        <v>0.12598863762949761</v>
      </c>
      <c r="M208" s="708">
        <f t="shared" si="512"/>
        <v>0.13160508541914978</v>
      </c>
      <c r="N208" s="708">
        <f t="shared" si="512"/>
        <v>8.3311546840958609E-2</v>
      </c>
      <c r="O208" s="708">
        <f t="shared" si="512"/>
        <v>0.10290581850656041</v>
      </c>
      <c r="P208" s="708">
        <f t="shared" si="512"/>
        <v>0.11334552102376599</v>
      </c>
      <c r="Q208" s="708">
        <f t="shared" si="512"/>
        <v>8.9604905420257994E-2</v>
      </c>
      <c r="R208" s="708">
        <f t="shared" ref="R208:T208" si="513">R207/R7</f>
        <v>0.10166700967277217</v>
      </c>
      <c r="S208" s="708">
        <f t="shared" si="513"/>
        <v>3.8789113127198668E-2</v>
      </c>
      <c r="T208" s="708">
        <f t="shared" si="513"/>
        <v>7.6710003127373458E-2</v>
      </c>
      <c r="U208" s="708">
        <f t="shared" ref="U208:W208" si="514">U207/U7</f>
        <v>7.4855890233011285E-2</v>
      </c>
      <c r="V208" s="708">
        <f t="shared" si="514"/>
        <v>4.3865978802495473E-2</v>
      </c>
      <c r="W208" s="708">
        <f t="shared" si="514"/>
        <v>5.1286150166685966E-2</v>
      </c>
      <c r="X208" s="745">
        <f>W208</f>
        <v>5.1286150166685966E-2</v>
      </c>
      <c r="Y208" s="745">
        <f t="shared" ref="Y208" si="515">X208</f>
        <v>5.1286150166685966E-2</v>
      </c>
      <c r="Z208" s="745">
        <f t="shared" ref="Z208" si="516">Y208</f>
        <v>5.1286150166685966E-2</v>
      </c>
      <c r="AA208" s="745">
        <f t="shared" ref="AA208" si="517">Z208</f>
        <v>5.1286150166685966E-2</v>
      </c>
      <c r="AB208" s="745">
        <f t="shared" ref="AB208" si="518">AA208</f>
        <v>5.1286150166685966E-2</v>
      </c>
      <c r="AC208" s="745">
        <f t="shared" ref="AC208" si="519">AB208</f>
        <v>5.1286150166685966E-2</v>
      </c>
      <c r="AD208" s="745">
        <f t="shared" ref="AD208" si="520">AC208</f>
        <v>5.1286150166685966E-2</v>
      </c>
      <c r="AE208" s="340"/>
      <c r="AF208" s="340"/>
      <c r="AG208" s="340"/>
      <c r="AH208" s="340"/>
      <c r="AI208" s="340"/>
      <c r="AJ208" s="340"/>
      <c r="AK208" s="340"/>
      <c r="AL208" s="340"/>
      <c r="AM208" s="340"/>
    </row>
    <row r="209" spans="1:39" ht="15.75">
      <c r="A209" s="340"/>
      <c r="B209" s="692" t="s">
        <v>106</v>
      </c>
      <c r="C209" s="693"/>
      <c r="D209" s="693"/>
      <c r="E209" s="693"/>
      <c r="F209" s="693"/>
      <c r="G209" s="693"/>
      <c r="H209" s="693"/>
      <c r="I209" s="693"/>
      <c r="J209" s="693"/>
      <c r="K209" s="693"/>
      <c r="L209" s="693">
        <f t="shared" ref="L209:T209" si="521">K207-L207</f>
        <v>-1131</v>
      </c>
      <c r="M209" s="693">
        <f t="shared" si="521"/>
        <v>-194</v>
      </c>
      <c r="N209" s="693">
        <f t="shared" si="521"/>
        <v>369</v>
      </c>
      <c r="O209" s="693">
        <f t="shared" si="521"/>
        <v>-542</v>
      </c>
      <c r="P209" s="693">
        <f t="shared" si="521"/>
        <v>-424</v>
      </c>
      <c r="Q209" s="693">
        <f t="shared" si="521"/>
        <v>373</v>
      </c>
      <c r="R209" s="693">
        <f t="shared" si="521"/>
        <v>-427</v>
      </c>
      <c r="S209" s="693">
        <f t="shared" si="521"/>
        <v>1138</v>
      </c>
      <c r="T209" s="693">
        <f t="shared" si="521"/>
        <v>-879</v>
      </c>
      <c r="U209" s="693">
        <f t="shared" ref="U209" si="522">T207-U207</f>
        <v>-127</v>
      </c>
      <c r="V209" s="693">
        <f t="shared" ref="V209" si="523">U207-V207</f>
        <v>652.79500000000007</v>
      </c>
      <c r="W209" s="693">
        <f t="shared" ref="W209" si="524">V207-W207</f>
        <v>-340.74</v>
      </c>
      <c r="X209" s="693">
        <f>W207-X207</f>
        <v>139.24112841030001</v>
      </c>
      <c r="Y209" s="693">
        <f>X207-Y207</f>
        <v>-139.24112841030001</v>
      </c>
      <c r="Z209" s="693">
        <f t="shared" ref="Z209:AD209" si="525">Y207-Z207</f>
        <v>-164.89541287108636</v>
      </c>
      <c r="AA209" s="693">
        <f t="shared" si="525"/>
        <v>-150.83061472532268</v>
      </c>
      <c r="AB209" s="693">
        <f t="shared" si="525"/>
        <v>-139.60897611316432</v>
      </c>
      <c r="AC209" s="693">
        <f t="shared" si="525"/>
        <v>-114.84594479642806</v>
      </c>
      <c r="AD209" s="693">
        <f t="shared" si="525"/>
        <v>-106.29677577622351</v>
      </c>
      <c r="AE209" s="340"/>
      <c r="AF209" s="340"/>
      <c r="AG209" s="340"/>
      <c r="AH209" s="340"/>
      <c r="AI209" s="340"/>
      <c r="AJ209" s="340"/>
      <c r="AK209" s="340"/>
      <c r="AL209" s="340"/>
      <c r="AM209" s="340"/>
    </row>
    <row r="210" spans="1:39" ht="15.75">
      <c r="A210" s="340"/>
      <c r="B210" s="692" t="s">
        <v>34</v>
      </c>
      <c r="C210" s="727"/>
      <c r="D210" s="727"/>
      <c r="E210" s="727"/>
      <c r="F210" s="727"/>
      <c r="G210" s="727"/>
      <c r="H210" s="727"/>
      <c r="I210" s="727"/>
      <c r="J210" s="727"/>
      <c r="K210" s="727"/>
      <c r="L210" s="728">
        <f>3714-L72-L73</f>
        <v>471</v>
      </c>
      <c r="M210" s="728">
        <f>1762-M72-M73</f>
        <v>351</v>
      </c>
      <c r="N210" s="728">
        <f>2299-N72-N73</f>
        <v>658</v>
      </c>
      <c r="O210" s="728">
        <f>4818-O72-O73</f>
        <v>1132</v>
      </c>
      <c r="P210" s="728">
        <f>4871-P72-P73</f>
        <v>1376</v>
      </c>
      <c r="Q210" s="728">
        <f>3634-Q72-Q73</f>
        <v>1953</v>
      </c>
      <c r="R210" s="728">
        <f>7850-R72-R73</f>
        <v>2095.4</v>
      </c>
      <c r="S210" s="728">
        <f>2714-S72-S73</f>
        <v>1625</v>
      </c>
      <c r="T210" s="728">
        <f>6293-T72-T73</f>
        <v>3285.1639999999998</v>
      </c>
      <c r="U210" s="728">
        <f>11700-U72-U73</f>
        <v>5296.3190000000004</v>
      </c>
      <c r="V210" s="728">
        <f>8941.445-V72-V73</f>
        <v>4335.5119999999997</v>
      </c>
      <c r="W210" s="728">
        <f>11226.851-W72-W73</f>
        <v>4033.5890000000009</v>
      </c>
      <c r="X210" s="693">
        <f>X211*V7</f>
        <v>3801.7777000000006</v>
      </c>
      <c r="Y210" s="693">
        <f>Y211*W7</f>
        <v>4331.2282999999998</v>
      </c>
      <c r="Z210" s="693">
        <f t="shared" ref="Z210:AD210" si="526">Z211*X7</f>
        <v>4880.1471758951129</v>
      </c>
      <c r="AA210" s="693">
        <f t="shared" si="526"/>
        <v>5367.9791175024475</v>
      </c>
      <c r="AB210" s="693">
        <f t="shared" si="526"/>
        <v>5812.3294415276296</v>
      </c>
      <c r="AC210" s="693">
        <f t="shared" si="526"/>
        <v>6189.215162236801</v>
      </c>
      <c r="AD210" s="693">
        <f t="shared" si="526"/>
        <v>6545.2418050467468</v>
      </c>
      <c r="AE210" s="340"/>
      <c r="AF210" s="340"/>
      <c r="AG210" s="340"/>
      <c r="AH210" s="340"/>
      <c r="AI210" s="340"/>
      <c r="AJ210" s="340"/>
      <c r="AK210" s="340"/>
      <c r="AL210" s="340"/>
      <c r="AM210" s="340"/>
    </row>
    <row r="211" spans="1:39" ht="15.75">
      <c r="A211" s="340"/>
      <c r="B211" s="692" t="s">
        <v>101</v>
      </c>
      <c r="C211" s="708"/>
      <c r="D211" s="708"/>
      <c r="E211" s="708"/>
      <c r="F211" s="708"/>
      <c r="G211" s="708"/>
      <c r="H211" s="708"/>
      <c r="I211" s="708"/>
      <c r="J211" s="708"/>
      <c r="K211" s="708"/>
      <c r="L211" s="708">
        <f t="shared" ref="L211:Q211" si="527">L210/L7</f>
        <v>5.2467416731647544E-2</v>
      </c>
      <c r="M211" s="708">
        <f t="shared" si="527"/>
        <v>3.4862932061978547E-2</v>
      </c>
      <c r="N211" s="708">
        <f t="shared" si="527"/>
        <v>5.7342047930283226E-2</v>
      </c>
      <c r="O211" s="708">
        <f t="shared" si="527"/>
        <v>7.7763275400151127E-2</v>
      </c>
      <c r="P211" s="708">
        <f t="shared" si="527"/>
        <v>8.1146429203278886E-2</v>
      </c>
      <c r="Q211" s="708">
        <f t="shared" si="527"/>
        <v>0.11297506797015099</v>
      </c>
      <c r="R211" s="708">
        <f t="shared" ref="R211:S211" si="528">R210/R7</f>
        <v>0.10781024902243261</v>
      </c>
      <c r="S211" s="708">
        <f t="shared" si="528"/>
        <v>7.5217552305128679E-2</v>
      </c>
      <c r="T211" s="708">
        <f>T210/T7</f>
        <v>0.14677049546530849</v>
      </c>
      <c r="U211" s="708">
        <f>U210/U7</f>
        <v>0.21500036534870506</v>
      </c>
      <c r="V211" s="708">
        <f t="shared" ref="V211:W211" si="529">V210/V7</f>
        <v>0.15965470048393413</v>
      </c>
      <c r="W211" s="708">
        <f t="shared" si="529"/>
        <v>0.13503569068386445</v>
      </c>
      <c r="X211" s="745">
        <v>0.14000000000000001</v>
      </c>
      <c r="Y211" s="745">
        <v>0.14499999999999999</v>
      </c>
      <c r="Z211" s="745">
        <v>0.14749999999999999</v>
      </c>
      <c r="AA211" s="745">
        <v>0.14899999999999999</v>
      </c>
      <c r="AB211" s="745">
        <v>0.15</v>
      </c>
      <c r="AC211" s="745">
        <v>0.151</v>
      </c>
      <c r="AD211" s="745">
        <v>0.152</v>
      </c>
      <c r="AE211" s="340"/>
      <c r="AF211" s="340"/>
      <c r="AG211" s="340"/>
      <c r="AH211" s="340"/>
      <c r="AI211" s="340"/>
      <c r="AJ211" s="340"/>
      <c r="AK211" s="340"/>
      <c r="AL211" s="340"/>
      <c r="AM211" s="340"/>
    </row>
    <row r="212" spans="1:39" ht="15.75">
      <c r="A212" s="340"/>
      <c r="B212" s="692" t="s">
        <v>107</v>
      </c>
      <c r="C212" s="693"/>
      <c r="D212" s="693"/>
      <c r="E212" s="693"/>
      <c r="F212" s="693"/>
      <c r="G212" s="693"/>
      <c r="H212" s="693"/>
      <c r="I212" s="693"/>
      <c r="J212" s="693"/>
      <c r="K212" s="693"/>
      <c r="L212" s="693">
        <f t="shared" ref="L212:T212" si="530">K210-L210</f>
        <v>-471</v>
      </c>
      <c r="M212" s="693">
        <f t="shared" si="530"/>
        <v>120</v>
      </c>
      <c r="N212" s="693">
        <f t="shared" si="530"/>
        <v>-307</v>
      </c>
      <c r="O212" s="693">
        <f t="shared" si="530"/>
        <v>-474</v>
      </c>
      <c r="P212" s="693">
        <f t="shared" si="530"/>
        <v>-244</v>
      </c>
      <c r="Q212" s="693">
        <f t="shared" si="530"/>
        <v>-577</v>
      </c>
      <c r="R212" s="693">
        <f t="shared" si="530"/>
        <v>-142.40000000000009</v>
      </c>
      <c r="S212" s="693">
        <f t="shared" si="530"/>
        <v>470.40000000000009</v>
      </c>
      <c r="T212" s="693">
        <f t="shared" si="530"/>
        <v>-1660.1639999999998</v>
      </c>
      <c r="U212" s="708">
        <f>U211/U8</f>
        <v>2.1378734685029177</v>
      </c>
      <c r="V212" s="708">
        <f t="shared" ref="V212" si="531">V211/V8</f>
        <v>1.559725602543365</v>
      </c>
      <c r="W212" s="693">
        <f t="shared" ref="W212" si="532">V210-W210</f>
        <v>301.92299999999886</v>
      </c>
      <c r="X212" s="693">
        <f>W210-X210</f>
        <v>231.8113000000003</v>
      </c>
      <c r="Y212" s="693">
        <f>X210-Y210</f>
        <v>-529.45059999999921</v>
      </c>
      <c r="Z212" s="693">
        <f t="shared" ref="Z212:AD212" si="533">Y210-Z210</f>
        <v>-548.91887589511316</v>
      </c>
      <c r="AA212" s="693">
        <f t="shared" si="533"/>
        <v>-487.83194160733456</v>
      </c>
      <c r="AB212" s="693">
        <f t="shared" si="533"/>
        <v>-444.35032402518209</v>
      </c>
      <c r="AC212" s="693">
        <f t="shared" si="533"/>
        <v>-376.88572070917144</v>
      </c>
      <c r="AD212" s="693">
        <f t="shared" si="533"/>
        <v>-356.02664280994577</v>
      </c>
      <c r="AE212" s="340"/>
      <c r="AF212" s="340"/>
      <c r="AG212" s="340"/>
      <c r="AH212" s="340"/>
      <c r="AI212" s="340"/>
      <c r="AJ212" s="340"/>
      <c r="AK212" s="340"/>
      <c r="AL212" s="340"/>
      <c r="AM212" s="340"/>
    </row>
    <row r="213" spans="1:39" ht="15.75">
      <c r="A213" s="340"/>
      <c r="B213" s="692"/>
      <c r="C213" s="693"/>
      <c r="D213" s="693"/>
      <c r="E213" s="693"/>
      <c r="F213" s="693"/>
      <c r="G213" s="693"/>
      <c r="H213" s="693"/>
      <c r="I213" s="693"/>
      <c r="J213" s="693"/>
      <c r="K213" s="693"/>
      <c r="L213" s="693"/>
      <c r="M213" s="693"/>
      <c r="N213" s="693"/>
      <c r="O213" s="693"/>
      <c r="P213" s="693"/>
      <c r="Q213" s="693"/>
      <c r="R213" s="693"/>
      <c r="S213" s="693"/>
      <c r="T213" s="693"/>
      <c r="U213" s="693"/>
      <c r="V213" s="693"/>
      <c r="W213" s="693"/>
      <c r="X213" s="693"/>
      <c r="Y213" s="693"/>
      <c r="Z213" s="693"/>
      <c r="AA213" s="693"/>
      <c r="AB213" s="693"/>
      <c r="AC213" s="693"/>
      <c r="AD213" s="693"/>
      <c r="AE213" s="340"/>
      <c r="AF213" s="340"/>
      <c r="AG213" s="340"/>
      <c r="AH213" s="340"/>
      <c r="AI213" s="340"/>
      <c r="AJ213" s="340"/>
      <c r="AK213" s="340"/>
      <c r="AL213" s="340"/>
      <c r="AM213" s="340"/>
    </row>
    <row r="214" spans="1:39" ht="15.75">
      <c r="A214" s="340"/>
      <c r="B214" s="691" t="s">
        <v>108</v>
      </c>
      <c r="C214" s="697"/>
      <c r="D214" s="697"/>
      <c r="E214" s="697"/>
      <c r="F214" s="697"/>
      <c r="G214" s="697"/>
      <c r="H214" s="697"/>
      <c r="I214" s="697"/>
      <c r="J214" s="697"/>
      <c r="K214" s="697"/>
      <c r="L214" s="697">
        <f t="shared" ref="L214:Q214" si="534">L199+L202+L205-L209-L212</f>
        <v>659</v>
      </c>
      <c r="M214" s="697">
        <f t="shared" si="534"/>
        <v>-295.30000000000018</v>
      </c>
      <c r="N214" s="697">
        <f t="shared" ref="N214" si="535">N199+N202+N205-N209-N212</f>
        <v>-318.69999999999982</v>
      </c>
      <c r="O214" s="697">
        <f t="shared" si="534"/>
        <v>-677</v>
      </c>
      <c r="P214" s="697">
        <f t="shared" si="534"/>
        <v>-11</v>
      </c>
      <c r="Q214" s="697">
        <f t="shared" si="534"/>
        <v>1276</v>
      </c>
      <c r="R214" s="697">
        <f t="shared" ref="R214" si="536">R199+R202+R205-R209-R212</f>
        <v>594.40000000000009</v>
      </c>
      <c r="S214" s="697">
        <f t="shared" ref="S214:T214" si="537">S199+S202+S205-S209-S212</f>
        <v>-2224.4</v>
      </c>
      <c r="T214" s="697">
        <f t="shared" si="537"/>
        <v>1152.1639999999998</v>
      </c>
      <c r="U214" s="697">
        <f t="shared" ref="U214:W214" si="538">U199+U202+U205-U209-U212</f>
        <v>3.2921265314975439</v>
      </c>
      <c r="V214" s="697">
        <f t="shared" si="538"/>
        <v>-1597.8507256025437</v>
      </c>
      <c r="W214" s="697">
        <f t="shared" si="538"/>
        <v>248.09600000000125</v>
      </c>
      <c r="X214" s="697">
        <f>X199+X202+X205-X209-X212</f>
        <v>198.84208196179213</v>
      </c>
      <c r="Y214" s="697">
        <f>Y199+Y202+Y205-Y209-Y212</f>
        <v>155.51031429622833</v>
      </c>
      <c r="Z214" s="697">
        <f t="shared" ref="Z214:AD214" si="539">Z199+Z202+Z205-Z209-Z212</f>
        <v>106.08249196004806</v>
      </c>
      <c r="AA214" s="697">
        <f t="shared" si="539"/>
        <v>82.767404949281058</v>
      </c>
      <c r="AB214" s="697">
        <f t="shared" si="539"/>
        <v>69.422161559171514</v>
      </c>
      <c r="AC214" s="697">
        <f t="shared" si="539"/>
        <v>68.460143443315246</v>
      </c>
      <c r="AD214" s="697">
        <f t="shared" si="539"/>
        <v>70.560364584852664</v>
      </c>
      <c r="AE214" s="340"/>
      <c r="AF214" s="340"/>
      <c r="AG214" s="340"/>
      <c r="AH214" s="340"/>
      <c r="AI214" s="340"/>
      <c r="AJ214" s="340"/>
      <c r="AK214" s="340"/>
      <c r="AL214" s="340"/>
      <c r="AM214" s="340"/>
    </row>
    <row r="215" spans="1:39" ht="15.75">
      <c r="A215" s="340"/>
      <c r="B215" s="691"/>
      <c r="C215" s="697"/>
      <c r="D215" s="697"/>
      <c r="E215" s="697"/>
      <c r="F215" s="697"/>
      <c r="G215" s="697"/>
      <c r="H215" s="697"/>
      <c r="I215" s="697"/>
      <c r="J215" s="697"/>
      <c r="K215" s="697"/>
      <c r="L215" s="697"/>
      <c r="M215" s="697"/>
      <c r="N215" s="697"/>
      <c r="O215" s="697"/>
      <c r="P215" s="697"/>
      <c r="Q215" s="697"/>
      <c r="R215" s="697"/>
      <c r="S215" s="697"/>
      <c r="T215" s="697"/>
      <c r="U215" s="697"/>
      <c r="V215" s="697"/>
      <c r="W215" s="697"/>
      <c r="X215" s="697"/>
      <c r="Y215" s="697"/>
      <c r="Z215" s="697"/>
      <c r="AA215" s="697"/>
      <c r="AB215" s="697"/>
      <c r="AC215" s="697"/>
      <c r="AD215" s="697"/>
      <c r="AE215" s="340"/>
      <c r="AF215" s="340"/>
      <c r="AG215" s="340"/>
      <c r="AH215" s="340"/>
      <c r="AI215" s="340"/>
      <c r="AJ215" s="340"/>
      <c r="AK215" s="340"/>
      <c r="AL215" s="340"/>
      <c r="AM215" s="340"/>
    </row>
    <row r="216" spans="1:39" ht="15.75">
      <c r="A216" s="340"/>
      <c r="B216" s="691"/>
      <c r="C216" s="697"/>
      <c r="D216" s="697"/>
      <c r="E216" s="697"/>
      <c r="F216" s="697"/>
      <c r="G216" s="697"/>
      <c r="H216" s="697"/>
      <c r="I216" s="697"/>
      <c r="J216" s="697"/>
      <c r="K216" s="697"/>
      <c r="L216" s="697"/>
      <c r="M216" s="697"/>
      <c r="N216" s="697"/>
      <c r="O216" s="697"/>
      <c r="P216" s="697"/>
      <c r="Q216" s="697"/>
      <c r="R216" s="697"/>
      <c r="S216" s="697"/>
      <c r="T216" s="697"/>
      <c r="U216" s="697"/>
      <c r="V216" s="697"/>
      <c r="W216" s="697"/>
      <c r="X216" s="697"/>
      <c r="Y216" s="697"/>
      <c r="Z216" s="697"/>
      <c r="AA216" s="697"/>
      <c r="AB216" s="697"/>
      <c r="AC216" s="697"/>
      <c r="AD216" s="697"/>
      <c r="AE216" s="340"/>
      <c r="AF216" s="340"/>
      <c r="AG216" s="340"/>
      <c r="AH216" s="340"/>
      <c r="AI216" s="340"/>
      <c r="AJ216" s="340"/>
      <c r="AK216" s="340"/>
      <c r="AL216" s="340"/>
      <c r="AM216" s="340"/>
    </row>
    <row r="217" spans="1:39" ht="15.75">
      <c r="A217" s="340"/>
      <c r="B217" s="691"/>
      <c r="C217" s="697"/>
      <c r="D217" s="697"/>
      <c r="E217" s="697"/>
      <c r="F217" s="697"/>
      <c r="G217" s="697"/>
      <c r="H217" s="697"/>
      <c r="I217" s="697"/>
      <c r="J217" s="697"/>
      <c r="K217" s="697"/>
      <c r="L217" s="697"/>
      <c r="M217" s="697"/>
      <c r="N217" s="697"/>
      <c r="O217" s="697"/>
      <c r="P217" s="697"/>
      <c r="Q217" s="697"/>
      <c r="R217" s="697"/>
      <c r="S217" s="697"/>
      <c r="T217" s="697"/>
      <c r="U217" s="697"/>
      <c r="V217" s="697"/>
      <c r="W217" s="697"/>
      <c r="X217" s="697"/>
      <c r="Y217" s="697"/>
      <c r="Z217" s="697"/>
      <c r="AA217" s="697"/>
      <c r="AB217" s="697"/>
      <c r="AC217" s="697"/>
      <c r="AD217" s="697"/>
      <c r="AE217" s="340"/>
      <c r="AF217" s="340"/>
      <c r="AG217" s="340"/>
      <c r="AH217" s="340"/>
      <c r="AI217" s="340"/>
      <c r="AJ217" s="340"/>
      <c r="AK217" s="340"/>
      <c r="AL217" s="340"/>
      <c r="AM217" s="340"/>
    </row>
    <row r="218" spans="1:39" ht="15.75">
      <c r="A218" s="340"/>
      <c r="B218" s="689" t="s">
        <v>109</v>
      </c>
      <c r="C218" s="689">
        <v>2003</v>
      </c>
      <c r="D218" s="689">
        <f t="shared" ref="D218:T218" si="540">C218+1</f>
        <v>2004</v>
      </c>
      <c r="E218" s="689">
        <f t="shared" si="540"/>
        <v>2005</v>
      </c>
      <c r="F218" s="689">
        <f t="shared" si="540"/>
        <v>2006</v>
      </c>
      <c r="G218" s="689">
        <f t="shared" si="540"/>
        <v>2007</v>
      </c>
      <c r="H218" s="689">
        <f t="shared" si="540"/>
        <v>2008</v>
      </c>
      <c r="I218" s="689">
        <f t="shared" si="540"/>
        <v>2009</v>
      </c>
      <c r="J218" s="689">
        <f t="shared" si="540"/>
        <v>2010</v>
      </c>
      <c r="K218" s="689">
        <f t="shared" si="540"/>
        <v>2011</v>
      </c>
      <c r="L218" s="689">
        <f t="shared" si="540"/>
        <v>2012</v>
      </c>
      <c r="M218" s="689">
        <f t="shared" si="540"/>
        <v>2013</v>
      </c>
      <c r="N218" s="689">
        <f t="shared" si="540"/>
        <v>2014</v>
      </c>
      <c r="O218" s="689">
        <f t="shared" si="540"/>
        <v>2015</v>
      </c>
      <c r="P218" s="689">
        <f t="shared" si="540"/>
        <v>2016</v>
      </c>
      <c r="Q218" s="689">
        <f t="shared" si="540"/>
        <v>2017</v>
      </c>
      <c r="R218" s="689">
        <f t="shared" si="540"/>
        <v>2018</v>
      </c>
      <c r="S218" s="689">
        <f t="shared" si="540"/>
        <v>2019</v>
      </c>
      <c r="T218" s="689">
        <f t="shared" si="540"/>
        <v>2020</v>
      </c>
      <c r="U218" s="689">
        <f t="shared" ref="U218" si="541">T218+1</f>
        <v>2021</v>
      </c>
      <c r="V218" s="689">
        <f t="shared" ref="V218" si="542">U218+1</f>
        <v>2022</v>
      </c>
      <c r="W218" s="689">
        <f t="shared" ref="W218" si="543">V218+1</f>
        <v>2023</v>
      </c>
      <c r="X218" s="689">
        <f t="shared" ref="X218" si="544">W218+1</f>
        <v>2024</v>
      </c>
      <c r="Y218" s="689">
        <f t="shared" ref="Y218" si="545">X218+1</f>
        <v>2025</v>
      </c>
      <c r="Z218" s="689">
        <f t="shared" ref="Z218" si="546">Y218+1</f>
        <v>2026</v>
      </c>
      <c r="AA218" s="689">
        <f t="shared" ref="AA218" si="547">Z218+1</f>
        <v>2027</v>
      </c>
      <c r="AB218" s="689">
        <f t="shared" ref="AB218" si="548">AA218+1</f>
        <v>2028</v>
      </c>
      <c r="AC218" s="689">
        <f t="shared" ref="AC218" si="549">AB218+1</f>
        <v>2029</v>
      </c>
      <c r="AD218" s="689">
        <f t="shared" ref="AD218" si="550">AC218+1</f>
        <v>2030</v>
      </c>
      <c r="AE218" s="340"/>
      <c r="AF218" s="340"/>
      <c r="AG218" s="340"/>
      <c r="AH218" s="340"/>
      <c r="AI218" s="340"/>
      <c r="AJ218" s="340"/>
      <c r="AK218" s="340"/>
      <c r="AL218" s="340"/>
      <c r="AM218" s="340"/>
    </row>
    <row r="219" spans="1:39" ht="15.75">
      <c r="A219" s="340"/>
      <c r="B219" s="692" t="s">
        <v>109</v>
      </c>
      <c r="C219" s="693"/>
      <c r="D219" s="693">
        <f t="shared" ref="D219:O219" si="551">D223</f>
        <v>0</v>
      </c>
      <c r="E219" s="693">
        <f t="shared" si="551"/>
        <v>0</v>
      </c>
      <c r="F219" s="693">
        <f t="shared" si="551"/>
        <v>0</v>
      </c>
      <c r="G219" s="693">
        <f t="shared" si="551"/>
        <v>0</v>
      </c>
      <c r="H219" s="693">
        <f t="shared" si="551"/>
        <v>0</v>
      </c>
      <c r="I219" s="693">
        <f t="shared" si="551"/>
        <v>0</v>
      </c>
      <c r="J219" s="693">
        <f>J223</f>
        <v>0</v>
      </c>
      <c r="K219" s="693">
        <f>K223</f>
        <v>0</v>
      </c>
      <c r="L219" s="693">
        <f>L223</f>
        <v>0</v>
      </c>
      <c r="M219" s="693">
        <f>M223</f>
        <v>0</v>
      </c>
      <c r="N219" s="693">
        <f t="shared" si="551"/>
        <v>0</v>
      </c>
      <c r="O219" s="693">
        <f t="shared" si="551"/>
        <v>0</v>
      </c>
      <c r="P219" s="693">
        <f t="shared" ref="P219:Q219" si="552">P223</f>
        <v>0</v>
      </c>
      <c r="Q219" s="693">
        <f t="shared" si="552"/>
        <v>0</v>
      </c>
      <c r="R219" s="693">
        <f t="shared" ref="R219" si="553">R223</f>
        <v>0</v>
      </c>
      <c r="S219" s="693">
        <f t="shared" ref="S219" si="554">S223</f>
        <v>0</v>
      </c>
      <c r="T219" s="693">
        <f t="shared" ref="T219" si="555">T223</f>
        <v>0</v>
      </c>
      <c r="U219" s="693">
        <f t="shared" ref="U219:Y219" si="556">U223</f>
        <v>0</v>
      </c>
      <c r="V219" s="693">
        <f t="shared" si="556"/>
        <v>0</v>
      </c>
      <c r="W219" s="693">
        <f t="shared" si="556"/>
        <v>0</v>
      </c>
      <c r="X219" s="693">
        <f t="shared" si="556"/>
        <v>0</v>
      </c>
      <c r="Y219" s="693">
        <f t="shared" si="556"/>
        <v>0</v>
      </c>
      <c r="Z219" s="693">
        <f t="shared" ref="Z219:AD219" si="557">Z223</f>
        <v>0</v>
      </c>
      <c r="AA219" s="693">
        <f t="shared" si="557"/>
        <v>0</v>
      </c>
      <c r="AB219" s="693">
        <f t="shared" si="557"/>
        <v>0</v>
      </c>
      <c r="AC219" s="693">
        <f t="shared" si="557"/>
        <v>0</v>
      </c>
      <c r="AD219" s="693">
        <f t="shared" si="557"/>
        <v>0</v>
      </c>
      <c r="AE219" s="340"/>
      <c r="AF219" s="340"/>
      <c r="AG219" s="340"/>
      <c r="AH219" s="340"/>
      <c r="AI219" s="340"/>
      <c r="AJ219" s="340"/>
      <c r="AK219" s="340"/>
      <c r="AL219" s="340"/>
      <c r="AM219" s="340"/>
    </row>
    <row r="220" spans="1:39" ht="15.75">
      <c r="A220" s="340"/>
      <c r="B220" s="692" t="s">
        <v>85</v>
      </c>
      <c r="C220" s="693"/>
      <c r="D220" s="693"/>
      <c r="E220" s="693">
        <f t="shared" ref="E220:T220" si="558">D219-E219</f>
        <v>0</v>
      </c>
      <c r="F220" s="693">
        <f t="shared" si="558"/>
        <v>0</v>
      </c>
      <c r="G220" s="693">
        <f t="shared" si="558"/>
        <v>0</v>
      </c>
      <c r="H220" s="693">
        <f t="shared" si="558"/>
        <v>0</v>
      </c>
      <c r="I220" s="693">
        <f t="shared" si="558"/>
        <v>0</v>
      </c>
      <c r="J220" s="693">
        <f t="shared" si="558"/>
        <v>0</v>
      </c>
      <c r="K220" s="693">
        <f t="shared" si="558"/>
        <v>0</v>
      </c>
      <c r="L220" s="693">
        <f t="shared" si="558"/>
        <v>0</v>
      </c>
      <c r="M220" s="693">
        <f t="shared" si="558"/>
        <v>0</v>
      </c>
      <c r="N220" s="693">
        <f t="shared" si="558"/>
        <v>0</v>
      </c>
      <c r="O220" s="693">
        <f t="shared" si="558"/>
        <v>0</v>
      </c>
      <c r="P220" s="693">
        <f t="shared" si="558"/>
        <v>0</v>
      </c>
      <c r="Q220" s="693">
        <f t="shared" si="558"/>
        <v>0</v>
      </c>
      <c r="R220" s="693">
        <f t="shared" si="558"/>
        <v>0</v>
      </c>
      <c r="S220" s="693">
        <f t="shared" si="558"/>
        <v>0</v>
      </c>
      <c r="T220" s="693">
        <f t="shared" si="558"/>
        <v>0</v>
      </c>
      <c r="U220" s="693">
        <f t="shared" ref="U220" si="559">T219-U219</f>
        <v>0</v>
      </c>
      <c r="V220" s="693">
        <f t="shared" ref="V220" si="560">U219-V219</f>
        <v>0</v>
      </c>
      <c r="W220" s="693">
        <f t="shared" ref="W220" si="561">V219-W219</f>
        <v>0</v>
      </c>
      <c r="X220" s="693">
        <f t="shared" ref="X220" si="562">W219-X219</f>
        <v>0</v>
      </c>
      <c r="Y220" s="693">
        <f t="shared" ref="Y220" si="563">X219-Y219</f>
        <v>0</v>
      </c>
      <c r="Z220" s="693">
        <f t="shared" ref="Z220" si="564">Y219-Z219</f>
        <v>0</v>
      </c>
      <c r="AA220" s="693">
        <f t="shared" ref="AA220" si="565">Z219-AA219</f>
        <v>0</v>
      </c>
      <c r="AB220" s="693">
        <f t="shared" ref="AB220" si="566">AA219-AB219</f>
        <v>0</v>
      </c>
      <c r="AC220" s="693">
        <f t="shared" ref="AC220" si="567">AB219-AC219</f>
        <v>0</v>
      </c>
      <c r="AD220" s="693">
        <f t="shared" ref="AD220" si="568">AC219-AD219</f>
        <v>0</v>
      </c>
      <c r="AE220" s="340"/>
      <c r="AF220" s="340"/>
      <c r="AG220" s="340"/>
      <c r="AH220" s="340"/>
      <c r="AI220" s="340"/>
      <c r="AJ220" s="340"/>
      <c r="AK220" s="340"/>
      <c r="AL220" s="340"/>
      <c r="AM220" s="340"/>
    </row>
    <row r="221" spans="1:39" ht="15.75">
      <c r="A221" s="340"/>
      <c r="B221" s="692" t="s">
        <v>110</v>
      </c>
      <c r="C221" s="693"/>
      <c r="D221" s="711">
        <v>0</v>
      </c>
      <c r="E221" s="711">
        <v>0</v>
      </c>
      <c r="F221" s="711">
        <v>0</v>
      </c>
      <c r="G221" s="711">
        <v>0</v>
      </c>
      <c r="H221" s="711">
        <v>0</v>
      </c>
      <c r="I221" s="711">
        <v>0</v>
      </c>
      <c r="J221" s="711">
        <v>0</v>
      </c>
      <c r="K221" s="711">
        <v>0</v>
      </c>
      <c r="L221" s="711">
        <v>0</v>
      </c>
      <c r="M221" s="711">
        <v>0</v>
      </c>
      <c r="N221" s="711">
        <v>0</v>
      </c>
      <c r="O221" s="711">
        <v>0</v>
      </c>
      <c r="P221" s="711">
        <v>0</v>
      </c>
      <c r="Q221" s="711">
        <v>0</v>
      </c>
      <c r="R221" s="711">
        <v>0</v>
      </c>
      <c r="S221" s="711">
        <v>0</v>
      </c>
      <c r="T221" s="711">
        <v>0</v>
      </c>
      <c r="U221" s="711">
        <v>0</v>
      </c>
      <c r="V221" s="711">
        <v>0</v>
      </c>
      <c r="W221" s="711">
        <v>0</v>
      </c>
      <c r="X221" s="711">
        <v>0</v>
      </c>
      <c r="Y221" s="711">
        <v>0</v>
      </c>
      <c r="Z221" s="711">
        <v>0</v>
      </c>
      <c r="AA221" s="711">
        <v>0</v>
      </c>
      <c r="AB221" s="711">
        <v>0</v>
      </c>
      <c r="AC221" s="711">
        <v>0</v>
      </c>
      <c r="AD221" s="711">
        <v>0</v>
      </c>
      <c r="AE221" s="340"/>
      <c r="AF221" s="340"/>
      <c r="AG221" s="340"/>
      <c r="AH221" s="340"/>
      <c r="AI221" s="340"/>
      <c r="AJ221" s="340"/>
      <c r="AK221" s="340"/>
      <c r="AL221" s="340"/>
      <c r="AM221" s="340"/>
    </row>
    <row r="222" spans="1:39" ht="15.75">
      <c r="A222" s="340"/>
      <c r="B222" s="691"/>
      <c r="C222" s="697"/>
      <c r="D222" s="697"/>
      <c r="E222" s="697"/>
      <c r="F222" s="697"/>
      <c r="G222" s="697"/>
      <c r="H222" s="697"/>
      <c r="I222" s="697"/>
      <c r="J222" s="697"/>
      <c r="K222" s="697"/>
      <c r="L222" s="697"/>
      <c r="M222" s="697"/>
      <c r="N222" s="697"/>
      <c r="O222" s="697"/>
      <c r="P222" s="697"/>
      <c r="Q222" s="697"/>
      <c r="R222" s="697"/>
      <c r="S222" s="697"/>
      <c r="T222" s="697"/>
      <c r="U222" s="697"/>
      <c r="V222" s="697"/>
      <c r="W222" s="697"/>
      <c r="X222" s="697"/>
      <c r="Y222" s="697"/>
      <c r="Z222" s="697"/>
      <c r="AA222" s="697"/>
      <c r="AB222" s="697"/>
      <c r="AC222" s="697"/>
      <c r="AD222" s="697"/>
      <c r="AE222" s="340"/>
      <c r="AF222" s="340"/>
      <c r="AG222" s="340"/>
      <c r="AH222" s="340"/>
      <c r="AI222" s="340"/>
      <c r="AJ222" s="340"/>
      <c r="AK222" s="340"/>
      <c r="AL222" s="340"/>
      <c r="AM222" s="340"/>
    </row>
    <row r="223" spans="1:39" ht="15.75">
      <c r="A223" s="340"/>
      <c r="B223" s="692" t="s">
        <v>111</v>
      </c>
      <c r="C223" s="727"/>
      <c r="D223" s="728"/>
      <c r="E223" s="728"/>
      <c r="F223" s="728"/>
      <c r="G223" s="728"/>
      <c r="H223" s="728"/>
      <c r="I223" s="728"/>
      <c r="J223" s="728"/>
      <c r="K223" s="728"/>
      <c r="L223" s="728"/>
      <c r="M223" s="728"/>
      <c r="N223" s="728"/>
      <c r="O223" s="728"/>
      <c r="P223" s="728"/>
      <c r="Q223" s="728"/>
      <c r="R223" s="728"/>
      <c r="S223" s="728"/>
      <c r="T223" s="728"/>
      <c r="U223" s="728"/>
      <c r="V223" s="728"/>
      <c r="W223" s="728"/>
      <c r="X223" s="693">
        <f t="shared" ref="X223" si="569">W223+X224</f>
        <v>0</v>
      </c>
      <c r="Y223" s="693">
        <f t="shared" ref="Y223" si="570">X223+Y224</f>
        <v>0</v>
      </c>
      <c r="Z223" s="693">
        <f t="shared" ref="Z223" si="571">Y223+Z224</f>
        <v>0</v>
      </c>
      <c r="AA223" s="693">
        <f t="shared" ref="AA223" si="572">Z223+AA224</f>
        <v>0</v>
      </c>
      <c r="AB223" s="693">
        <f t="shared" ref="AB223" si="573">AA223+AB224</f>
        <v>0</v>
      </c>
      <c r="AC223" s="693">
        <f t="shared" ref="AC223" si="574">AB223+AC224</f>
        <v>0</v>
      </c>
      <c r="AD223" s="693">
        <f t="shared" ref="AD223" si="575">AC223+AD224</f>
        <v>0</v>
      </c>
      <c r="AE223" s="340"/>
      <c r="AF223" s="340"/>
      <c r="AG223" s="340"/>
      <c r="AH223" s="340"/>
      <c r="AI223" s="340"/>
      <c r="AJ223" s="340"/>
      <c r="AK223" s="340"/>
      <c r="AL223" s="340"/>
      <c r="AM223" s="340"/>
    </row>
    <row r="224" spans="1:39" ht="15.75">
      <c r="A224" s="340"/>
      <c r="B224" s="692" t="s">
        <v>112</v>
      </c>
      <c r="C224" s="693"/>
      <c r="D224" s="693"/>
      <c r="E224" s="693"/>
      <c r="F224" s="693"/>
      <c r="G224" s="693"/>
      <c r="H224" s="693"/>
      <c r="I224" s="693"/>
      <c r="J224" s="693"/>
      <c r="K224" s="693"/>
      <c r="L224" s="693"/>
      <c r="M224" s="693"/>
      <c r="N224" s="693"/>
      <c r="O224" s="693"/>
      <c r="P224" s="693"/>
      <c r="Q224" s="693"/>
      <c r="R224" s="693"/>
      <c r="S224" s="693"/>
      <c r="T224" s="693"/>
      <c r="U224" s="693"/>
      <c r="V224" s="693"/>
      <c r="W224" s="693"/>
      <c r="X224" s="711"/>
      <c r="Y224" s="711"/>
      <c r="Z224" s="711"/>
      <c r="AA224" s="711"/>
      <c r="AB224" s="711"/>
      <c r="AC224" s="711"/>
      <c r="AD224" s="711"/>
      <c r="AE224" s="340"/>
      <c r="AF224" s="340"/>
      <c r="AG224" s="340"/>
      <c r="AH224" s="340"/>
      <c r="AI224" s="340"/>
      <c r="AJ224" s="340"/>
      <c r="AK224" s="340"/>
      <c r="AL224" s="340"/>
      <c r="AM224" s="340"/>
    </row>
    <row r="225" spans="1:39" ht="15.75">
      <c r="A225" s="340"/>
      <c r="B225" s="691"/>
      <c r="C225" s="697"/>
      <c r="D225" s="697"/>
      <c r="E225" s="697"/>
      <c r="F225" s="697"/>
      <c r="G225" s="697"/>
      <c r="H225" s="697"/>
      <c r="I225" s="697"/>
      <c r="J225" s="697"/>
      <c r="K225" s="697"/>
      <c r="L225" s="697"/>
      <c r="M225" s="697"/>
      <c r="N225" s="697"/>
      <c r="O225" s="697"/>
      <c r="P225" s="697"/>
      <c r="Q225" s="697"/>
      <c r="R225" s="697"/>
      <c r="S225" s="697"/>
      <c r="T225" s="697"/>
      <c r="U225" s="697"/>
      <c r="V225" s="697"/>
      <c r="W225" s="697"/>
      <c r="X225" s="697"/>
      <c r="Y225" s="697"/>
      <c r="Z225" s="697"/>
      <c r="AA225" s="697"/>
      <c r="AB225" s="697"/>
      <c r="AC225" s="697"/>
      <c r="AD225" s="697"/>
      <c r="AE225" s="340"/>
      <c r="AF225" s="340"/>
      <c r="AG225" s="340"/>
      <c r="AH225" s="340"/>
      <c r="AI225" s="340"/>
      <c r="AJ225" s="340"/>
      <c r="AK225" s="340"/>
      <c r="AL225" s="340"/>
      <c r="AM225" s="340"/>
    </row>
    <row r="226" spans="1:39" ht="15.75">
      <c r="A226" s="340"/>
      <c r="B226" s="692" t="s">
        <v>113</v>
      </c>
      <c r="C226" s="727"/>
      <c r="D226" s="728"/>
      <c r="E226" s="728"/>
      <c r="F226" s="728"/>
      <c r="G226" s="728"/>
      <c r="H226" s="728"/>
      <c r="I226" s="728"/>
      <c r="J226" s="728"/>
      <c r="K226" s="728"/>
      <c r="L226" s="728"/>
      <c r="M226" s="728"/>
      <c r="N226" s="728"/>
      <c r="O226" s="728"/>
      <c r="P226" s="728"/>
      <c r="Q226" s="728"/>
      <c r="R226" s="728"/>
      <c r="S226" s="728"/>
      <c r="T226" s="728"/>
      <c r="U226" s="728"/>
      <c r="V226" s="728"/>
      <c r="W226" s="728"/>
      <c r="X226" s="693">
        <f>W226-X14+X227</f>
        <v>-0.13009312960852015</v>
      </c>
      <c r="Y226" s="693">
        <f>X226-Y14+Y227</f>
        <v>-0.23978179239170339</v>
      </c>
      <c r="Z226" s="693">
        <f t="shared" ref="Z226:AD226" si="576">Y226-Z14+Z227</f>
        <v>-0.33699125112902695</v>
      </c>
      <c r="AA226" s="693">
        <f t="shared" si="576"/>
        <v>-0.39445247394474414</v>
      </c>
      <c r="AB226" s="693">
        <f t="shared" si="576"/>
        <v>-0.4443953683514188</v>
      </c>
      <c r="AC226" s="693">
        <f t="shared" si="576"/>
        <v>-0.49083498522252578</v>
      </c>
      <c r="AD226" s="693">
        <f t="shared" si="576"/>
        <v>-0.53606005508223498</v>
      </c>
      <c r="AE226" s="340"/>
      <c r="AF226" s="340"/>
      <c r="AG226" s="340"/>
      <c r="AH226" s="340"/>
      <c r="AI226" s="340"/>
      <c r="AJ226" s="340"/>
      <c r="AK226" s="340"/>
      <c r="AL226" s="340"/>
      <c r="AM226" s="340"/>
    </row>
    <row r="227" spans="1:39" ht="15.75">
      <c r="A227" s="340"/>
      <c r="B227" s="692" t="s">
        <v>114</v>
      </c>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11"/>
      <c r="Y227" s="711"/>
      <c r="Z227" s="711"/>
      <c r="AA227" s="711"/>
      <c r="AB227" s="711"/>
      <c r="AC227" s="711"/>
      <c r="AD227" s="711"/>
      <c r="AE227" s="340"/>
      <c r="AF227" s="340"/>
      <c r="AG227" s="340"/>
      <c r="AH227" s="340"/>
      <c r="AI227" s="340"/>
      <c r="AJ227" s="340"/>
      <c r="AK227" s="340"/>
      <c r="AL227" s="340"/>
      <c r="AM227" s="340"/>
    </row>
    <row r="228" spans="1:39" ht="15.75">
      <c r="A228" s="340"/>
      <c r="B228" s="691"/>
      <c r="C228" s="697"/>
      <c r="D228" s="697"/>
      <c r="E228" s="697"/>
      <c r="F228" s="697"/>
      <c r="G228" s="697"/>
      <c r="H228" s="697"/>
      <c r="I228" s="697"/>
      <c r="J228" s="697"/>
      <c r="K228" s="697"/>
      <c r="L228" s="697"/>
      <c r="M228" s="697"/>
      <c r="N228" s="697"/>
      <c r="O228" s="697"/>
      <c r="P228" s="697"/>
      <c r="Q228" s="697"/>
      <c r="R228" s="697"/>
      <c r="S228" s="697"/>
      <c r="T228" s="697"/>
      <c r="U228" s="697"/>
      <c r="V228" s="697"/>
      <c r="W228" s="697"/>
      <c r="X228" s="697"/>
      <c r="Y228" s="697"/>
      <c r="Z228" s="697"/>
      <c r="AA228" s="697"/>
      <c r="AB228" s="697"/>
      <c r="AC228" s="697"/>
      <c r="AD228" s="697"/>
      <c r="AE228" s="340"/>
      <c r="AF228" s="340"/>
      <c r="AG228" s="340"/>
      <c r="AH228" s="340"/>
      <c r="AI228" s="340"/>
      <c r="AJ228" s="340"/>
      <c r="AK228" s="340"/>
      <c r="AL228" s="340"/>
      <c r="AM228" s="340"/>
    </row>
    <row r="229" spans="1:39" ht="15.75">
      <c r="A229" s="340"/>
      <c r="B229" s="692" t="s">
        <v>39</v>
      </c>
      <c r="C229" s="693"/>
      <c r="D229" s="711"/>
      <c r="E229" s="711"/>
      <c r="F229" s="711"/>
      <c r="G229" s="711"/>
      <c r="H229" s="711"/>
      <c r="I229" s="711"/>
      <c r="J229" s="711"/>
      <c r="K229" s="711"/>
      <c r="L229" s="711">
        <f>2036-L76-L226</f>
        <v>2007</v>
      </c>
      <c r="M229" s="711">
        <f>4852-M76-M226</f>
        <v>2737</v>
      </c>
      <c r="N229" s="711">
        <f>5102-N76-N226</f>
        <v>2887</v>
      </c>
      <c r="O229" s="711">
        <f>4331-O76-O226</f>
        <v>3315</v>
      </c>
      <c r="P229" s="711">
        <f>4897-P76-P226</f>
        <v>2832</v>
      </c>
      <c r="Q229" s="711">
        <f>6721-Q76-Q226</f>
        <v>2800</v>
      </c>
      <c r="R229" s="711">
        <f>2908-R76-R226</f>
        <v>2787.7</v>
      </c>
      <c r="S229" s="711">
        <f>9619-S76-S226</f>
        <v>2871</v>
      </c>
      <c r="T229" s="711">
        <f>9653-T76-T226</f>
        <v>3062.5</v>
      </c>
      <c r="U229" s="711">
        <f>6662-U76-U226</f>
        <v>2850</v>
      </c>
      <c r="V229" s="711">
        <f>15001.797-V76-V226</f>
        <v>4189.866</v>
      </c>
      <c r="W229" s="711">
        <f>21271.595-W76-W226</f>
        <v>5136.8230000000003</v>
      </c>
      <c r="X229" s="693">
        <f t="shared" ref="X229" si="577">W229</f>
        <v>5136.8230000000003</v>
      </c>
      <c r="Y229" s="693">
        <f t="shared" ref="Y229" si="578">X229</f>
        <v>5136.8230000000003</v>
      </c>
      <c r="Z229" s="693">
        <f t="shared" ref="Z229" si="579">Y229</f>
        <v>5136.8230000000003</v>
      </c>
      <c r="AA229" s="693">
        <f t="shared" ref="AA229" si="580">Z229</f>
        <v>5136.8230000000003</v>
      </c>
      <c r="AB229" s="693">
        <f t="shared" ref="AB229" si="581">AA229</f>
        <v>5136.8230000000003</v>
      </c>
      <c r="AC229" s="693">
        <f t="shared" ref="AC229" si="582">AB229</f>
        <v>5136.8230000000003</v>
      </c>
      <c r="AD229" s="693">
        <f t="shared" ref="AD229" si="583">AC229</f>
        <v>5136.8230000000003</v>
      </c>
      <c r="AE229" s="340"/>
      <c r="AF229" s="340"/>
      <c r="AG229" s="340"/>
      <c r="AH229" s="340"/>
      <c r="AI229" s="340"/>
      <c r="AJ229" s="340"/>
      <c r="AK229" s="340"/>
      <c r="AL229" s="340"/>
      <c r="AM229" s="340"/>
    </row>
    <row r="230" spans="1:39" ht="15.75">
      <c r="A230" s="340"/>
      <c r="B230" s="691"/>
      <c r="C230" s="697"/>
      <c r="D230" s="697"/>
      <c r="E230" s="697"/>
      <c r="F230" s="697"/>
      <c r="G230" s="697"/>
      <c r="H230" s="697"/>
      <c r="I230" s="697"/>
      <c r="J230" s="697"/>
      <c r="K230" s="697"/>
      <c r="L230" s="697"/>
      <c r="M230" s="697"/>
      <c r="N230" s="697"/>
      <c r="O230" s="697"/>
      <c r="P230" s="697"/>
      <c r="Q230" s="697"/>
      <c r="R230" s="697"/>
      <c r="S230" s="697"/>
      <c r="T230" s="697"/>
      <c r="U230" s="697"/>
      <c r="V230" s="697"/>
      <c r="W230" s="697"/>
      <c r="X230" s="697"/>
      <c r="Y230" s="697"/>
      <c r="Z230" s="697"/>
      <c r="AA230" s="697"/>
      <c r="AB230" s="697"/>
      <c r="AC230" s="697"/>
      <c r="AD230" s="697"/>
      <c r="AE230" s="340"/>
      <c r="AF230" s="340"/>
      <c r="AG230" s="340"/>
      <c r="AH230" s="340"/>
      <c r="AI230" s="340"/>
      <c r="AJ230" s="340"/>
      <c r="AK230" s="340"/>
      <c r="AL230" s="340"/>
      <c r="AM230" s="340"/>
    </row>
    <row r="231" spans="1:39" ht="15.75">
      <c r="A231" s="340"/>
      <c r="B231" s="691"/>
      <c r="C231" s="697"/>
      <c r="D231" s="697"/>
      <c r="E231" s="697"/>
      <c r="F231" s="697"/>
      <c r="G231" s="697"/>
      <c r="H231" s="697"/>
      <c r="I231" s="697"/>
      <c r="J231" s="697"/>
      <c r="K231" s="697"/>
      <c r="L231" s="697"/>
      <c r="M231" s="697"/>
      <c r="N231" s="697"/>
      <c r="O231" s="697"/>
      <c r="P231" s="697"/>
      <c r="Q231" s="697"/>
      <c r="R231" s="697"/>
      <c r="S231" s="697"/>
      <c r="T231" s="697"/>
      <c r="U231" s="697"/>
      <c r="V231" s="697"/>
      <c r="W231" s="697"/>
      <c r="X231" s="697"/>
      <c r="Y231" s="697"/>
      <c r="Z231" s="697"/>
      <c r="AA231" s="697"/>
      <c r="AB231" s="697"/>
      <c r="AC231" s="697"/>
      <c r="AD231" s="697"/>
      <c r="AE231" s="340"/>
      <c r="AF231" s="340"/>
      <c r="AG231" s="340"/>
      <c r="AH231" s="340"/>
      <c r="AI231" s="340"/>
      <c r="AJ231" s="340"/>
      <c r="AK231" s="340"/>
      <c r="AL231" s="340"/>
      <c r="AM231" s="340"/>
    </row>
    <row r="232" spans="1:39" ht="15.75">
      <c r="A232" s="340"/>
      <c r="B232" s="691"/>
      <c r="C232" s="697"/>
      <c r="D232" s="697"/>
      <c r="E232" s="697"/>
      <c r="F232" s="697"/>
      <c r="G232" s="697"/>
      <c r="H232" s="697"/>
      <c r="I232" s="697"/>
      <c r="J232" s="697"/>
      <c r="K232" s="697"/>
      <c r="L232" s="697"/>
      <c r="M232" s="697"/>
      <c r="N232" s="697"/>
      <c r="O232" s="697"/>
      <c r="P232" s="697"/>
      <c r="Q232" s="697"/>
      <c r="R232" s="697"/>
      <c r="S232" s="697"/>
      <c r="T232" s="697"/>
      <c r="U232" s="697"/>
      <c r="V232" s="697"/>
      <c r="W232" s="697"/>
      <c r="X232" s="697"/>
      <c r="Y232" s="697"/>
      <c r="Z232" s="697"/>
      <c r="AA232" s="697"/>
      <c r="AB232" s="697"/>
      <c r="AC232" s="697"/>
      <c r="AD232" s="697"/>
      <c r="AE232" s="340"/>
      <c r="AF232" s="340"/>
      <c r="AG232" s="340"/>
      <c r="AH232" s="340"/>
      <c r="AI232" s="340"/>
      <c r="AJ232" s="340"/>
      <c r="AK232" s="340"/>
      <c r="AL232" s="340"/>
      <c r="AM232" s="340"/>
    </row>
    <row r="233" spans="1:39" ht="15.75">
      <c r="A233" s="340"/>
      <c r="B233" s="689" t="s">
        <v>14</v>
      </c>
      <c r="C233" s="689">
        <v>2003</v>
      </c>
      <c r="D233" s="689">
        <f t="shared" ref="D233:T233" si="584">C233+1</f>
        <v>2004</v>
      </c>
      <c r="E233" s="689">
        <f t="shared" si="584"/>
        <v>2005</v>
      </c>
      <c r="F233" s="689">
        <f t="shared" si="584"/>
        <v>2006</v>
      </c>
      <c r="G233" s="689">
        <f t="shared" si="584"/>
        <v>2007</v>
      </c>
      <c r="H233" s="689">
        <f t="shared" si="584"/>
        <v>2008</v>
      </c>
      <c r="I233" s="689">
        <f t="shared" si="584"/>
        <v>2009</v>
      </c>
      <c r="J233" s="689">
        <f t="shared" si="584"/>
        <v>2010</v>
      </c>
      <c r="K233" s="689">
        <f t="shared" si="584"/>
        <v>2011</v>
      </c>
      <c r="L233" s="689">
        <f t="shared" si="584"/>
        <v>2012</v>
      </c>
      <c r="M233" s="689">
        <f t="shared" si="584"/>
        <v>2013</v>
      </c>
      <c r="N233" s="689">
        <f t="shared" si="584"/>
        <v>2014</v>
      </c>
      <c r="O233" s="689">
        <f t="shared" si="584"/>
        <v>2015</v>
      </c>
      <c r="P233" s="689">
        <f t="shared" si="584"/>
        <v>2016</v>
      </c>
      <c r="Q233" s="689">
        <f t="shared" si="584"/>
        <v>2017</v>
      </c>
      <c r="R233" s="689">
        <f t="shared" si="584"/>
        <v>2018</v>
      </c>
      <c r="S233" s="689">
        <f t="shared" si="584"/>
        <v>2019</v>
      </c>
      <c r="T233" s="689">
        <f t="shared" si="584"/>
        <v>2020</v>
      </c>
      <c r="U233" s="689">
        <f t="shared" ref="U233" si="585">T233+1</f>
        <v>2021</v>
      </c>
      <c r="V233" s="689">
        <f t="shared" ref="V233" si="586">U233+1</f>
        <v>2022</v>
      </c>
      <c r="W233" s="689">
        <f t="shared" ref="W233" si="587">V233+1</f>
        <v>2023</v>
      </c>
      <c r="X233" s="689">
        <f t="shared" ref="X233" si="588">W233+1</f>
        <v>2024</v>
      </c>
      <c r="Y233" s="689">
        <f t="shared" ref="Y233" si="589">X233+1</f>
        <v>2025</v>
      </c>
      <c r="Z233" s="689">
        <f t="shared" ref="Z233" si="590">Y233+1</f>
        <v>2026</v>
      </c>
      <c r="AA233" s="689">
        <f t="shared" ref="AA233" si="591">Z233+1</f>
        <v>2027</v>
      </c>
      <c r="AB233" s="689">
        <f t="shared" ref="AB233" si="592">AA233+1</f>
        <v>2028</v>
      </c>
      <c r="AC233" s="689">
        <f t="shared" ref="AC233" si="593">AB233+1</f>
        <v>2029</v>
      </c>
      <c r="AD233" s="689">
        <f t="shared" ref="AD233" si="594">AC233+1</f>
        <v>2030</v>
      </c>
      <c r="AE233" s="340"/>
      <c r="AF233" s="340"/>
      <c r="AG233" s="340"/>
      <c r="AH233" s="340"/>
      <c r="AI233" s="340"/>
      <c r="AJ233" s="340"/>
      <c r="AK233" s="340"/>
      <c r="AL233" s="340"/>
      <c r="AM233" s="340"/>
    </row>
    <row r="234" spans="1:39" ht="15.75">
      <c r="A234" s="340"/>
      <c r="B234" s="692" t="s">
        <v>14</v>
      </c>
      <c r="C234" s="727"/>
      <c r="D234" s="728"/>
      <c r="E234" s="728"/>
      <c r="F234" s="728"/>
      <c r="G234" s="728"/>
      <c r="H234" s="728"/>
      <c r="I234" s="728"/>
      <c r="J234" s="728"/>
      <c r="K234" s="728"/>
      <c r="L234" s="728">
        <v>502</v>
      </c>
      <c r="M234" s="728">
        <v>872</v>
      </c>
      <c r="N234" s="728">
        <v>785.5</v>
      </c>
      <c r="O234" s="728">
        <v>959</v>
      </c>
      <c r="P234" s="728">
        <v>845</v>
      </c>
      <c r="Q234" s="728">
        <v>1013</v>
      </c>
      <c r="R234" s="728">
        <v>1347</v>
      </c>
      <c r="S234" s="728">
        <v>1267</v>
      </c>
      <c r="T234" s="728">
        <v>1430</v>
      </c>
      <c r="U234" s="728">
        <v>1645.319</v>
      </c>
      <c r="V234" s="728">
        <v>1614.981</v>
      </c>
      <c r="W234" s="728">
        <v>1301.4839999999999</v>
      </c>
      <c r="X234" s="693">
        <f ca="1">X235+X236</f>
        <v>1437.1241194690544</v>
      </c>
      <c r="Y234" s="693">
        <f ca="1">Y235+Y236</f>
        <v>1905.0586711156668</v>
      </c>
      <c r="Z234" s="693">
        <f t="shared" ref="Z234:AD234" ca="1" si="595">Z235+Z236</f>
        <v>2333.4477373355148</v>
      </c>
      <c r="AA234" s="693">
        <f t="shared" ca="1" si="595"/>
        <v>2672.7826846112007</v>
      </c>
      <c r="AB234" s="693">
        <f t="shared" ca="1" si="595"/>
        <v>3009.0100341846642</v>
      </c>
      <c r="AC234" s="693">
        <f t="shared" ca="1" si="595"/>
        <v>3281.699801869554</v>
      </c>
      <c r="AD234" s="693">
        <f t="shared" ca="1" si="595"/>
        <v>3481.0411801798373</v>
      </c>
      <c r="AE234" s="340"/>
      <c r="AF234" s="340"/>
      <c r="AG234" s="340"/>
      <c r="AH234" s="340"/>
      <c r="AI234" s="340"/>
      <c r="AJ234" s="340"/>
      <c r="AK234" s="340"/>
      <c r="AL234" s="340"/>
      <c r="AM234" s="340"/>
    </row>
    <row r="235" spans="1:39" ht="15.75">
      <c r="A235" s="340"/>
      <c r="B235" s="692" t="s">
        <v>115</v>
      </c>
      <c r="C235" s="692"/>
      <c r="D235" s="692"/>
      <c r="E235" s="692"/>
      <c r="F235" s="692"/>
      <c r="G235" s="692"/>
      <c r="H235" s="692"/>
      <c r="I235" s="692"/>
      <c r="J235" s="692"/>
      <c r="K235" s="692"/>
      <c r="L235" s="692"/>
      <c r="M235" s="692"/>
      <c r="N235" s="692"/>
      <c r="O235" s="692"/>
      <c r="P235" s="692"/>
      <c r="Q235" s="692"/>
      <c r="R235" s="692"/>
      <c r="S235" s="692"/>
      <c r="T235" s="692"/>
      <c r="U235" s="692"/>
      <c r="V235" s="692"/>
      <c r="W235" s="692"/>
      <c r="X235" s="728">
        <v>0</v>
      </c>
      <c r="Y235" s="728">
        <v>0</v>
      </c>
      <c r="Z235" s="728">
        <v>0</v>
      </c>
      <c r="AA235" s="728">
        <v>0</v>
      </c>
      <c r="AB235" s="728">
        <v>0</v>
      </c>
      <c r="AC235" s="728">
        <v>0</v>
      </c>
      <c r="AD235" s="728">
        <v>0</v>
      </c>
      <c r="AE235" s="340"/>
      <c r="AF235" s="340"/>
      <c r="AG235" s="340"/>
      <c r="AH235" s="340"/>
      <c r="AI235" s="340"/>
      <c r="AJ235" s="340"/>
      <c r="AK235" s="340"/>
      <c r="AL235" s="340"/>
      <c r="AM235" s="340"/>
    </row>
    <row r="236" spans="1:39" ht="15.75">
      <c r="A236" s="340"/>
      <c r="B236" s="692" t="s">
        <v>116</v>
      </c>
      <c r="C236" s="693"/>
      <c r="D236" s="692"/>
      <c r="E236" s="692"/>
      <c r="F236" s="692"/>
      <c r="G236" s="692"/>
      <c r="H236" s="692"/>
      <c r="I236" s="692"/>
      <c r="J236" s="692"/>
      <c r="K236" s="692"/>
      <c r="L236" s="693">
        <f t="shared" ref="L236:Q236" si="596">L234</f>
        <v>502</v>
      </c>
      <c r="M236" s="693">
        <f t="shared" si="596"/>
        <v>872</v>
      </c>
      <c r="N236" s="693">
        <f t="shared" si="596"/>
        <v>785.5</v>
      </c>
      <c r="O236" s="693">
        <f t="shared" si="596"/>
        <v>959</v>
      </c>
      <c r="P236" s="693">
        <f t="shared" si="596"/>
        <v>845</v>
      </c>
      <c r="Q236" s="693">
        <f t="shared" si="596"/>
        <v>1013</v>
      </c>
      <c r="R236" s="693">
        <f t="shared" ref="R236:T236" si="597">R234</f>
        <v>1347</v>
      </c>
      <c r="S236" s="693">
        <f t="shared" si="597"/>
        <v>1267</v>
      </c>
      <c r="T236" s="693">
        <f t="shared" si="597"/>
        <v>1430</v>
      </c>
      <c r="U236" s="693">
        <f ca="1">U245</f>
        <v>1335.0124491413219</v>
      </c>
      <c r="V236" s="693">
        <f>V245</f>
        <v>1416.9479524824808</v>
      </c>
      <c r="W236" s="693">
        <f>W245</f>
        <v>1290.0766599965857</v>
      </c>
      <c r="X236" s="693">
        <f ca="1">X245</f>
        <v>1437.1241194690544</v>
      </c>
      <c r="Y236" s="693">
        <f ca="1">Y245</f>
        <v>1905.0586711156668</v>
      </c>
      <c r="Z236" s="693">
        <f t="shared" ref="Z236:AD236" ca="1" si="598">Z245</f>
        <v>2333.4477373355148</v>
      </c>
      <c r="AA236" s="693">
        <f t="shared" ca="1" si="598"/>
        <v>2672.7826846112007</v>
      </c>
      <c r="AB236" s="693">
        <f t="shared" ca="1" si="598"/>
        <v>3009.0100341846642</v>
      </c>
      <c r="AC236" s="693">
        <f t="shared" ca="1" si="598"/>
        <v>3281.6998018695544</v>
      </c>
      <c r="AD236" s="693">
        <f t="shared" ca="1" si="598"/>
        <v>3481.0411801798377</v>
      </c>
      <c r="AE236" s="340"/>
      <c r="AF236" s="340"/>
      <c r="AG236" s="340"/>
      <c r="AH236" s="340"/>
      <c r="AI236" s="340"/>
      <c r="AJ236" s="340"/>
      <c r="AK236" s="340"/>
      <c r="AL236" s="340"/>
      <c r="AM236" s="340"/>
    </row>
    <row r="237" spans="1:39" ht="15.75">
      <c r="A237" s="340"/>
      <c r="B237" s="692"/>
      <c r="C237" s="692"/>
      <c r="D237" s="692"/>
      <c r="E237" s="692"/>
      <c r="F237" s="692"/>
      <c r="G237" s="692"/>
      <c r="H237" s="692"/>
      <c r="I237" s="692"/>
      <c r="J237" s="692"/>
      <c r="K237" s="692"/>
      <c r="L237" s="692"/>
      <c r="M237" s="692"/>
      <c r="N237" s="692"/>
      <c r="O237" s="692"/>
      <c r="P237" s="692"/>
      <c r="Q237" s="692"/>
      <c r="R237" s="692"/>
      <c r="S237" s="692"/>
      <c r="T237" s="692"/>
      <c r="U237" s="692"/>
      <c r="V237" s="692"/>
      <c r="W237" s="692"/>
      <c r="X237" s="692"/>
      <c r="Y237" s="692"/>
      <c r="Z237" s="692"/>
      <c r="AA237" s="692"/>
      <c r="AB237" s="692"/>
      <c r="AC237" s="692"/>
      <c r="AD237" s="692"/>
      <c r="AE237" s="340"/>
      <c r="AF237" s="340"/>
      <c r="AG237" s="340"/>
      <c r="AH237" s="340"/>
      <c r="AI237" s="340"/>
      <c r="AJ237" s="340"/>
      <c r="AK237" s="340"/>
      <c r="AL237" s="340"/>
      <c r="AM237" s="340"/>
    </row>
    <row r="238" spans="1:39" ht="15.75">
      <c r="A238" s="340"/>
      <c r="B238" s="692" t="s">
        <v>4</v>
      </c>
      <c r="C238" s="693"/>
      <c r="D238" s="692"/>
      <c r="E238" s="692"/>
      <c r="F238" s="692"/>
      <c r="G238" s="692"/>
      <c r="H238" s="692"/>
      <c r="I238" s="692"/>
      <c r="J238" s="692"/>
      <c r="K238" s="692"/>
      <c r="L238" s="693">
        <f t="shared" ref="L238:T238" si="599">L17</f>
        <v>3777</v>
      </c>
      <c r="M238" s="693">
        <f t="shared" si="599"/>
        <v>4356</v>
      </c>
      <c r="N238" s="693">
        <f t="shared" si="599"/>
        <v>4847</v>
      </c>
      <c r="O238" s="693">
        <f t="shared" si="599"/>
        <v>5843</v>
      </c>
      <c r="P238" s="693">
        <f t="shared" si="599"/>
        <v>6915</v>
      </c>
      <c r="Q238" s="693">
        <f t="shared" si="599"/>
        <v>7715</v>
      </c>
      <c r="R238" s="693">
        <f t="shared" si="599"/>
        <v>9347</v>
      </c>
      <c r="S238" s="693">
        <f t="shared" si="599"/>
        <v>10161</v>
      </c>
      <c r="T238" s="693">
        <f t="shared" si="599"/>
        <v>11037</v>
      </c>
      <c r="U238" s="693">
        <f t="shared" ref="U238" si="600">U17</f>
        <v>12116</v>
      </c>
      <c r="V238" s="693">
        <f>V17</f>
        <v>12769.018</v>
      </c>
      <c r="W238" s="693">
        <f>W17</f>
        <v>13319.993</v>
      </c>
      <c r="X238" s="693">
        <f>X17</f>
        <v>15052.832575733581</v>
      </c>
      <c r="Y238" s="693">
        <f>Y17</f>
        <v>16703.957652064935</v>
      </c>
      <c r="Z238" s="693">
        <f t="shared" ref="Z238:AD238" si="601">Z17</f>
        <v>18327.740334193342</v>
      </c>
      <c r="AA238" s="693">
        <f t="shared" si="601"/>
        <v>19380.874705245034</v>
      </c>
      <c r="AB238" s="693">
        <f t="shared" si="601"/>
        <v>20348.811684158078</v>
      </c>
      <c r="AC238" s="693">
        <f t="shared" si="601"/>
        <v>21293.802702552686</v>
      </c>
      <c r="AD238" s="693">
        <f t="shared" si="601"/>
        <v>22256.816417354494</v>
      </c>
      <c r="AE238" s="340"/>
      <c r="AF238" s="340"/>
      <c r="AG238" s="340"/>
      <c r="AH238" s="340"/>
      <c r="AI238" s="340"/>
      <c r="AJ238" s="340"/>
      <c r="AK238" s="340"/>
      <c r="AL238" s="340"/>
      <c r="AM238" s="340"/>
    </row>
    <row r="239" spans="1:39" ht="15.75">
      <c r="A239" s="340"/>
      <c r="B239" s="692" t="s">
        <v>117</v>
      </c>
      <c r="C239" s="693"/>
      <c r="D239" s="692"/>
      <c r="E239" s="692"/>
      <c r="F239" s="692"/>
      <c r="G239" s="692"/>
      <c r="H239" s="692"/>
      <c r="I239" s="692"/>
      <c r="J239" s="692"/>
      <c r="K239" s="692"/>
      <c r="L239" s="693">
        <f t="shared" ref="L239:R239" si="602">-L112</f>
        <v>-1057</v>
      </c>
      <c r="M239" s="693">
        <f t="shared" si="602"/>
        <v>-1250</v>
      </c>
      <c r="N239" s="693">
        <f t="shared" si="602"/>
        <v>-1568.4258762383101</v>
      </c>
      <c r="O239" s="693">
        <f t="shared" si="602"/>
        <v>-1713.2656745924075</v>
      </c>
      <c r="P239" s="693">
        <f t="shared" si="602"/>
        <v>-1920.4375825680488</v>
      </c>
      <c r="Q239" s="693">
        <f t="shared" si="602"/>
        <v>-2340.6760477987059</v>
      </c>
      <c r="R239" s="693">
        <f t="shared" si="602"/>
        <v>-3065.9518946641206</v>
      </c>
      <c r="S239" s="693">
        <f t="shared" ref="S239:T239" si="603">-S112</f>
        <v>-3735.8101653162016</v>
      </c>
      <c r="T239" s="693">
        <f t="shared" si="603"/>
        <v>-4341.2585929249944</v>
      </c>
      <c r="U239" s="693">
        <f t="shared" ref="U239:V239" si="604">-U112</f>
        <v>-5044.4335948121734</v>
      </c>
      <c r="V239" s="693">
        <f t="shared" si="604"/>
        <v>-6269.3956204352562</v>
      </c>
      <c r="W239" s="693">
        <f>-W112</f>
        <v>-7168.0581071077886</v>
      </c>
      <c r="X239" s="693">
        <f>-X112</f>
        <v>-8279.8086283226457</v>
      </c>
      <c r="Y239" s="693">
        <f ca="1">-Y112</f>
        <v>-8293.0353476439795</v>
      </c>
      <c r="Z239" s="693">
        <f t="shared" ref="Z239:AD239" ca="1" si="605">-Z112</f>
        <v>-8588.6902043931095</v>
      </c>
      <c r="AA239" s="693">
        <f t="shared" ca="1" si="605"/>
        <v>-8776.8049745311455</v>
      </c>
      <c r="AB239" s="693">
        <f t="shared" ca="1" si="605"/>
        <v>-8895.8140103336191</v>
      </c>
      <c r="AC239" s="693">
        <f t="shared" ca="1" si="605"/>
        <v>-9070.6402938320389</v>
      </c>
      <c r="AD239" s="693">
        <f t="shared" ca="1" si="605"/>
        <v>-9291.2463722086432</v>
      </c>
      <c r="AE239" s="340"/>
      <c r="AF239" s="340"/>
      <c r="AG239" s="340"/>
      <c r="AH239" s="340"/>
      <c r="AI239" s="340"/>
      <c r="AJ239" s="340"/>
      <c r="AK239" s="340"/>
      <c r="AL239" s="340"/>
      <c r="AM239" s="340"/>
    </row>
    <row r="240" spans="1:39" ht="15.75">
      <c r="A240" s="340"/>
      <c r="B240" s="692" t="s">
        <v>118</v>
      </c>
      <c r="C240" s="693"/>
      <c r="D240" s="692"/>
      <c r="E240" s="692"/>
      <c r="F240" s="692"/>
      <c r="G240" s="692"/>
      <c r="H240" s="692"/>
      <c r="I240" s="692"/>
      <c r="J240" s="692"/>
      <c r="K240" s="692"/>
      <c r="L240" s="693">
        <f>-L134</f>
        <v>-309</v>
      </c>
      <c r="M240" s="693">
        <f t="shared" ref="M240:R240" si="606">-M134</f>
        <v>-260</v>
      </c>
      <c r="N240" s="693">
        <f t="shared" si="606"/>
        <v>-173.14031180400892</v>
      </c>
      <c r="O240" s="693">
        <f t="shared" si="606"/>
        <v>-100.79180162796816</v>
      </c>
      <c r="P240" s="693">
        <f t="shared" si="606"/>
        <v>-222.51592540687301</v>
      </c>
      <c r="Q240" s="693">
        <f t="shared" si="606"/>
        <v>-120.30180379042088</v>
      </c>
      <c r="R240" s="693">
        <f t="shared" si="606"/>
        <v>-105.65042520354027</v>
      </c>
      <c r="S240" s="693">
        <f t="shared" ref="S240:T240" si="607">-S134</f>
        <v>-44.472005263851067</v>
      </c>
      <c r="T240" s="693">
        <f t="shared" si="607"/>
        <v>-46.514942082111013</v>
      </c>
      <c r="U240" s="693">
        <f t="shared" ref="U240:Y240" ca="1" si="608">-U134</f>
        <v>-306.32799999999997</v>
      </c>
      <c r="V240" s="693">
        <f t="shared" si="608"/>
        <v>-55.667000000000144</v>
      </c>
      <c r="W240" s="693">
        <f t="shared" si="608"/>
        <v>-56.077280000000009</v>
      </c>
      <c r="X240" s="693">
        <f t="shared" si="608"/>
        <v>-55.508006399999942</v>
      </c>
      <c r="Y240" s="693">
        <f t="shared" si="608"/>
        <v>-55.74431923200013</v>
      </c>
      <c r="Z240" s="693">
        <f t="shared" ref="Z240:AD240" si="609">-Z134</f>
        <v>-55.715961692159986</v>
      </c>
      <c r="AA240" s="693">
        <f t="shared" si="609"/>
        <v>-55.719364596940949</v>
      </c>
      <c r="AB240" s="693">
        <f t="shared" si="609"/>
        <v>-55.718956248367107</v>
      </c>
      <c r="AC240" s="693">
        <f t="shared" si="609"/>
        <v>-55.719005250195849</v>
      </c>
      <c r="AD240" s="693">
        <f t="shared" si="609"/>
        <v>-55.71899936997638</v>
      </c>
      <c r="AE240" s="340"/>
      <c r="AF240" s="340"/>
      <c r="AG240" s="340"/>
      <c r="AH240" s="340"/>
      <c r="AI240" s="340"/>
      <c r="AJ240" s="340"/>
      <c r="AK240" s="340"/>
      <c r="AL240" s="340"/>
      <c r="AM240" s="340"/>
    </row>
    <row r="241" spans="1:39" ht="15.75">
      <c r="A241" s="340"/>
      <c r="B241" s="692" t="s">
        <v>119</v>
      </c>
      <c r="C241" s="693"/>
      <c r="D241" s="692"/>
      <c r="E241" s="692"/>
      <c r="F241" s="692"/>
      <c r="G241" s="692"/>
      <c r="H241" s="692"/>
      <c r="I241" s="692"/>
      <c r="J241" s="692"/>
      <c r="K241" s="692"/>
      <c r="L241" s="693">
        <f t="shared" ref="L241:M241" si="610">L161</f>
        <v>112</v>
      </c>
      <c r="M241" s="693">
        <f t="shared" si="610"/>
        <v>34</v>
      </c>
      <c r="N241" s="693">
        <f>-N161</f>
        <v>36.900000000000006</v>
      </c>
      <c r="O241" s="693">
        <f t="shared" ref="O241:AD241" si="611">-O161</f>
        <v>80.733000000000004</v>
      </c>
      <c r="P241" s="693">
        <f t="shared" si="611"/>
        <v>213</v>
      </c>
      <c r="Q241" s="693">
        <f t="shared" si="611"/>
        <v>-2.5</v>
      </c>
      <c r="R241" s="693">
        <f t="shared" si="611"/>
        <v>-29.299999999999997</v>
      </c>
      <c r="S241" s="693">
        <f t="shared" si="611"/>
        <v>-413</v>
      </c>
      <c r="T241" s="693">
        <f t="shared" si="611"/>
        <v>-545</v>
      </c>
      <c r="U241" s="693">
        <f t="shared" si="611"/>
        <v>-697</v>
      </c>
      <c r="V241" s="693">
        <f t="shared" si="611"/>
        <v>-1196</v>
      </c>
      <c r="W241" s="693">
        <f t="shared" si="611"/>
        <v>-1934.32</v>
      </c>
      <c r="X241" s="693">
        <f t="shared" ca="1" si="611"/>
        <v>-1927.1022094474192</v>
      </c>
      <c r="Y241" s="693">
        <f t="shared" ca="1" si="611"/>
        <v>-2004.982414803399</v>
      </c>
      <c r="Z241" s="693">
        <f t="shared" ca="1" si="611"/>
        <v>-1905.1750436563566</v>
      </c>
      <c r="AA241" s="693">
        <f t="shared" ca="1" si="611"/>
        <v>-1639.0747507462811</v>
      </c>
      <c r="AB241" s="693">
        <f t="shared" ca="1" si="611"/>
        <v>-1367.2452702938772</v>
      </c>
      <c r="AC241" s="693">
        <f t="shared" ca="1" si="611"/>
        <v>-1228.4440639052707</v>
      </c>
      <c r="AD241" s="693">
        <f t="shared" ca="1" si="611"/>
        <v>-1306.3804451764161</v>
      </c>
      <c r="AE241" s="340"/>
      <c r="AF241" s="340"/>
      <c r="AG241" s="340"/>
      <c r="AH241" s="340"/>
      <c r="AI241" s="340"/>
      <c r="AJ241" s="340"/>
      <c r="AK241" s="340"/>
      <c r="AL241" s="340"/>
      <c r="AM241" s="340"/>
    </row>
    <row r="242" spans="1:39" ht="15.75">
      <c r="A242" s="340"/>
      <c r="B242" s="692" t="s">
        <v>120</v>
      </c>
      <c r="C242" s="692"/>
      <c r="D242" s="692"/>
      <c r="E242" s="692"/>
      <c r="F242" s="692"/>
      <c r="G242" s="692"/>
      <c r="H242" s="692"/>
      <c r="I242" s="692"/>
      <c r="J242" s="692"/>
      <c r="K242" s="692"/>
      <c r="L242" s="692"/>
      <c r="M242" s="692"/>
      <c r="N242" s="692"/>
      <c r="O242" s="692"/>
      <c r="P242" s="692"/>
      <c r="Q242" s="692"/>
      <c r="R242" s="692"/>
      <c r="S242" s="692"/>
      <c r="T242" s="692"/>
      <c r="U242" s="692"/>
      <c r="V242" s="692"/>
      <c r="W242" s="692"/>
      <c r="X242" s="692"/>
      <c r="Y242" s="692"/>
      <c r="Z242" s="692"/>
      <c r="AA242" s="692"/>
      <c r="AB242" s="692"/>
      <c r="AC242" s="692"/>
      <c r="AD242" s="692"/>
      <c r="AE242" s="340"/>
      <c r="AF242" s="340"/>
      <c r="AG242" s="340"/>
      <c r="AH242" s="340"/>
      <c r="AI242" s="340"/>
      <c r="AJ242" s="340"/>
      <c r="AK242" s="340"/>
      <c r="AL242" s="340"/>
      <c r="AM242" s="340"/>
    </row>
    <row r="243" spans="1:39" ht="15.75">
      <c r="A243" s="340"/>
      <c r="B243" s="692" t="s">
        <v>121</v>
      </c>
      <c r="C243" s="693"/>
      <c r="D243" s="692"/>
      <c r="E243" s="692"/>
      <c r="F243" s="692"/>
      <c r="G243" s="692"/>
      <c r="H243" s="692"/>
      <c r="I243" s="692"/>
      <c r="J243" s="692"/>
      <c r="K243" s="692"/>
      <c r="L243" s="693">
        <f t="shared" ref="L243:R243" si="612">SUM(L238:L242)</f>
        <v>2523</v>
      </c>
      <c r="M243" s="693">
        <f t="shared" si="612"/>
        <v>2880</v>
      </c>
      <c r="N243" s="746">
        <f t="shared" si="612"/>
        <v>3142.3338119576811</v>
      </c>
      <c r="O243" s="746">
        <f t="shared" si="612"/>
        <v>4109.6755237796242</v>
      </c>
      <c r="P243" s="746">
        <f t="shared" si="612"/>
        <v>4985.0464920250779</v>
      </c>
      <c r="Q243" s="746">
        <f t="shared" si="612"/>
        <v>5251.5221484108724</v>
      </c>
      <c r="R243" s="746">
        <f t="shared" si="612"/>
        <v>6146.0976801323395</v>
      </c>
      <c r="S243" s="746">
        <f t="shared" ref="S243:T243" si="613">SUM(S238:S242)</f>
        <v>5967.7178294199475</v>
      </c>
      <c r="T243" s="746">
        <f t="shared" si="613"/>
        <v>6104.2264649928948</v>
      </c>
      <c r="U243" s="746">
        <f ca="1">SUM(U238:U242)</f>
        <v>6068.2384051878271</v>
      </c>
      <c r="V243" s="746">
        <f>SUM(V238:V242)</f>
        <v>5247.9553795647435</v>
      </c>
      <c r="W243" s="746">
        <f>SUM(W238:W242)</f>
        <v>4161.5376128922117</v>
      </c>
      <c r="X243" s="746">
        <f ca="1">SUM(X238:X242)</f>
        <v>4790.4137315635153</v>
      </c>
      <c r="Y243" s="746">
        <f ca="1">SUM(Y238:Y242)</f>
        <v>6350.1955703855565</v>
      </c>
      <c r="Z243" s="746">
        <f t="shared" ref="Z243:AD243" ca="1" si="614">SUM(Z238:Z242)</f>
        <v>7778.1591244517167</v>
      </c>
      <c r="AA243" s="746">
        <f t="shared" ca="1" si="614"/>
        <v>8909.2756153706687</v>
      </c>
      <c r="AB243" s="746">
        <f t="shared" ca="1" si="614"/>
        <v>10030.033447282214</v>
      </c>
      <c r="AC243" s="746">
        <f t="shared" ca="1" si="614"/>
        <v>10938.999339565182</v>
      </c>
      <c r="AD243" s="746">
        <f t="shared" ca="1" si="614"/>
        <v>11603.470600599459</v>
      </c>
      <c r="AE243" s="340"/>
      <c r="AF243" s="340"/>
      <c r="AG243" s="340"/>
      <c r="AH243" s="340"/>
      <c r="AI243" s="340"/>
      <c r="AJ243" s="340"/>
      <c r="AK243" s="340"/>
      <c r="AL243" s="340"/>
      <c r="AM243" s="340"/>
    </row>
    <row r="244" spans="1:39" ht="15.75">
      <c r="A244" s="340"/>
      <c r="B244" s="692" t="s">
        <v>122</v>
      </c>
      <c r="C244" s="701"/>
      <c r="D244" s="692"/>
      <c r="E244" s="692"/>
      <c r="F244" s="692"/>
      <c r="G244" s="692"/>
      <c r="H244" s="692"/>
      <c r="I244" s="692"/>
      <c r="J244" s="692"/>
      <c r="K244" s="692"/>
      <c r="L244" s="732">
        <v>0.28000000000000003</v>
      </c>
      <c r="M244" s="732">
        <v>0.28000000000000003</v>
      </c>
      <c r="N244" s="732">
        <v>0.28000000000000003</v>
      </c>
      <c r="O244" s="732">
        <v>0.28000000000000003</v>
      </c>
      <c r="P244" s="732">
        <v>0.22</v>
      </c>
      <c r="Q244" s="732">
        <v>0.23</v>
      </c>
      <c r="R244" s="732">
        <v>0.22</v>
      </c>
      <c r="S244" s="732">
        <v>0.22</v>
      </c>
      <c r="T244" s="732">
        <v>0.22</v>
      </c>
      <c r="U244" s="732">
        <v>0.22</v>
      </c>
      <c r="V244" s="732">
        <v>0.27</v>
      </c>
      <c r="W244" s="732">
        <v>0.31</v>
      </c>
      <c r="X244" s="732">
        <v>0.3</v>
      </c>
      <c r="Y244" s="732">
        <v>0.3</v>
      </c>
      <c r="Z244" s="732">
        <v>0.3</v>
      </c>
      <c r="AA244" s="732">
        <v>0.3</v>
      </c>
      <c r="AB244" s="732">
        <v>0.3</v>
      </c>
      <c r="AC244" s="732">
        <v>0.3</v>
      </c>
      <c r="AD244" s="732">
        <v>0.3</v>
      </c>
      <c r="AE244" s="340"/>
      <c r="AF244" s="340"/>
      <c r="AG244" s="340"/>
      <c r="AH244" s="340"/>
      <c r="AI244" s="340"/>
      <c r="AJ244" s="340"/>
      <c r="AK244" s="340"/>
      <c r="AL244" s="340"/>
      <c r="AM244" s="340"/>
    </row>
    <row r="245" spans="1:39" ht="15.75">
      <c r="A245" s="340"/>
      <c r="B245" s="692" t="s">
        <v>14</v>
      </c>
      <c r="C245" s="693"/>
      <c r="D245" s="692"/>
      <c r="E245" s="692"/>
      <c r="F245" s="692"/>
      <c r="G245" s="692"/>
      <c r="H245" s="692"/>
      <c r="I245" s="692"/>
      <c r="J245" s="692"/>
      <c r="K245" s="692"/>
      <c r="L245" s="693">
        <f t="shared" ref="L245:R245" si="615">L243*L244</f>
        <v>706.44</v>
      </c>
      <c r="M245" s="693">
        <f t="shared" si="615"/>
        <v>806.40000000000009</v>
      </c>
      <c r="N245" s="693">
        <f t="shared" si="615"/>
        <v>879.85346734815073</v>
      </c>
      <c r="O245" s="693">
        <f t="shared" si="615"/>
        <v>1150.7091466582949</v>
      </c>
      <c r="P245" s="693">
        <f t="shared" si="615"/>
        <v>1096.7102282455171</v>
      </c>
      <c r="Q245" s="693">
        <f t="shared" si="615"/>
        <v>1207.8500941345008</v>
      </c>
      <c r="R245" s="693">
        <f t="shared" si="615"/>
        <v>1352.1414896291146</v>
      </c>
      <c r="S245" s="693">
        <f t="shared" ref="S245:T245" si="616">S243*S244</f>
        <v>1312.8979224723885</v>
      </c>
      <c r="T245" s="693">
        <f t="shared" si="616"/>
        <v>1342.9298222984369</v>
      </c>
      <c r="U245" s="693">
        <f ca="1">U243*U244</f>
        <v>1335.0124491413219</v>
      </c>
      <c r="V245" s="693">
        <f>V243*V244</f>
        <v>1416.9479524824808</v>
      </c>
      <c r="W245" s="693">
        <f>W243*W244</f>
        <v>1290.0766599965857</v>
      </c>
      <c r="X245" s="693">
        <f ca="1">X243*X244</f>
        <v>1437.1241194690544</v>
      </c>
      <c r="Y245" s="693">
        <f ca="1">Y243*Y244</f>
        <v>1905.0586711156668</v>
      </c>
      <c r="Z245" s="693">
        <f t="shared" ref="Z245:AD245" ca="1" si="617">Z243*Z244</f>
        <v>2333.4477373355148</v>
      </c>
      <c r="AA245" s="693">
        <f t="shared" ca="1" si="617"/>
        <v>2672.7826846112007</v>
      </c>
      <c r="AB245" s="693">
        <f t="shared" ca="1" si="617"/>
        <v>3009.0100341846642</v>
      </c>
      <c r="AC245" s="693">
        <f t="shared" ca="1" si="617"/>
        <v>3281.6998018695544</v>
      </c>
      <c r="AD245" s="693">
        <f t="shared" ca="1" si="617"/>
        <v>3481.0411801798377</v>
      </c>
      <c r="AE245" s="340"/>
      <c r="AF245" s="340"/>
      <c r="AG245" s="340"/>
      <c r="AH245" s="340"/>
      <c r="AI245" s="340"/>
      <c r="AJ245" s="340"/>
      <c r="AK245" s="340"/>
      <c r="AL245" s="340"/>
      <c r="AM245" s="340"/>
    </row>
    <row r="246" spans="1:39" ht="15.75">
      <c r="A246" s="340"/>
      <c r="B246" s="692" t="s">
        <v>123</v>
      </c>
      <c r="C246" s="701"/>
      <c r="D246" s="692"/>
      <c r="E246" s="692"/>
      <c r="F246" s="692"/>
      <c r="G246" s="692"/>
      <c r="H246" s="692"/>
      <c r="I246" s="692"/>
      <c r="J246" s="692"/>
      <c r="K246" s="692"/>
      <c r="L246" s="701">
        <f t="shared" ref="L246:R246" si="618">L236/L243</f>
        <v>0.19896948077685295</v>
      </c>
      <c r="M246" s="701">
        <f t="shared" si="618"/>
        <v>0.30277777777777776</v>
      </c>
      <c r="N246" s="701">
        <f t="shared" si="618"/>
        <v>0.24997344235386365</v>
      </c>
      <c r="O246" s="701">
        <f t="shared" si="618"/>
        <v>0.23335175598437952</v>
      </c>
      <c r="P246" s="701">
        <f t="shared" si="618"/>
        <v>0.16950694468984487</v>
      </c>
      <c r="Q246" s="701">
        <f t="shared" si="618"/>
        <v>0.19289645389890187</v>
      </c>
      <c r="R246" s="701">
        <f t="shared" si="618"/>
        <v>0.21916345461841016</v>
      </c>
      <c r="S246" s="701">
        <f t="shared" ref="S246:T246" si="619">S236/S243</f>
        <v>0.21230896570777549</v>
      </c>
      <c r="T246" s="701">
        <f t="shared" si="619"/>
        <v>0.23426391668148316</v>
      </c>
      <c r="U246" s="701">
        <f ca="1">U236/U243</f>
        <v>0.22</v>
      </c>
      <c r="V246" s="701">
        <f>V236/V243</f>
        <v>0.27</v>
      </c>
      <c r="W246" s="701">
        <f>W236/W243</f>
        <v>0.31</v>
      </c>
      <c r="X246" s="701">
        <f ca="1">X236/X243</f>
        <v>0.3</v>
      </c>
      <c r="Y246" s="701">
        <f ca="1">Y236/Y243</f>
        <v>0.3</v>
      </c>
      <c r="Z246" s="701">
        <f t="shared" ref="Z246:AD246" ca="1" si="620">Z236/Z243</f>
        <v>0.3</v>
      </c>
      <c r="AA246" s="701">
        <f t="shared" ca="1" si="620"/>
        <v>0.3</v>
      </c>
      <c r="AB246" s="701">
        <f t="shared" ca="1" si="620"/>
        <v>0.3</v>
      </c>
      <c r="AC246" s="701">
        <f t="shared" ca="1" si="620"/>
        <v>0.3</v>
      </c>
      <c r="AD246" s="701">
        <f t="shared" ca="1" si="620"/>
        <v>0.3</v>
      </c>
      <c r="AE246" s="340"/>
      <c r="AF246" s="340"/>
      <c r="AG246" s="340"/>
      <c r="AH246" s="340"/>
      <c r="AI246" s="340"/>
      <c r="AJ246" s="340"/>
      <c r="AK246" s="340"/>
      <c r="AL246" s="340"/>
      <c r="AM246" s="340"/>
    </row>
    <row r="247" spans="1:39" ht="15.75">
      <c r="A247" s="340"/>
      <c r="B247" s="692"/>
      <c r="C247" s="701"/>
      <c r="D247" s="692"/>
      <c r="E247" s="692"/>
      <c r="F247" s="692"/>
      <c r="G247" s="692"/>
      <c r="H247" s="692"/>
      <c r="I247" s="692"/>
      <c r="J247" s="692"/>
      <c r="K247" s="692"/>
      <c r="L247" s="701"/>
      <c r="M247" s="701"/>
      <c r="N247" s="701"/>
      <c r="O247" s="701"/>
      <c r="P247" s="701"/>
      <c r="Q247" s="701"/>
      <c r="R247" s="701"/>
      <c r="S247" s="701"/>
      <c r="T247" s="701"/>
      <c r="U247" s="701"/>
      <c r="V247" s="701"/>
      <c r="W247" s="701"/>
      <c r="X247" s="701"/>
      <c r="Y247" s="701"/>
      <c r="Z247" s="701"/>
      <c r="AA247" s="701"/>
      <c r="AB247" s="701"/>
      <c r="AC247" s="701"/>
      <c r="AD247" s="701"/>
      <c r="AE247" s="340"/>
      <c r="AF247" s="340"/>
      <c r="AG247" s="340"/>
      <c r="AH247" s="340"/>
      <c r="AI247" s="340"/>
      <c r="AJ247" s="340"/>
      <c r="AK247" s="340"/>
      <c r="AL247" s="340"/>
      <c r="AM247" s="340"/>
    </row>
    <row r="248" spans="1:39" ht="15.75">
      <c r="A248" s="340"/>
      <c r="B248" s="692" t="s">
        <v>124</v>
      </c>
      <c r="C248" s="693"/>
      <c r="D248" s="692"/>
      <c r="E248" s="692"/>
      <c r="F248" s="692"/>
      <c r="G248" s="692"/>
      <c r="H248" s="692"/>
      <c r="I248" s="692"/>
      <c r="J248" s="692"/>
      <c r="K248" s="692"/>
      <c r="L248" s="693">
        <f t="shared" ref="L248:R248" si="621">L243</f>
        <v>2523</v>
      </c>
      <c r="M248" s="693">
        <f t="shared" si="621"/>
        <v>2880</v>
      </c>
      <c r="N248" s="693">
        <f t="shared" si="621"/>
        <v>3142.3338119576811</v>
      </c>
      <c r="O248" s="693">
        <f t="shared" si="621"/>
        <v>4109.6755237796242</v>
      </c>
      <c r="P248" s="693">
        <f t="shared" si="621"/>
        <v>4985.0464920250779</v>
      </c>
      <c r="Q248" s="693">
        <f t="shared" si="621"/>
        <v>5251.5221484108724</v>
      </c>
      <c r="R248" s="693">
        <f t="shared" si="621"/>
        <v>6146.0976801323395</v>
      </c>
      <c r="S248" s="693">
        <f t="shared" ref="S248:T248" si="622">S243</f>
        <v>5967.7178294199475</v>
      </c>
      <c r="T248" s="693">
        <f t="shared" si="622"/>
        <v>6104.2264649928948</v>
      </c>
      <c r="U248" s="693">
        <f ca="1">U243</f>
        <v>6068.2384051878271</v>
      </c>
      <c r="V248" s="693">
        <f>V243</f>
        <v>5247.9553795647435</v>
      </c>
      <c r="W248" s="693">
        <f>W243</f>
        <v>4161.5376128922117</v>
      </c>
      <c r="X248" s="693">
        <f ca="1">X243</f>
        <v>4790.4137315635153</v>
      </c>
      <c r="Y248" s="693">
        <f ca="1">Y243</f>
        <v>6350.1955703855565</v>
      </c>
      <c r="Z248" s="693">
        <f t="shared" ref="Z248:AD248" ca="1" si="623">Z243</f>
        <v>7778.1591244517167</v>
      </c>
      <c r="AA248" s="693">
        <f t="shared" ca="1" si="623"/>
        <v>8909.2756153706687</v>
      </c>
      <c r="AB248" s="693">
        <f t="shared" ca="1" si="623"/>
        <v>10030.033447282214</v>
      </c>
      <c r="AC248" s="693">
        <f t="shared" ca="1" si="623"/>
        <v>10938.999339565182</v>
      </c>
      <c r="AD248" s="693">
        <f t="shared" ca="1" si="623"/>
        <v>11603.470600599459</v>
      </c>
      <c r="AE248" s="340"/>
      <c r="AF248" s="340"/>
      <c r="AG248" s="340"/>
      <c r="AH248" s="340"/>
      <c r="AI248" s="340"/>
      <c r="AJ248" s="340"/>
      <c r="AK248" s="340"/>
      <c r="AL248" s="340"/>
      <c r="AM248" s="340"/>
    </row>
    <row r="249" spans="1:39" ht="15.75">
      <c r="A249" s="340"/>
      <c r="B249" s="692"/>
      <c r="C249" s="701"/>
      <c r="D249" s="692"/>
      <c r="E249" s="692"/>
      <c r="F249" s="692"/>
      <c r="G249" s="692"/>
      <c r="H249" s="692"/>
      <c r="I249" s="692"/>
      <c r="J249" s="692"/>
      <c r="K249" s="692"/>
      <c r="L249" s="701"/>
      <c r="M249" s="701"/>
      <c r="N249" s="701"/>
      <c r="O249" s="701"/>
      <c r="P249" s="701"/>
      <c r="Q249" s="701"/>
      <c r="R249" s="701"/>
      <c r="S249" s="701"/>
      <c r="T249" s="701"/>
      <c r="U249" s="701"/>
      <c r="V249" s="701"/>
      <c r="W249" s="701"/>
      <c r="X249" s="701"/>
      <c r="Y249" s="701"/>
      <c r="Z249" s="701"/>
      <c r="AA249" s="701"/>
      <c r="AB249" s="701"/>
      <c r="AC249" s="701"/>
      <c r="AD249" s="701"/>
      <c r="AE249" s="340"/>
      <c r="AF249" s="340"/>
      <c r="AG249" s="340"/>
      <c r="AH249" s="340"/>
      <c r="AI249" s="340"/>
      <c r="AJ249" s="340"/>
      <c r="AK249" s="340"/>
      <c r="AL249" s="340"/>
      <c r="AM249" s="340"/>
    </row>
    <row r="250" spans="1:39" ht="15.75">
      <c r="A250" s="340"/>
      <c r="B250" s="692" t="s">
        <v>125</v>
      </c>
      <c r="C250" s="727"/>
      <c r="D250" s="692"/>
      <c r="E250" s="692"/>
      <c r="F250" s="692"/>
      <c r="G250" s="692"/>
      <c r="H250" s="692"/>
      <c r="I250" s="692"/>
      <c r="J250" s="692"/>
      <c r="K250" s="692"/>
      <c r="L250" s="693">
        <v>0</v>
      </c>
      <c r="M250" s="693">
        <v>0</v>
      </c>
      <c r="N250" s="693">
        <v>0</v>
      </c>
      <c r="O250" s="693">
        <v>0</v>
      </c>
      <c r="P250" s="693">
        <v>0</v>
      </c>
      <c r="Q250" s="693">
        <v>0</v>
      </c>
      <c r="R250" s="693">
        <v>0</v>
      </c>
      <c r="S250" s="693">
        <v>0</v>
      </c>
      <c r="T250" s="693">
        <v>0</v>
      </c>
      <c r="U250" s="693">
        <v>0</v>
      </c>
      <c r="V250" s="693">
        <v>0</v>
      </c>
      <c r="W250" s="693">
        <v>0</v>
      </c>
      <c r="X250" s="693">
        <v>0</v>
      </c>
      <c r="Y250" s="693">
        <v>0</v>
      </c>
      <c r="Z250" s="693">
        <v>0</v>
      </c>
      <c r="AA250" s="693">
        <v>0</v>
      </c>
      <c r="AB250" s="693">
        <v>0</v>
      </c>
      <c r="AC250" s="693">
        <v>0</v>
      </c>
      <c r="AD250" s="693">
        <v>0</v>
      </c>
      <c r="AE250" s="340"/>
      <c r="AF250" s="340"/>
      <c r="AG250" s="340"/>
      <c r="AH250" s="340"/>
      <c r="AI250" s="340"/>
      <c r="AJ250" s="340"/>
      <c r="AK250" s="340"/>
      <c r="AL250" s="340"/>
      <c r="AM250" s="340"/>
    </row>
    <row r="251" spans="1:39" ht="15.75">
      <c r="A251" s="340"/>
      <c r="B251" s="692" t="s">
        <v>126</v>
      </c>
      <c r="C251" s="701"/>
      <c r="D251" s="692"/>
      <c r="E251" s="692"/>
      <c r="F251" s="692"/>
      <c r="G251" s="692"/>
      <c r="H251" s="692"/>
      <c r="I251" s="692"/>
      <c r="J251" s="692"/>
      <c r="K251" s="692"/>
      <c r="L251" s="747">
        <f t="shared" ref="L251:T251" si="624">K250</f>
        <v>0</v>
      </c>
      <c r="M251" s="747">
        <f t="shared" si="624"/>
        <v>0</v>
      </c>
      <c r="N251" s="747">
        <f t="shared" si="624"/>
        <v>0</v>
      </c>
      <c r="O251" s="747">
        <f t="shared" si="624"/>
        <v>0</v>
      </c>
      <c r="P251" s="747">
        <f t="shared" si="624"/>
        <v>0</v>
      </c>
      <c r="Q251" s="747">
        <f t="shared" si="624"/>
        <v>0</v>
      </c>
      <c r="R251" s="747">
        <f t="shared" si="624"/>
        <v>0</v>
      </c>
      <c r="S251" s="747">
        <f t="shared" si="624"/>
        <v>0</v>
      </c>
      <c r="T251" s="747">
        <f t="shared" si="624"/>
        <v>0</v>
      </c>
      <c r="U251" s="747">
        <f t="shared" ref="U251" si="625">T250</f>
        <v>0</v>
      </c>
      <c r="V251" s="747">
        <f t="shared" ref="V251" si="626">U250</f>
        <v>0</v>
      </c>
      <c r="W251" s="747">
        <f t="shared" ref="W251" si="627">V250</f>
        <v>0</v>
      </c>
      <c r="X251" s="747">
        <f t="shared" ref="X251" si="628">W250</f>
        <v>0</v>
      </c>
      <c r="Y251" s="747">
        <f t="shared" ref="Y251" si="629">X250</f>
        <v>0</v>
      </c>
      <c r="Z251" s="747">
        <f t="shared" ref="Z251" si="630">Y250</f>
        <v>0</v>
      </c>
      <c r="AA251" s="747">
        <f t="shared" ref="AA251" si="631">Z250</f>
        <v>0</v>
      </c>
      <c r="AB251" s="747">
        <f t="shared" ref="AB251" si="632">AA250</f>
        <v>0</v>
      </c>
      <c r="AC251" s="747">
        <f t="shared" ref="AC251" si="633">AB250</f>
        <v>0</v>
      </c>
      <c r="AD251" s="747">
        <f t="shared" ref="AD251" si="634">AC250</f>
        <v>0</v>
      </c>
      <c r="AE251" s="340"/>
      <c r="AF251" s="340"/>
      <c r="AG251" s="340"/>
      <c r="AH251" s="340"/>
      <c r="AI251" s="340"/>
      <c r="AJ251" s="340"/>
      <c r="AK251" s="340"/>
      <c r="AL251" s="340"/>
      <c r="AM251" s="340"/>
    </row>
    <row r="252" spans="1:39" ht="15.75">
      <c r="A252" s="340"/>
      <c r="B252" s="692" t="s">
        <v>127</v>
      </c>
      <c r="C252" s="701"/>
      <c r="D252" s="692"/>
      <c r="E252" s="692"/>
      <c r="F252" s="692"/>
      <c r="G252" s="692"/>
      <c r="H252" s="692"/>
      <c r="I252" s="692"/>
      <c r="J252" s="692"/>
      <c r="K252" s="692"/>
      <c r="L252" s="693">
        <f t="shared" ref="L252:R252" si="635">L248-L251</f>
        <v>2523</v>
      </c>
      <c r="M252" s="693">
        <f t="shared" si="635"/>
        <v>2880</v>
      </c>
      <c r="N252" s="693">
        <f t="shared" si="635"/>
        <v>3142.3338119576811</v>
      </c>
      <c r="O252" s="693">
        <f t="shared" si="635"/>
        <v>4109.6755237796242</v>
      </c>
      <c r="P252" s="693">
        <f t="shared" si="635"/>
        <v>4985.0464920250779</v>
      </c>
      <c r="Q252" s="693">
        <f t="shared" si="635"/>
        <v>5251.5221484108724</v>
      </c>
      <c r="R252" s="693">
        <f t="shared" si="635"/>
        <v>6146.0976801323395</v>
      </c>
      <c r="S252" s="693">
        <f t="shared" ref="S252:T252" si="636">S248-S251</f>
        <v>5967.7178294199475</v>
      </c>
      <c r="T252" s="693">
        <f t="shared" si="636"/>
        <v>6104.2264649928948</v>
      </c>
      <c r="U252" s="693">
        <f ca="1">U248-U251</f>
        <v>6068.2384051878271</v>
      </c>
      <c r="V252" s="693">
        <f>V248-V251</f>
        <v>5247.9553795647435</v>
      </c>
      <c r="W252" s="693">
        <f>W248-W251</f>
        <v>4161.5376128922117</v>
      </c>
      <c r="X252" s="693">
        <f ca="1">X248-X251</f>
        <v>4790.4137315635153</v>
      </c>
      <c r="Y252" s="693">
        <f ca="1">Y248-Y251</f>
        <v>6350.1955703855565</v>
      </c>
      <c r="Z252" s="693">
        <f t="shared" ref="Z252:AD252" ca="1" si="637">Z248-Z251</f>
        <v>7778.1591244517167</v>
      </c>
      <c r="AA252" s="693">
        <f t="shared" ca="1" si="637"/>
        <v>8909.2756153706687</v>
      </c>
      <c r="AB252" s="693">
        <f t="shared" ca="1" si="637"/>
        <v>10030.033447282214</v>
      </c>
      <c r="AC252" s="693">
        <f t="shared" ca="1" si="637"/>
        <v>10938.999339565182</v>
      </c>
      <c r="AD252" s="693">
        <f t="shared" ca="1" si="637"/>
        <v>11603.470600599459</v>
      </c>
      <c r="AE252" s="340"/>
      <c r="AF252" s="340"/>
      <c r="AG252" s="340"/>
      <c r="AH252" s="340"/>
      <c r="AI252" s="340"/>
      <c r="AJ252" s="340"/>
      <c r="AK252" s="340"/>
      <c r="AL252" s="340"/>
      <c r="AM252" s="340"/>
    </row>
    <row r="253" spans="1:39" ht="15.75">
      <c r="A253" s="340"/>
      <c r="B253" s="692"/>
      <c r="C253" s="701"/>
      <c r="D253" s="692"/>
      <c r="E253" s="692"/>
      <c r="F253" s="692"/>
      <c r="G253" s="692"/>
      <c r="H253" s="692"/>
      <c r="I253" s="692"/>
      <c r="J253" s="692"/>
      <c r="K253" s="692"/>
      <c r="L253" s="693"/>
      <c r="M253" s="693"/>
      <c r="N253" s="693"/>
      <c r="O253" s="693"/>
      <c r="P253" s="693"/>
      <c r="Q253" s="693"/>
      <c r="R253" s="693"/>
      <c r="S253" s="693"/>
      <c r="T253" s="693"/>
      <c r="U253" s="693"/>
      <c r="V253" s="693"/>
      <c r="W253" s="693"/>
      <c r="X253" s="693"/>
      <c r="Y253" s="693"/>
      <c r="Z253" s="693"/>
      <c r="AA253" s="693"/>
      <c r="AB253" s="693"/>
      <c r="AC253" s="693"/>
      <c r="AD253" s="693"/>
      <c r="AE253" s="340"/>
      <c r="AF253" s="340"/>
      <c r="AG253" s="340"/>
      <c r="AH253" s="340"/>
      <c r="AI253" s="340"/>
      <c r="AJ253" s="340"/>
      <c r="AK253" s="340"/>
      <c r="AL253" s="340"/>
      <c r="AM253" s="340"/>
    </row>
    <row r="254" spans="1:39" ht="15.75">
      <c r="A254" s="340"/>
      <c r="B254" s="692" t="s">
        <v>128</v>
      </c>
      <c r="C254" s="701"/>
      <c r="D254" s="692"/>
      <c r="E254" s="692"/>
      <c r="F254" s="692"/>
      <c r="G254" s="692"/>
      <c r="H254" s="692"/>
      <c r="I254" s="692"/>
      <c r="J254" s="692"/>
      <c r="K254" s="692"/>
      <c r="L254" s="693">
        <f t="shared" ref="L254:R254" si="638">L252*L246+L253</f>
        <v>502</v>
      </c>
      <c r="M254" s="693">
        <f t="shared" si="638"/>
        <v>871.99999999999989</v>
      </c>
      <c r="N254" s="693">
        <f t="shared" si="638"/>
        <v>785.5</v>
      </c>
      <c r="O254" s="693">
        <f t="shared" si="638"/>
        <v>959</v>
      </c>
      <c r="P254" s="693">
        <f t="shared" si="638"/>
        <v>845.00000000000011</v>
      </c>
      <c r="Q254" s="693">
        <f t="shared" si="638"/>
        <v>1012.9999999999999</v>
      </c>
      <c r="R254" s="693">
        <f t="shared" si="638"/>
        <v>1347</v>
      </c>
      <c r="S254" s="693">
        <f t="shared" ref="S254:T254" si="639">S252*S246+S253</f>
        <v>1267</v>
      </c>
      <c r="T254" s="693">
        <f t="shared" si="639"/>
        <v>1430</v>
      </c>
      <c r="U254" s="693">
        <f ca="1">U252*U246+U253</f>
        <v>1335.0124491413219</v>
      </c>
      <c r="V254" s="693">
        <f>V252*V246+V253</f>
        <v>1416.9479524824808</v>
      </c>
      <c r="W254" s="693">
        <f>W252*W246+W253</f>
        <v>1290.0766599965857</v>
      </c>
      <c r="X254" s="693">
        <f ca="1">X252*X246+X253</f>
        <v>1437.1241194690544</v>
      </c>
      <c r="Y254" s="693">
        <f ca="1">Y252*Y246+Y253</f>
        <v>1905.0586711156668</v>
      </c>
      <c r="Z254" s="693">
        <f t="shared" ref="Z254:AD254" ca="1" si="640">Z252*Z246+Z253</f>
        <v>2333.4477373355148</v>
      </c>
      <c r="AA254" s="693">
        <f t="shared" ca="1" si="640"/>
        <v>2672.7826846112007</v>
      </c>
      <c r="AB254" s="693">
        <f t="shared" ca="1" si="640"/>
        <v>3009.0100341846642</v>
      </c>
      <c r="AC254" s="693">
        <f t="shared" ca="1" si="640"/>
        <v>3281.6998018695544</v>
      </c>
      <c r="AD254" s="693">
        <f t="shared" ca="1" si="640"/>
        <v>3481.0411801798377</v>
      </c>
      <c r="AE254" s="340"/>
      <c r="AF254" s="340"/>
      <c r="AG254" s="340"/>
      <c r="AH254" s="340"/>
      <c r="AI254" s="340"/>
      <c r="AJ254" s="340"/>
      <c r="AK254" s="340"/>
      <c r="AL254" s="340"/>
      <c r="AM254" s="340"/>
    </row>
    <row r="255" spans="1:39" ht="15.75">
      <c r="A255" s="340"/>
      <c r="B255" s="692" t="s">
        <v>129</v>
      </c>
      <c r="C255" s="701"/>
      <c r="D255" s="692"/>
      <c r="E255" s="692"/>
      <c r="F255" s="692"/>
      <c r="G255" s="692"/>
      <c r="H255" s="692"/>
      <c r="I255" s="692"/>
      <c r="J255" s="692"/>
      <c r="K255" s="692"/>
      <c r="L255" s="693">
        <f t="shared" ref="L255:R255" si="641">L250*0.39</f>
        <v>0</v>
      </c>
      <c r="M255" s="693">
        <f t="shared" si="641"/>
        <v>0</v>
      </c>
      <c r="N255" s="693">
        <f t="shared" si="641"/>
        <v>0</v>
      </c>
      <c r="O255" s="693">
        <f t="shared" si="641"/>
        <v>0</v>
      </c>
      <c r="P255" s="693">
        <f t="shared" si="641"/>
        <v>0</v>
      </c>
      <c r="Q255" s="693">
        <f t="shared" si="641"/>
        <v>0</v>
      </c>
      <c r="R255" s="693">
        <f t="shared" si="641"/>
        <v>0</v>
      </c>
      <c r="S255" s="693">
        <f t="shared" ref="S255:T255" si="642">S250*0.39</f>
        <v>0</v>
      </c>
      <c r="T255" s="693">
        <f t="shared" si="642"/>
        <v>0</v>
      </c>
      <c r="U255" s="693">
        <f t="shared" ref="U255:Y255" si="643">U250*0.39</f>
        <v>0</v>
      </c>
      <c r="V255" s="693">
        <f t="shared" si="643"/>
        <v>0</v>
      </c>
      <c r="W255" s="693">
        <f t="shared" si="643"/>
        <v>0</v>
      </c>
      <c r="X255" s="693">
        <f t="shared" si="643"/>
        <v>0</v>
      </c>
      <c r="Y255" s="693">
        <f t="shared" si="643"/>
        <v>0</v>
      </c>
      <c r="Z255" s="693">
        <f t="shared" ref="Z255:AD255" si="644">Z250*0.39</f>
        <v>0</v>
      </c>
      <c r="AA255" s="693">
        <f t="shared" si="644"/>
        <v>0</v>
      </c>
      <c r="AB255" s="693">
        <f t="shared" si="644"/>
        <v>0</v>
      </c>
      <c r="AC255" s="693">
        <f t="shared" si="644"/>
        <v>0</v>
      </c>
      <c r="AD255" s="693">
        <f t="shared" si="644"/>
        <v>0</v>
      </c>
      <c r="AE255" s="340"/>
      <c r="AF255" s="340"/>
      <c r="AG255" s="340"/>
      <c r="AH255" s="340"/>
      <c r="AI255" s="340"/>
      <c r="AJ255" s="340"/>
      <c r="AK255" s="340"/>
      <c r="AL255" s="340"/>
      <c r="AM255" s="340"/>
    </row>
    <row r="256" spans="1:39" ht="15.75">
      <c r="A256" s="340"/>
      <c r="B256" s="692" t="s">
        <v>130</v>
      </c>
      <c r="C256" s="701"/>
      <c r="D256" s="692"/>
      <c r="E256" s="692"/>
      <c r="F256" s="692"/>
      <c r="G256" s="692"/>
      <c r="H256" s="692"/>
      <c r="I256" s="692"/>
      <c r="J256" s="692"/>
      <c r="K256" s="692"/>
      <c r="L256" s="693">
        <f t="shared" ref="L256:R256" si="645">L243*L244-L254</f>
        <v>204.44000000000005</v>
      </c>
      <c r="M256" s="693">
        <f t="shared" si="645"/>
        <v>-65.599999999999795</v>
      </c>
      <c r="N256" s="693">
        <f t="shared" si="645"/>
        <v>94.35346734815073</v>
      </c>
      <c r="O256" s="693">
        <f t="shared" si="645"/>
        <v>191.70914665829491</v>
      </c>
      <c r="P256" s="693">
        <f t="shared" si="645"/>
        <v>251.71022824551699</v>
      </c>
      <c r="Q256" s="693">
        <f t="shared" si="645"/>
        <v>194.85009413450086</v>
      </c>
      <c r="R256" s="693">
        <f t="shared" si="645"/>
        <v>5.1414896291146306</v>
      </c>
      <c r="S256" s="693">
        <f t="shared" ref="S256:T256" si="646">S243*S244-S254</f>
        <v>45.897922472388473</v>
      </c>
      <c r="T256" s="693">
        <f t="shared" si="646"/>
        <v>-87.070177701563125</v>
      </c>
      <c r="U256" s="693">
        <f ca="1">U243*U244-U254</f>
        <v>0</v>
      </c>
      <c r="V256" s="693">
        <f>V243*V244-V254</f>
        <v>0</v>
      </c>
      <c r="W256" s="693">
        <f>W243*W244-W254</f>
        <v>0</v>
      </c>
      <c r="X256" s="693">
        <f ca="1">X243*X244-X254</f>
        <v>0</v>
      </c>
      <c r="Y256" s="693">
        <f ca="1">Y243*Y244-Y254</f>
        <v>0</v>
      </c>
      <c r="Z256" s="693">
        <f t="shared" ref="Z256:AD256" ca="1" si="647">Z243*Z244-Z254</f>
        <v>0</v>
      </c>
      <c r="AA256" s="693">
        <f t="shared" ca="1" si="647"/>
        <v>0</v>
      </c>
      <c r="AB256" s="693">
        <f t="shared" ca="1" si="647"/>
        <v>0</v>
      </c>
      <c r="AC256" s="693">
        <f t="shared" ca="1" si="647"/>
        <v>0</v>
      </c>
      <c r="AD256" s="693">
        <f t="shared" ca="1" si="647"/>
        <v>0</v>
      </c>
      <c r="AE256" s="340"/>
      <c r="AF256" s="340"/>
      <c r="AG256" s="340"/>
      <c r="AH256" s="340"/>
      <c r="AI256" s="340"/>
      <c r="AJ256" s="340"/>
      <c r="AK256" s="340"/>
      <c r="AL256" s="340"/>
      <c r="AM256" s="340"/>
    </row>
    <row r="257" spans="1:39" ht="15.75">
      <c r="A257" s="340"/>
      <c r="B257" s="692" t="s">
        <v>131</v>
      </c>
      <c r="C257" s="701"/>
      <c r="D257" s="692"/>
      <c r="E257" s="692"/>
      <c r="F257" s="692"/>
      <c r="G257" s="692"/>
      <c r="H257" s="692"/>
      <c r="I257" s="692"/>
      <c r="J257" s="692"/>
      <c r="K257" s="692"/>
      <c r="L257" s="693">
        <f t="shared" ref="L257:Y257" ca="1" si="648">NPV(7%,L256:AN256)</f>
        <v>648.89958663542006</v>
      </c>
      <c r="M257" s="693">
        <f t="shared" ca="1" si="648"/>
        <v>489.88255769989939</v>
      </c>
      <c r="N257" s="693">
        <f t="shared" ca="1" si="648"/>
        <v>589.7743367388922</v>
      </c>
      <c r="O257" s="693">
        <f t="shared" ca="1" si="648"/>
        <v>536.70507296246399</v>
      </c>
      <c r="P257" s="693">
        <f t="shared" ca="1" si="648"/>
        <v>382.56528141154155</v>
      </c>
      <c r="Q257" s="693">
        <f t="shared" ca="1" si="648"/>
        <v>157.63462286483252</v>
      </c>
      <c r="R257" s="693">
        <f t="shared" ca="1" si="648"/>
        <v>-26.181047669130081</v>
      </c>
      <c r="S257" s="693">
        <f t="shared" ca="1" si="648"/>
        <v>-33.155210635083812</v>
      </c>
      <c r="T257" s="693">
        <f t="shared" ca="1" si="648"/>
        <v>-81.373997851928152</v>
      </c>
      <c r="U257" s="693">
        <f t="shared" ca="1" si="648"/>
        <v>0</v>
      </c>
      <c r="V257" s="693">
        <f t="shared" ca="1" si="648"/>
        <v>0</v>
      </c>
      <c r="W257" s="693">
        <f t="shared" ca="1" si="648"/>
        <v>0</v>
      </c>
      <c r="X257" s="693">
        <f t="shared" ca="1" si="648"/>
        <v>0</v>
      </c>
      <c r="Y257" s="693">
        <f t="shared" ca="1" si="648"/>
        <v>0</v>
      </c>
      <c r="Z257" s="693">
        <f t="shared" ref="Z257:AD257" ca="1" si="649">NPV(7%,Z256:BB256)</f>
        <v>0</v>
      </c>
      <c r="AA257" s="693">
        <f t="shared" ca="1" si="649"/>
        <v>0</v>
      </c>
      <c r="AB257" s="693">
        <f t="shared" ca="1" si="649"/>
        <v>0</v>
      </c>
      <c r="AC257" s="693">
        <f t="shared" ca="1" si="649"/>
        <v>0</v>
      </c>
      <c r="AD257" s="693">
        <f t="shared" ca="1" si="649"/>
        <v>0</v>
      </c>
      <c r="AE257" s="340"/>
      <c r="AF257" s="340"/>
      <c r="AG257" s="340"/>
      <c r="AH257" s="340"/>
      <c r="AI257" s="340"/>
      <c r="AJ257" s="340"/>
      <c r="AK257" s="340"/>
      <c r="AL257" s="340"/>
      <c r="AM257" s="340"/>
    </row>
    <row r="258" spans="1:39" ht="15.75">
      <c r="A258" s="340"/>
      <c r="B258" s="692"/>
      <c r="C258" s="692"/>
      <c r="D258" s="692"/>
      <c r="E258" s="692"/>
      <c r="F258" s="692"/>
      <c r="G258" s="692"/>
      <c r="H258" s="692"/>
      <c r="I258" s="692"/>
      <c r="J258" s="692"/>
      <c r="K258" s="692"/>
      <c r="L258" s="692"/>
      <c r="M258" s="692"/>
      <c r="N258" s="692"/>
      <c r="O258" s="692"/>
      <c r="P258" s="692"/>
      <c r="Q258" s="692"/>
      <c r="R258" s="692"/>
      <c r="S258" s="692"/>
      <c r="T258" s="692"/>
      <c r="U258" s="692"/>
      <c r="V258" s="692"/>
      <c r="W258" s="692"/>
      <c r="X258" s="692"/>
      <c r="Y258" s="692"/>
      <c r="Z258" s="692"/>
      <c r="AA258" s="692"/>
      <c r="AB258" s="692"/>
      <c r="AC258" s="692"/>
      <c r="AD258" s="692"/>
      <c r="AE258" s="340"/>
      <c r="AF258" s="340"/>
      <c r="AG258" s="340"/>
      <c r="AH258" s="340"/>
      <c r="AI258" s="340"/>
      <c r="AJ258" s="340"/>
      <c r="AK258" s="340"/>
      <c r="AL258" s="340"/>
      <c r="AM258" s="340"/>
    </row>
    <row r="259" spans="1:39" ht="15.75">
      <c r="A259" s="340"/>
      <c r="B259" s="691" t="s">
        <v>132</v>
      </c>
      <c r="C259" s="692"/>
      <c r="D259" s="692"/>
      <c r="E259" s="692"/>
      <c r="F259" s="692"/>
      <c r="G259" s="692"/>
      <c r="H259" s="692"/>
      <c r="I259" s="692"/>
      <c r="J259" s="692"/>
      <c r="K259" s="692"/>
      <c r="L259" s="692"/>
      <c r="M259" s="692"/>
      <c r="N259" s="692"/>
      <c r="O259" s="692"/>
      <c r="P259" s="692"/>
      <c r="Q259" s="692"/>
      <c r="R259" s="692"/>
      <c r="S259" s="692"/>
      <c r="T259" s="692"/>
      <c r="U259" s="692"/>
      <c r="V259" s="692"/>
      <c r="W259" s="692"/>
      <c r="X259" s="692"/>
      <c r="Y259" s="692"/>
      <c r="Z259" s="692"/>
      <c r="AA259" s="692"/>
      <c r="AB259" s="692"/>
      <c r="AC259" s="692"/>
      <c r="AD259" s="692"/>
      <c r="AE259" s="340"/>
      <c r="AF259" s="340"/>
      <c r="AG259" s="340"/>
      <c r="AH259" s="340"/>
      <c r="AI259" s="340"/>
      <c r="AJ259" s="340"/>
      <c r="AK259" s="340"/>
      <c r="AL259" s="340"/>
      <c r="AM259" s="340"/>
    </row>
    <row r="260" spans="1:39" ht="15.75">
      <c r="A260" s="340"/>
      <c r="B260" s="692" t="s">
        <v>133</v>
      </c>
      <c r="C260" s="692"/>
      <c r="D260" s="692"/>
      <c r="E260" s="692"/>
      <c r="F260" s="692"/>
      <c r="G260" s="692"/>
      <c r="H260" s="692"/>
      <c r="I260" s="692"/>
      <c r="J260" s="692"/>
      <c r="K260" s="692"/>
      <c r="L260" s="693">
        <f t="shared" ref="L260:R260" si="650">L254</f>
        <v>502</v>
      </c>
      <c r="M260" s="693">
        <f t="shared" si="650"/>
        <v>871.99999999999989</v>
      </c>
      <c r="N260" s="693">
        <f t="shared" si="650"/>
        <v>785.5</v>
      </c>
      <c r="O260" s="693">
        <f t="shared" si="650"/>
        <v>959</v>
      </c>
      <c r="P260" s="693">
        <f t="shared" si="650"/>
        <v>845.00000000000011</v>
      </c>
      <c r="Q260" s="693">
        <f t="shared" si="650"/>
        <v>1012.9999999999999</v>
      </c>
      <c r="R260" s="693">
        <f t="shared" si="650"/>
        <v>1347</v>
      </c>
      <c r="S260" s="693">
        <f t="shared" ref="S260:T260" si="651">S254</f>
        <v>1267</v>
      </c>
      <c r="T260" s="693">
        <f t="shared" si="651"/>
        <v>1430</v>
      </c>
      <c r="U260" s="693">
        <f ca="1">U254</f>
        <v>1335.0124491413219</v>
      </c>
      <c r="V260" s="693">
        <f>V254</f>
        <v>1416.9479524824808</v>
      </c>
      <c r="W260" s="693">
        <f>W254</f>
        <v>1290.0766599965857</v>
      </c>
      <c r="X260" s="693">
        <f ca="1">X254</f>
        <v>1437.1241194690544</v>
      </c>
      <c r="Y260" s="693">
        <f ca="1">Y254</f>
        <v>1905.0586711156668</v>
      </c>
      <c r="Z260" s="693">
        <f t="shared" ref="Z260:AD260" ca="1" si="652">Z254</f>
        <v>2333.4477373355148</v>
      </c>
      <c r="AA260" s="693">
        <f t="shared" ca="1" si="652"/>
        <v>2672.7826846112007</v>
      </c>
      <c r="AB260" s="693">
        <f t="shared" ca="1" si="652"/>
        <v>3009.0100341846642</v>
      </c>
      <c r="AC260" s="693">
        <f t="shared" ca="1" si="652"/>
        <v>3281.6998018695544</v>
      </c>
      <c r="AD260" s="693">
        <f t="shared" ca="1" si="652"/>
        <v>3481.0411801798377</v>
      </c>
      <c r="AE260" s="340"/>
      <c r="AF260" s="340"/>
      <c r="AG260" s="340"/>
      <c r="AH260" s="340"/>
      <c r="AI260" s="340"/>
      <c r="AJ260" s="340"/>
      <c r="AK260" s="340"/>
      <c r="AL260" s="340"/>
      <c r="AM260" s="340"/>
    </row>
    <row r="261" spans="1:39" ht="15.75">
      <c r="A261" s="340"/>
      <c r="B261" s="692" t="s">
        <v>134</v>
      </c>
      <c r="C261" s="692"/>
      <c r="D261" s="692"/>
      <c r="E261" s="692"/>
      <c r="F261" s="692"/>
      <c r="G261" s="692"/>
      <c r="H261" s="692"/>
      <c r="I261" s="692"/>
      <c r="J261" s="692"/>
      <c r="K261" s="692"/>
      <c r="L261" s="729">
        <f t="shared" ref="L261:R261" si="653">L260</f>
        <v>502</v>
      </c>
      <c r="M261" s="729">
        <f t="shared" si="653"/>
        <v>871.99999999999989</v>
      </c>
      <c r="N261" s="729">
        <f t="shared" si="653"/>
        <v>785.5</v>
      </c>
      <c r="O261" s="729">
        <f t="shared" si="653"/>
        <v>959</v>
      </c>
      <c r="P261" s="729">
        <f t="shared" si="653"/>
        <v>845.00000000000011</v>
      </c>
      <c r="Q261" s="729">
        <f t="shared" si="653"/>
        <v>1012.9999999999999</v>
      </c>
      <c r="R261" s="729">
        <f t="shared" si="653"/>
        <v>1347</v>
      </c>
      <c r="S261" s="729">
        <f t="shared" ref="S261:T261" si="654">S260</f>
        <v>1267</v>
      </c>
      <c r="T261" s="729">
        <f t="shared" si="654"/>
        <v>1430</v>
      </c>
      <c r="U261" s="729">
        <f ca="1">U260</f>
        <v>1335.0124491413219</v>
      </c>
      <c r="V261" s="729">
        <f>V260</f>
        <v>1416.9479524824808</v>
      </c>
      <c r="W261" s="729">
        <f>W260</f>
        <v>1290.0766599965857</v>
      </c>
      <c r="X261" s="729">
        <f ca="1">X260</f>
        <v>1437.1241194690544</v>
      </c>
      <c r="Y261" s="729">
        <f ca="1">Y260</f>
        <v>1905.0586711156668</v>
      </c>
      <c r="Z261" s="729">
        <f t="shared" ref="Z261:AD261" ca="1" si="655">Z260</f>
        <v>2333.4477373355148</v>
      </c>
      <c r="AA261" s="729">
        <f t="shared" ca="1" si="655"/>
        <v>2672.7826846112007</v>
      </c>
      <c r="AB261" s="729">
        <f t="shared" ca="1" si="655"/>
        <v>3009.0100341846642</v>
      </c>
      <c r="AC261" s="729">
        <f t="shared" ca="1" si="655"/>
        <v>3281.6998018695544</v>
      </c>
      <c r="AD261" s="729">
        <f t="shared" ca="1" si="655"/>
        <v>3481.0411801798377</v>
      </c>
      <c r="AE261" s="340"/>
      <c r="AF261" s="340"/>
      <c r="AG261" s="340"/>
      <c r="AH261" s="340"/>
      <c r="AI261" s="340"/>
      <c r="AJ261" s="340"/>
      <c r="AK261" s="340"/>
      <c r="AL261" s="340"/>
      <c r="AM261" s="340"/>
    </row>
    <row r="262" spans="1:39" ht="15.75">
      <c r="A262" s="340"/>
      <c r="B262" s="692"/>
      <c r="C262" s="692"/>
      <c r="D262" s="692"/>
      <c r="E262" s="692"/>
      <c r="F262" s="692"/>
      <c r="G262" s="692"/>
      <c r="H262" s="692"/>
      <c r="I262" s="692"/>
      <c r="J262" s="692"/>
      <c r="K262" s="692"/>
      <c r="L262" s="692"/>
      <c r="M262" s="692"/>
      <c r="N262" s="692"/>
      <c r="O262" s="692"/>
      <c r="P262" s="692"/>
      <c r="Q262" s="692"/>
      <c r="R262" s="692"/>
      <c r="S262" s="692"/>
      <c r="T262" s="692"/>
      <c r="U262" s="692"/>
      <c r="V262" s="692"/>
      <c r="W262" s="692"/>
      <c r="X262" s="692"/>
      <c r="Y262" s="692"/>
      <c r="Z262" s="692"/>
      <c r="AA262" s="692"/>
      <c r="AB262" s="692"/>
      <c r="AC262" s="692"/>
      <c r="AD262" s="692"/>
      <c r="AE262" s="340"/>
      <c r="AF262" s="340"/>
      <c r="AG262" s="340"/>
      <c r="AH262" s="340"/>
      <c r="AI262" s="340"/>
      <c r="AJ262" s="340"/>
      <c r="AK262" s="340"/>
      <c r="AL262" s="340"/>
      <c r="AM262" s="340"/>
    </row>
    <row r="263" spans="1:39" ht="15.75">
      <c r="A263" s="340"/>
      <c r="B263" s="692"/>
      <c r="C263" s="692"/>
      <c r="D263" s="692"/>
      <c r="E263" s="692"/>
      <c r="F263" s="692"/>
      <c r="G263" s="692"/>
      <c r="H263" s="692"/>
      <c r="I263" s="692"/>
      <c r="J263" s="692"/>
      <c r="K263" s="692"/>
      <c r="L263" s="692"/>
      <c r="M263" s="692"/>
      <c r="N263" s="692"/>
      <c r="O263" s="692"/>
      <c r="P263" s="692"/>
      <c r="Q263" s="692"/>
      <c r="R263" s="692"/>
      <c r="S263" s="692"/>
      <c r="T263" s="692"/>
      <c r="U263" s="692"/>
      <c r="V263" s="692"/>
      <c r="W263" s="692"/>
      <c r="X263" s="692"/>
      <c r="Y263" s="692"/>
      <c r="Z263" s="692"/>
      <c r="AA263" s="692"/>
      <c r="AB263" s="692"/>
      <c r="AC263" s="692"/>
      <c r="AD263" s="692"/>
      <c r="AE263" s="340"/>
      <c r="AF263" s="340"/>
      <c r="AG263" s="340"/>
      <c r="AH263" s="340"/>
      <c r="AI263" s="340"/>
      <c r="AJ263" s="340"/>
      <c r="AK263" s="340"/>
      <c r="AL263" s="340"/>
      <c r="AM263" s="340"/>
    </row>
    <row r="264" spans="1:39" ht="15.75">
      <c r="A264" s="340"/>
      <c r="B264" s="692"/>
      <c r="C264" s="692"/>
      <c r="D264" s="692"/>
      <c r="E264" s="692"/>
      <c r="F264" s="692"/>
      <c r="G264" s="692"/>
      <c r="H264" s="692"/>
      <c r="I264" s="692"/>
      <c r="J264" s="692"/>
      <c r="K264" s="692"/>
      <c r="L264" s="692"/>
      <c r="M264" s="692"/>
      <c r="N264" s="692"/>
      <c r="O264" s="692"/>
      <c r="P264" s="692"/>
      <c r="Q264" s="692"/>
      <c r="R264" s="692"/>
      <c r="S264" s="692"/>
      <c r="T264" s="692"/>
      <c r="U264" s="692"/>
      <c r="V264" s="692"/>
      <c r="W264" s="692"/>
      <c r="X264" s="692"/>
      <c r="Y264" s="692"/>
      <c r="Z264" s="692"/>
      <c r="AA264" s="692"/>
      <c r="AB264" s="692"/>
      <c r="AC264" s="692"/>
      <c r="AD264" s="692"/>
      <c r="AE264" s="340"/>
      <c r="AF264" s="340"/>
      <c r="AG264" s="340"/>
      <c r="AH264" s="340"/>
      <c r="AI264" s="340"/>
      <c r="AJ264" s="340"/>
      <c r="AK264" s="340"/>
      <c r="AL264" s="340"/>
      <c r="AM264" s="340"/>
    </row>
    <row r="265" spans="1:39" ht="15.75">
      <c r="A265" s="340"/>
      <c r="B265" s="689" t="s">
        <v>135</v>
      </c>
      <c r="C265" s="689">
        <v>2003</v>
      </c>
      <c r="D265" s="689">
        <f t="shared" ref="D265:T265" si="656">C265+1</f>
        <v>2004</v>
      </c>
      <c r="E265" s="689">
        <f t="shared" si="656"/>
        <v>2005</v>
      </c>
      <c r="F265" s="689">
        <f t="shared" si="656"/>
        <v>2006</v>
      </c>
      <c r="G265" s="689">
        <f t="shared" si="656"/>
        <v>2007</v>
      </c>
      <c r="H265" s="689">
        <f t="shared" si="656"/>
        <v>2008</v>
      </c>
      <c r="I265" s="689">
        <f t="shared" si="656"/>
        <v>2009</v>
      </c>
      <c r="J265" s="689">
        <f t="shared" si="656"/>
        <v>2010</v>
      </c>
      <c r="K265" s="689">
        <f t="shared" si="656"/>
        <v>2011</v>
      </c>
      <c r="L265" s="689">
        <f t="shared" si="656"/>
        <v>2012</v>
      </c>
      <c r="M265" s="689">
        <f t="shared" si="656"/>
        <v>2013</v>
      </c>
      <c r="N265" s="689">
        <f t="shared" si="656"/>
        <v>2014</v>
      </c>
      <c r="O265" s="689">
        <f t="shared" si="656"/>
        <v>2015</v>
      </c>
      <c r="P265" s="689">
        <f t="shared" si="656"/>
        <v>2016</v>
      </c>
      <c r="Q265" s="689">
        <f t="shared" si="656"/>
        <v>2017</v>
      </c>
      <c r="R265" s="689">
        <f t="shared" si="656"/>
        <v>2018</v>
      </c>
      <c r="S265" s="689">
        <f t="shared" si="656"/>
        <v>2019</v>
      </c>
      <c r="T265" s="689">
        <f t="shared" si="656"/>
        <v>2020</v>
      </c>
      <c r="U265" s="689">
        <f t="shared" ref="U265" si="657">T265+1</f>
        <v>2021</v>
      </c>
      <c r="V265" s="689">
        <f t="shared" ref="V265" si="658">U265+1</f>
        <v>2022</v>
      </c>
      <c r="W265" s="689">
        <f t="shared" ref="W265" si="659">V265+1</f>
        <v>2023</v>
      </c>
      <c r="X265" s="689">
        <f t="shared" ref="X265" si="660">W265+1</f>
        <v>2024</v>
      </c>
      <c r="Y265" s="689">
        <f t="shared" ref="Y265" si="661">X265+1</f>
        <v>2025</v>
      </c>
      <c r="Z265" s="689">
        <f t="shared" ref="Z265" si="662">Y265+1</f>
        <v>2026</v>
      </c>
      <c r="AA265" s="689">
        <f t="shared" ref="AA265" si="663">Z265+1</f>
        <v>2027</v>
      </c>
      <c r="AB265" s="689">
        <f t="shared" ref="AB265" si="664">AA265+1</f>
        <v>2028</v>
      </c>
      <c r="AC265" s="689">
        <f t="shared" ref="AC265" si="665">AB265+1</f>
        <v>2029</v>
      </c>
      <c r="AD265" s="689">
        <f t="shared" ref="AD265" si="666">AC265+1</f>
        <v>2030</v>
      </c>
      <c r="AE265" s="340"/>
      <c r="AF265" s="340"/>
      <c r="AG265" s="340"/>
      <c r="AH265" s="340"/>
      <c r="AI265" s="340"/>
      <c r="AJ265" s="340"/>
      <c r="AK265" s="340"/>
      <c r="AL265" s="340"/>
      <c r="AM265" s="340"/>
    </row>
    <row r="266" spans="1:39" ht="15.75">
      <c r="A266" s="340"/>
      <c r="B266" s="692" t="s">
        <v>135</v>
      </c>
      <c r="C266" s="727"/>
      <c r="D266" s="728"/>
      <c r="E266" s="728"/>
      <c r="F266" s="728"/>
      <c r="G266" s="728"/>
      <c r="H266" s="728"/>
      <c r="I266" s="728"/>
      <c r="J266" s="728"/>
      <c r="K266" s="728"/>
      <c r="L266" s="728">
        <v>3</v>
      </c>
      <c r="M266" s="728">
        <v>15</v>
      </c>
      <c r="N266" s="728">
        <v>3.4</v>
      </c>
      <c r="O266" s="728">
        <v>0</v>
      </c>
      <c r="P266" s="728">
        <v>0</v>
      </c>
      <c r="Q266" s="728">
        <v>0</v>
      </c>
      <c r="R266" s="728">
        <v>0</v>
      </c>
      <c r="S266" s="728">
        <v>0</v>
      </c>
      <c r="T266" s="728">
        <v>0</v>
      </c>
      <c r="U266" s="693">
        <f t="shared" ref="U266" si="667">T266</f>
        <v>0</v>
      </c>
      <c r="V266" s="693">
        <f t="shared" ref="V266" si="668">U266</f>
        <v>0</v>
      </c>
      <c r="W266" s="693">
        <f t="shared" ref="W266" si="669">V266</f>
        <v>0</v>
      </c>
      <c r="X266" s="693">
        <f t="shared" ref="X266" si="670">W266</f>
        <v>0</v>
      </c>
      <c r="Y266" s="693">
        <f t="shared" ref="Y266" si="671">X266</f>
        <v>0</v>
      </c>
      <c r="Z266" s="693">
        <f t="shared" ref="Z266" si="672">Y266</f>
        <v>0</v>
      </c>
      <c r="AA266" s="693">
        <f t="shared" ref="AA266" si="673">Z266</f>
        <v>0</v>
      </c>
      <c r="AB266" s="693">
        <f t="shared" ref="AB266" si="674">AA266</f>
        <v>0</v>
      </c>
      <c r="AC266" s="693">
        <f t="shared" ref="AC266" si="675">AB266</f>
        <v>0</v>
      </c>
      <c r="AD266" s="693">
        <f t="shared" ref="AD266" si="676">AC266</f>
        <v>0</v>
      </c>
      <c r="AE266" s="340"/>
      <c r="AF266" s="340"/>
      <c r="AG266" s="340"/>
      <c r="AH266" s="340"/>
      <c r="AI266" s="340"/>
      <c r="AJ266" s="340"/>
      <c r="AK266" s="340"/>
      <c r="AL266" s="340"/>
      <c r="AM266" s="340"/>
    </row>
    <row r="267" spans="1:39" ht="15.75">
      <c r="A267" s="340"/>
      <c r="B267" s="692" t="s">
        <v>115</v>
      </c>
      <c r="C267" s="727"/>
      <c r="D267" s="728"/>
      <c r="E267" s="728"/>
      <c r="F267" s="728"/>
      <c r="G267" s="728"/>
      <c r="H267" s="728"/>
      <c r="I267" s="728"/>
      <c r="J267" s="728"/>
      <c r="K267" s="728"/>
      <c r="L267" s="728"/>
      <c r="M267" s="728"/>
      <c r="N267" s="728"/>
      <c r="O267" s="728"/>
      <c r="P267" s="728"/>
      <c r="Q267" s="728"/>
      <c r="R267" s="728"/>
      <c r="S267" s="728"/>
      <c r="T267" s="728"/>
      <c r="U267" s="728"/>
      <c r="V267" s="728"/>
      <c r="W267" s="728"/>
      <c r="X267" s="728"/>
      <c r="Y267" s="728"/>
      <c r="Z267" s="728"/>
      <c r="AA267" s="728"/>
      <c r="AB267" s="728"/>
      <c r="AC267" s="728"/>
      <c r="AD267" s="728"/>
      <c r="AE267" s="340"/>
      <c r="AF267" s="340"/>
      <c r="AG267" s="340"/>
      <c r="AH267" s="340"/>
      <c r="AI267" s="340"/>
      <c r="AJ267" s="340"/>
      <c r="AK267" s="340"/>
      <c r="AL267" s="340"/>
      <c r="AM267" s="340"/>
    </row>
    <row r="268" spans="1:39" ht="15.75">
      <c r="A268" s="340"/>
      <c r="B268" s="692" t="s">
        <v>136</v>
      </c>
      <c r="C268" s="727"/>
      <c r="D268" s="729">
        <f>D266-D267</f>
        <v>0</v>
      </c>
      <c r="E268" s="711"/>
      <c r="F268" s="711"/>
      <c r="G268" s="711"/>
      <c r="H268" s="711"/>
      <c r="I268" s="711"/>
      <c r="J268" s="711"/>
      <c r="K268" s="711"/>
      <c r="L268" s="693">
        <f t="shared" ref="L268:Q268" si="677">L266-L267</f>
        <v>3</v>
      </c>
      <c r="M268" s="693">
        <f t="shared" si="677"/>
        <v>15</v>
      </c>
      <c r="N268" s="693">
        <f t="shared" si="677"/>
        <v>3.4</v>
      </c>
      <c r="O268" s="693">
        <f t="shared" si="677"/>
        <v>0</v>
      </c>
      <c r="P268" s="693">
        <f t="shared" si="677"/>
        <v>0</v>
      </c>
      <c r="Q268" s="693">
        <f t="shared" si="677"/>
        <v>0</v>
      </c>
      <c r="R268" s="693">
        <f t="shared" ref="R268:S268" si="678">R266-R267</f>
        <v>0</v>
      </c>
      <c r="S268" s="693">
        <f t="shared" si="678"/>
        <v>0</v>
      </c>
      <c r="T268" s="693">
        <f t="shared" ref="T268" si="679">T266-T267</f>
        <v>0</v>
      </c>
      <c r="U268" s="693">
        <f t="shared" ref="U268:Y268" si="680">U266-U267</f>
        <v>0</v>
      </c>
      <c r="V268" s="693">
        <f t="shared" si="680"/>
        <v>0</v>
      </c>
      <c r="W268" s="693">
        <f t="shared" si="680"/>
        <v>0</v>
      </c>
      <c r="X268" s="693">
        <f t="shared" si="680"/>
        <v>0</v>
      </c>
      <c r="Y268" s="693">
        <f t="shared" si="680"/>
        <v>0</v>
      </c>
      <c r="Z268" s="693">
        <f t="shared" ref="Z268:AD268" si="681">Z266-Z267</f>
        <v>0</v>
      </c>
      <c r="AA268" s="693">
        <f t="shared" si="681"/>
        <v>0</v>
      </c>
      <c r="AB268" s="693">
        <f t="shared" si="681"/>
        <v>0</v>
      </c>
      <c r="AC268" s="693">
        <f t="shared" si="681"/>
        <v>0</v>
      </c>
      <c r="AD268" s="693">
        <f t="shared" si="681"/>
        <v>0</v>
      </c>
      <c r="AE268" s="340"/>
      <c r="AF268" s="340"/>
      <c r="AG268" s="340"/>
      <c r="AH268" s="340"/>
      <c r="AI268" s="340"/>
      <c r="AJ268" s="340"/>
      <c r="AK268" s="340"/>
      <c r="AL268" s="340"/>
      <c r="AM268" s="340"/>
    </row>
    <row r="269" spans="1:39" ht="15.75">
      <c r="A269" s="340"/>
      <c r="B269" s="692"/>
      <c r="C269" s="692"/>
      <c r="D269" s="692"/>
      <c r="E269" s="692"/>
      <c r="F269" s="692"/>
      <c r="G269" s="692"/>
      <c r="H269" s="692"/>
      <c r="I269" s="692"/>
      <c r="J269" s="692"/>
      <c r="K269" s="692"/>
      <c r="L269" s="692"/>
      <c r="M269" s="692"/>
      <c r="N269" s="692"/>
      <c r="O269" s="692"/>
      <c r="P269" s="692"/>
      <c r="Q269" s="692"/>
      <c r="R269" s="692"/>
      <c r="S269" s="692"/>
      <c r="T269" s="692"/>
      <c r="U269" s="692"/>
      <c r="V269" s="692"/>
      <c r="W269" s="692"/>
      <c r="X269" s="692"/>
      <c r="Y269" s="692"/>
      <c r="Z269" s="692"/>
      <c r="AA269" s="692"/>
      <c r="AB269" s="692"/>
      <c r="AC269" s="692"/>
      <c r="AD269" s="692"/>
      <c r="AE269" s="340"/>
      <c r="AF269" s="340"/>
      <c r="AG269" s="340"/>
      <c r="AH269" s="340"/>
      <c r="AI269" s="340"/>
      <c r="AJ269" s="340"/>
      <c r="AK269" s="340"/>
      <c r="AL269" s="340"/>
      <c r="AM269" s="340"/>
    </row>
    <row r="270" spans="1:39" ht="15.75">
      <c r="A270" s="340"/>
      <c r="B270" s="692" t="s">
        <v>137</v>
      </c>
      <c r="C270" s="727"/>
      <c r="D270" s="728">
        <v>0.4</v>
      </c>
      <c r="E270" s="728">
        <v>0.4</v>
      </c>
      <c r="F270" s="728">
        <v>0.4</v>
      </c>
      <c r="G270" s="728">
        <v>0.1</v>
      </c>
      <c r="H270" s="728">
        <v>0.1</v>
      </c>
      <c r="I270" s="728">
        <v>0.1</v>
      </c>
      <c r="J270" s="728">
        <v>0.1</v>
      </c>
      <c r="K270" s="728">
        <v>0.1</v>
      </c>
      <c r="L270" s="728">
        <v>0.1</v>
      </c>
      <c r="M270" s="728">
        <v>0.1</v>
      </c>
      <c r="N270" s="728">
        <v>0.1</v>
      </c>
      <c r="O270" s="728">
        <v>0.1</v>
      </c>
      <c r="P270" s="728">
        <v>0.1</v>
      </c>
      <c r="Q270" s="728">
        <v>0.1</v>
      </c>
      <c r="R270" s="728">
        <v>0.1</v>
      </c>
      <c r="S270" s="728">
        <v>0.1</v>
      </c>
      <c r="T270" s="728">
        <v>0.1</v>
      </c>
      <c r="U270" s="693">
        <f t="shared" ref="U270" si="682">T270+U266</f>
        <v>0.1</v>
      </c>
      <c r="V270" s="693">
        <f t="shared" ref="V270" si="683">U270+V266</f>
        <v>0.1</v>
      </c>
      <c r="W270" s="693">
        <f t="shared" ref="W270" si="684">V270+W266</f>
        <v>0.1</v>
      </c>
      <c r="X270" s="693">
        <f t="shared" ref="X270" si="685">W270+X266</f>
        <v>0.1</v>
      </c>
      <c r="Y270" s="693">
        <f t="shared" ref="Y270" si="686">X270+Y266</f>
        <v>0.1</v>
      </c>
      <c r="Z270" s="693">
        <f t="shared" ref="Z270" si="687">Y270+Z266</f>
        <v>0.1</v>
      </c>
      <c r="AA270" s="693">
        <f t="shared" ref="AA270" si="688">Z270+AA266</f>
        <v>0.1</v>
      </c>
      <c r="AB270" s="693">
        <f t="shared" ref="AB270" si="689">AA270+AB266</f>
        <v>0.1</v>
      </c>
      <c r="AC270" s="693">
        <f t="shared" ref="AC270" si="690">AB270+AC266</f>
        <v>0.1</v>
      </c>
      <c r="AD270" s="693">
        <f t="shared" ref="AD270" si="691">AC270+AD266</f>
        <v>0.1</v>
      </c>
      <c r="AE270" s="340"/>
      <c r="AF270" s="340"/>
      <c r="AG270" s="340"/>
      <c r="AH270" s="340"/>
      <c r="AI270" s="340"/>
      <c r="AJ270" s="340"/>
      <c r="AK270" s="340"/>
      <c r="AL270" s="340"/>
      <c r="AM270" s="340"/>
    </row>
    <row r="271" spans="1:39" ht="15.75">
      <c r="A271" s="340"/>
      <c r="B271" s="692"/>
      <c r="C271" s="692"/>
      <c r="D271" s="692"/>
      <c r="E271" s="692"/>
      <c r="F271" s="692"/>
      <c r="G271" s="692"/>
      <c r="H271" s="692"/>
      <c r="I271" s="692"/>
      <c r="J271" s="692"/>
      <c r="K271" s="692"/>
      <c r="L271" s="692"/>
      <c r="M271" s="692"/>
      <c r="N271" s="692"/>
      <c r="O271" s="692"/>
      <c r="P271" s="692"/>
      <c r="Q271" s="692"/>
      <c r="R271" s="692"/>
      <c r="S271" s="692"/>
      <c r="T271" s="692"/>
      <c r="U271" s="692"/>
      <c r="V271" s="692"/>
      <c r="W271" s="692"/>
      <c r="X271" s="692"/>
      <c r="Y271" s="692"/>
      <c r="Z271" s="692"/>
      <c r="AA271" s="692"/>
      <c r="AB271" s="692"/>
      <c r="AC271" s="692"/>
      <c r="AD271" s="692"/>
      <c r="AE271" s="340"/>
      <c r="AF271" s="340"/>
      <c r="AG271" s="340"/>
      <c r="AH271" s="340"/>
      <c r="AI271" s="340"/>
      <c r="AJ271" s="340"/>
      <c r="AK271" s="340"/>
      <c r="AL271" s="340"/>
      <c r="AM271" s="340"/>
    </row>
    <row r="272" spans="1:39" ht="15.75">
      <c r="A272" s="340"/>
      <c r="B272" s="692"/>
      <c r="C272" s="692"/>
      <c r="D272" s="692"/>
      <c r="E272" s="692"/>
      <c r="F272" s="692"/>
      <c r="G272" s="692"/>
      <c r="H272" s="692"/>
      <c r="I272" s="692"/>
      <c r="J272" s="692"/>
      <c r="K272" s="692"/>
      <c r="L272" s="692"/>
      <c r="M272" s="692"/>
      <c r="N272" s="692"/>
      <c r="O272" s="692"/>
      <c r="P272" s="692"/>
      <c r="Q272" s="692"/>
      <c r="R272" s="692"/>
      <c r="S272" s="692"/>
      <c r="T272" s="692"/>
      <c r="U272" s="692"/>
      <c r="V272" s="692"/>
      <c r="W272" s="692"/>
      <c r="X272" s="692"/>
      <c r="Y272" s="692"/>
      <c r="Z272" s="692"/>
      <c r="AA272" s="692"/>
      <c r="AB272" s="692"/>
      <c r="AC272" s="692"/>
      <c r="AD272" s="692"/>
      <c r="AE272" s="340"/>
      <c r="AF272" s="340"/>
      <c r="AG272" s="340"/>
      <c r="AH272" s="340"/>
      <c r="AI272" s="340"/>
      <c r="AJ272" s="340"/>
      <c r="AK272" s="340"/>
      <c r="AL272" s="340"/>
      <c r="AM272" s="340"/>
    </row>
    <row r="273" spans="1:39" ht="15.75">
      <c r="A273" s="340"/>
      <c r="B273" s="692"/>
      <c r="C273" s="692"/>
      <c r="D273" s="692"/>
      <c r="E273" s="692"/>
      <c r="F273" s="692"/>
      <c r="G273" s="692"/>
      <c r="H273" s="692"/>
      <c r="I273" s="692"/>
      <c r="J273" s="692"/>
      <c r="K273" s="692"/>
      <c r="L273" s="692"/>
      <c r="M273" s="692"/>
      <c r="N273" s="692"/>
      <c r="O273" s="692"/>
      <c r="P273" s="692"/>
      <c r="Q273" s="692"/>
      <c r="R273" s="692"/>
      <c r="S273" s="692"/>
      <c r="T273" s="692"/>
      <c r="U273" s="692"/>
      <c r="V273" s="692"/>
      <c r="W273" s="692"/>
      <c r="X273" s="692"/>
      <c r="Y273" s="692"/>
      <c r="Z273" s="692"/>
      <c r="AA273" s="692"/>
      <c r="AB273" s="692"/>
      <c r="AC273" s="692"/>
      <c r="AD273" s="692"/>
      <c r="AE273" s="340"/>
      <c r="AF273" s="340"/>
      <c r="AG273" s="340"/>
      <c r="AH273" s="340"/>
      <c r="AI273" s="340"/>
      <c r="AJ273" s="340"/>
      <c r="AK273" s="340"/>
      <c r="AL273" s="340"/>
      <c r="AM273" s="340"/>
    </row>
    <row r="274" spans="1:39" ht="15.75">
      <c r="A274" s="340"/>
      <c r="B274" s="689" t="s">
        <v>40</v>
      </c>
      <c r="C274" s="689">
        <f t="shared" ref="C274:R274" si="692">C265</f>
        <v>2003</v>
      </c>
      <c r="D274" s="689">
        <f t="shared" si="692"/>
        <v>2004</v>
      </c>
      <c r="E274" s="689">
        <f t="shared" si="692"/>
        <v>2005</v>
      </c>
      <c r="F274" s="689">
        <f t="shared" si="692"/>
        <v>2006</v>
      </c>
      <c r="G274" s="689">
        <f t="shared" si="692"/>
        <v>2007</v>
      </c>
      <c r="H274" s="689">
        <f t="shared" si="692"/>
        <v>2008</v>
      </c>
      <c r="I274" s="689">
        <f t="shared" si="692"/>
        <v>2009</v>
      </c>
      <c r="J274" s="689">
        <f t="shared" si="692"/>
        <v>2010</v>
      </c>
      <c r="K274" s="689">
        <f>K265</f>
        <v>2011</v>
      </c>
      <c r="L274" s="689">
        <f t="shared" si="692"/>
        <v>2012</v>
      </c>
      <c r="M274" s="689">
        <f t="shared" si="692"/>
        <v>2013</v>
      </c>
      <c r="N274" s="689">
        <f t="shared" si="692"/>
        <v>2014</v>
      </c>
      <c r="O274" s="689">
        <f t="shared" si="692"/>
        <v>2015</v>
      </c>
      <c r="P274" s="689">
        <f t="shared" si="692"/>
        <v>2016</v>
      </c>
      <c r="Q274" s="689">
        <f t="shared" si="692"/>
        <v>2017</v>
      </c>
      <c r="R274" s="689">
        <f t="shared" si="692"/>
        <v>2018</v>
      </c>
      <c r="S274" s="689">
        <f t="shared" ref="S274:T274" si="693">S265</f>
        <v>2019</v>
      </c>
      <c r="T274" s="689">
        <f t="shared" si="693"/>
        <v>2020</v>
      </c>
      <c r="U274" s="689">
        <f t="shared" ref="U274:Y274" si="694">U265</f>
        <v>2021</v>
      </c>
      <c r="V274" s="689">
        <f t="shared" si="694"/>
        <v>2022</v>
      </c>
      <c r="W274" s="689">
        <f t="shared" si="694"/>
        <v>2023</v>
      </c>
      <c r="X274" s="689">
        <f t="shared" si="694"/>
        <v>2024</v>
      </c>
      <c r="Y274" s="689">
        <f t="shared" si="694"/>
        <v>2025</v>
      </c>
      <c r="Z274" s="689">
        <f t="shared" ref="Z274:AD274" si="695">Z265</f>
        <v>2026</v>
      </c>
      <c r="AA274" s="689">
        <f t="shared" si="695"/>
        <v>2027</v>
      </c>
      <c r="AB274" s="689">
        <f t="shared" si="695"/>
        <v>2028</v>
      </c>
      <c r="AC274" s="689">
        <f t="shared" si="695"/>
        <v>2029</v>
      </c>
      <c r="AD274" s="689">
        <f t="shared" si="695"/>
        <v>2030</v>
      </c>
      <c r="AE274" s="340"/>
      <c r="AF274" s="340"/>
      <c r="AG274" s="340"/>
      <c r="AH274" s="340"/>
      <c r="AI274" s="340"/>
      <c r="AJ274" s="340"/>
      <c r="AK274" s="340"/>
      <c r="AL274" s="340"/>
      <c r="AM274" s="340"/>
    </row>
    <row r="275" spans="1:39" ht="15.75">
      <c r="A275" s="340"/>
      <c r="B275" s="692" t="s">
        <v>40</v>
      </c>
      <c r="C275" s="727"/>
      <c r="D275" s="728">
        <v>0</v>
      </c>
      <c r="E275" s="728">
        <v>0</v>
      </c>
      <c r="F275" s="728">
        <v>0</v>
      </c>
      <c r="G275" s="728">
        <v>0</v>
      </c>
      <c r="H275" s="728">
        <v>0</v>
      </c>
      <c r="I275" s="728">
        <v>0</v>
      </c>
      <c r="J275" s="728">
        <v>0</v>
      </c>
      <c r="K275" s="728">
        <v>0</v>
      </c>
      <c r="L275" s="728">
        <v>95</v>
      </c>
      <c r="M275" s="728">
        <v>131</v>
      </c>
      <c r="N275" s="728">
        <v>64.7</v>
      </c>
      <c r="O275" s="728">
        <v>161</v>
      </c>
      <c r="P275" s="728">
        <v>273</v>
      </c>
      <c r="Q275" s="728">
        <v>173</v>
      </c>
      <c r="R275" s="728">
        <v>174</v>
      </c>
      <c r="S275" s="728">
        <v>156</v>
      </c>
      <c r="T275" s="728">
        <f t="shared" ref="T275:Y275" si="696">S275*1.1</f>
        <v>171.60000000000002</v>
      </c>
      <c r="U275" s="728">
        <v>160.75700000000001</v>
      </c>
      <c r="V275" s="728">
        <v>168.411</v>
      </c>
      <c r="W275" s="728">
        <v>155</v>
      </c>
      <c r="X275" s="728">
        <f t="shared" si="696"/>
        <v>170.5</v>
      </c>
      <c r="Y275" s="728">
        <f t="shared" si="696"/>
        <v>187.55</v>
      </c>
      <c r="Z275" s="728">
        <f t="shared" ref="Z275" si="697">Y275*1.1</f>
        <v>206.30500000000004</v>
      </c>
      <c r="AA275" s="728">
        <f t="shared" ref="AA275" si="698">Z275*1.1</f>
        <v>226.93550000000005</v>
      </c>
      <c r="AB275" s="728">
        <f t="shared" ref="AB275" si="699">AA275*1.1</f>
        <v>249.62905000000006</v>
      </c>
      <c r="AC275" s="728">
        <f t="shared" ref="AC275" si="700">AB275*1.1</f>
        <v>274.5919550000001</v>
      </c>
      <c r="AD275" s="728">
        <f t="shared" ref="AD275" si="701">AC275*1.1</f>
        <v>302.05115050000012</v>
      </c>
      <c r="AE275" s="340"/>
      <c r="AF275" s="340"/>
      <c r="AG275" s="340"/>
      <c r="AH275" s="340"/>
      <c r="AI275" s="340"/>
      <c r="AJ275" s="340"/>
      <c r="AK275" s="340"/>
      <c r="AL275" s="340"/>
      <c r="AM275" s="340"/>
    </row>
    <row r="276" spans="1:39" ht="15.75">
      <c r="A276" s="340"/>
      <c r="B276" s="692" t="s">
        <v>115</v>
      </c>
      <c r="C276" s="727"/>
      <c r="D276" s="728"/>
      <c r="E276" s="728"/>
      <c r="F276" s="728"/>
      <c r="G276" s="728"/>
      <c r="H276" s="728"/>
      <c r="I276" s="728"/>
      <c r="J276" s="728"/>
      <c r="K276" s="728"/>
      <c r="L276" s="728"/>
      <c r="M276" s="728"/>
      <c r="N276" s="728"/>
      <c r="O276" s="728"/>
      <c r="P276" s="728"/>
      <c r="Q276" s="728"/>
      <c r="R276" s="728"/>
      <c r="S276" s="728"/>
      <c r="T276" s="728"/>
      <c r="U276" s="728"/>
      <c r="V276" s="728"/>
      <c r="W276" s="728"/>
      <c r="X276" s="728"/>
      <c r="Y276" s="728"/>
      <c r="Z276" s="728"/>
      <c r="AA276" s="728"/>
      <c r="AB276" s="728"/>
      <c r="AC276" s="728"/>
      <c r="AD276" s="728"/>
      <c r="AE276" s="340"/>
      <c r="AF276" s="340"/>
      <c r="AG276" s="340"/>
      <c r="AH276" s="340"/>
      <c r="AI276" s="340"/>
      <c r="AJ276" s="340"/>
      <c r="AK276" s="340"/>
      <c r="AL276" s="340"/>
      <c r="AM276" s="340"/>
    </row>
    <row r="277" spans="1:39" ht="15.75">
      <c r="A277" s="340"/>
      <c r="B277" s="692" t="s">
        <v>138</v>
      </c>
      <c r="C277" s="693"/>
      <c r="D277" s="693">
        <f t="shared" ref="D277:Q277" si="702">D275-D276</f>
        <v>0</v>
      </c>
      <c r="E277" s="693">
        <f t="shared" si="702"/>
        <v>0</v>
      </c>
      <c r="F277" s="693">
        <f t="shared" si="702"/>
        <v>0</v>
      </c>
      <c r="G277" s="693">
        <f t="shared" si="702"/>
        <v>0</v>
      </c>
      <c r="H277" s="693">
        <f t="shared" si="702"/>
        <v>0</v>
      </c>
      <c r="I277" s="693">
        <f t="shared" si="702"/>
        <v>0</v>
      </c>
      <c r="J277" s="693">
        <f t="shared" si="702"/>
        <v>0</v>
      </c>
      <c r="K277" s="693">
        <f>K275-K276</f>
        <v>0</v>
      </c>
      <c r="L277" s="693">
        <f>L275-L276</f>
        <v>95</v>
      </c>
      <c r="M277" s="693">
        <f>M275-M276</f>
        <v>131</v>
      </c>
      <c r="N277" s="693">
        <f t="shared" si="702"/>
        <v>64.7</v>
      </c>
      <c r="O277" s="693">
        <f t="shared" si="702"/>
        <v>161</v>
      </c>
      <c r="P277" s="693">
        <f t="shared" si="702"/>
        <v>273</v>
      </c>
      <c r="Q277" s="693">
        <f t="shared" si="702"/>
        <v>173</v>
      </c>
      <c r="R277" s="693">
        <f t="shared" ref="R277:S277" si="703">R275-R276</f>
        <v>174</v>
      </c>
      <c r="S277" s="693">
        <f t="shared" si="703"/>
        <v>156</v>
      </c>
      <c r="T277" s="693">
        <f t="shared" ref="T277" si="704">T275-T276</f>
        <v>171.60000000000002</v>
      </c>
      <c r="U277" s="693">
        <f t="shared" ref="U277:Y277" si="705">U275-U276</f>
        <v>160.75700000000001</v>
      </c>
      <c r="V277" s="693">
        <f t="shared" si="705"/>
        <v>168.411</v>
      </c>
      <c r="W277" s="693">
        <f t="shared" si="705"/>
        <v>155</v>
      </c>
      <c r="X277" s="693">
        <f t="shared" si="705"/>
        <v>170.5</v>
      </c>
      <c r="Y277" s="693">
        <f t="shared" si="705"/>
        <v>187.55</v>
      </c>
      <c r="Z277" s="693">
        <f t="shared" ref="Z277:AD277" si="706">Z275-Z276</f>
        <v>206.30500000000004</v>
      </c>
      <c r="AA277" s="693">
        <f t="shared" si="706"/>
        <v>226.93550000000005</v>
      </c>
      <c r="AB277" s="693">
        <f t="shared" si="706"/>
        <v>249.62905000000006</v>
      </c>
      <c r="AC277" s="693">
        <f t="shared" si="706"/>
        <v>274.5919550000001</v>
      </c>
      <c r="AD277" s="693">
        <f t="shared" si="706"/>
        <v>302.05115050000012</v>
      </c>
      <c r="AE277" s="340"/>
      <c r="AF277" s="340"/>
      <c r="AG277" s="340"/>
      <c r="AH277" s="340"/>
      <c r="AI277" s="340"/>
      <c r="AJ277" s="340"/>
      <c r="AK277" s="340"/>
      <c r="AL277" s="340"/>
      <c r="AM277" s="340"/>
    </row>
    <row r="278" spans="1:39" ht="15.75">
      <c r="A278" s="340"/>
      <c r="B278" s="692"/>
      <c r="C278" s="692"/>
      <c r="D278" s="692"/>
      <c r="E278" s="692"/>
      <c r="F278" s="692"/>
      <c r="G278" s="692"/>
      <c r="H278" s="692"/>
      <c r="I278" s="692"/>
      <c r="J278" s="692"/>
      <c r="K278" s="692"/>
      <c r="L278" s="692"/>
      <c r="M278" s="692"/>
      <c r="N278" s="692"/>
      <c r="O278" s="692"/>
      <c r="P278" s="692"/>
      <c r="Q278" s="692"/>
      <c r="R278" s="692"/>
      <c r="S278" s="692"/>
      <c r="T278" s="692"/>
      <c r="U278" s="692"/>
      <c r="V278" s="692"/>
      <c r="W278" s="692"/>
      <c r="X278" s="692"/>
      <c r="Y278" s="692"/>
      <c r="Z278" s="692"/>
      <c r="AA278" s="692"/>
      <c r="AB278" s="692"/>
      <c r="AC278" s="692"/>
      <c r="AD278" s="692"/>
      <c r="AE278" s="340"/>
      <c r="AF278" s="340"/>
      <c r="AG278" s="340"/>
      <c r="AH278" s="340"/>
      <c r="AI278" s="340"/>
      <c r="AJ278" s="340"/>
      <c r="AK278" s="340"/>
      <c r="AL278" s="340"/>
      <c r="AM278" s="340"/>
    </row>
    <row r="279" spans="1:39" ht="15.75">
      <c r="A279" s="340"/>
      <c r="B279" s="692" t="s">
        <v>139</v>
      </c>
      <c r="C279" s="727"/>
      <c r="D279" s="728">
        <v>0</v>
      </c>
      <c r="E279" s="728">
        <v>0</v>
      </c>
      <c r="F279" s="728">
        <v>0</v>
      </c>
      <c r="G279" s="728">
        <v>0</v>
      </c>
      <c r="H279" s="728">
        <v>0</v>
      </c>
      <c r="I279" s="728">
        <v>0</v>
      </c>
      <c r="J279" s="728">
        <v>0</v>
      </c>
      <c r="K279" s="728">
        <v>0</v>
      </c>
      <c r="L279" s="728">
        <v>389</v>
      </c>
      <c r="M279" s="728">
        <v>604</v>
      </c>
      <c r="N279" s="728">
        <v>670</v>
      </c>
      <c r="O279" s="728">
        <v>832</v>
      </c>
      <c r="P279" s="728">
        <v>1102</v>
      </c>
      <c r="Q279" s="728">
        <v>1248</v>
      </c>
      <c r="R279" s="728">
        <v>959</v>
      </c>
      <c r="S279" s="728">
        <v>1331</v>
      </c>
      <c r="T279" s="728">
        <v>1370</v>
      </c>
      <c r="U279" s="728">
        <v>1460.57</v>
      </c>
      <c r="V279" s="728">
        <v>1487.616</v>
      </c>
      <c r="W279" s="728">
        <v>876.82</v>
      </c>
      <c r="X279" s="693">
        <f t="shared" ref="X279" si="707">W279+X275-X301</f>
        <v>1047.3200000000002</v>
      </c>
      <c r="Y279" s="693">
        <f t="shared" ref="Y279" si="708">X279+Y275-Y301</f>
        <v>1234.8700000000001</v>
      </c>
      <c r="Z279" s="693">
        <f t="shared" ref="Z279" si="709">Y279+Z275-Z301</f>
        <v>1441.1750000000002</v>
      </c>
      <c r="AA279" s="693">
        <f t="shared" ref="AA279" si="710">Z279+AA275-AA301</f>
        <v>1668.1105000000002</v>
      </c>
      <c r="AB279" s="693">
        <f t="shared" ref="AB279" si="711">AA279+AB275-AB301</f>
        <v>1917.7395500000002</v>
      </c>
      <c r="AC279" s="693">
        <f t="shared" ref="AC279" si="712">AB279+AC275-AC301</f>
        <v>2192.3315050000001</v>
      </c>
      <c r="AD279" s="693">
        <f t="shared" ref="AD279" si="713">AC279+AD275-AD301</f>
        <v>2494.3826555000001</v>
      </c>
      <c r="AE279" s="340"/>
      <c r="AF279" s="340"/>
      <c r="AG279" s="340"/>
      <c r="AH279" s="340"/>
      <c r="AI279" s="340"/>
      <c r="AJ279" s="340"/>
      <c r="AK279" s="340"/>
      <c r="AL279" s="340"/>
      <c r="AM279" s="340"/>
    </row>
    <row r="280" spans="1:39" ht="15.75">
      <c r="A280" s="340"/>
      <c r="B280" s="692"/>
      <c r="C280" s="692"/>
      <c r="D280" s="692"/>
      <c r="E280" s="692"/>
      <c r="F280" s="692"/>
      <c r="G280" s="692"/>
      <c r="H280" s="692"/>
      <c r="I280" s="692"/>
      <c r="J280" s="692"/>
      <c r="K280" s="692"/>
      <c r="L280" s="692"/>
      <c r="M280" s="692"/>
      <c r="N280" s="692"/>
      <c r="O280" s="692"/>
      <c r="P280" s="692"/>
      <c r="Q280" s="692"/>
      <c r="R280" s="692"/>
      <c r="S280" s="692"/>
      <c r="T280" s="692"/>
      <c r="U280" s="692"/>
      <c r="V280" s="692"/>
      <c r="W280" s="692"/>
      <c r="X280" s="692"/>
      <c r="Y280" s="692"/>
      <c r="Z280" s="692"/>
      <c r="AA280" s="692"/>
      <c r="AB280" s="692"/>
      <c r="AC280" s="692"/>
      <c r="AD280" s="692"/>
      <c r="AE280" s="340"/>
      <c r="AF280" s="340"/>
      <c r="AG280" s="340"/>
      <c r="AH280" s="340"/>
      <c r="AI280" s="340"/>
      <c r="AJ280" s="340"/>
      <c r="AK280" s="340"/>
      <c r="AL280" s="340"/>
      <c r="AM280" s="340"/>
    </row>
    <row r="281" spans="1:39" ht="15.75">
      <c r="A281" s="340"/>
      <c r="B281" s="692"/>
      <c r="C281" s="692"/>
      <c r="D281" s="692"/>
      <c r="E281" s="692"/>
      <c r="F281" s="692"/>
      <c r="G281" s="692"/>
      <c r="H281" s="692"/>
      <c r="I281" s="692"/>
      <c r="J281" s="692"/>
      <c r="K281" s="692"/>
      <c r="L281" s="692"/>
      <c r="M281" s="692"/>
      <c r="N281" s="692"/>
      <c r="O281" s="692"/>
      <c r="P281" s="692"/>
      <c r="Q281" s="692"/>
      <c r="R281" s="692"/>
      <c r="S281" s="692"/>
      <c r="T281" s="692"/>
      <c r="U281" s="692"/>
      <c r="V281" s="692"/>
      <c r="W281" s="692"/>
      <c r="X281" s="692"/>
      <c r="Y281" s="692"/>
      <c r="Z281" s="692"/>
      <c r="AA281" s="692"/>
      <c r="AB281" s="692"/>
      <c r="AC281" s="692"/>
      <c r="AD281" s="692"/>
      <c r="AE281" s="340"/>
      <c r="AF281" s="340"/>
      <c r="AG281" s="340"/>
      <c r="AH281" s="340"/>
      <c r="AI281" s="340"/>
      <c r="AJ281" s="340"/>
      <c r="AK281" s="340"/>
      <c r="AL281" s="340"/>
      <c r="AM281" s="340"/>
    </row>
    <row r="282" spans="1:39" ht="15.75">
      <c r="A282" s="340"/>
      <c r="B282" s="692"/>
      <c r="C282" s="692"/>
      <c r="D282" s="692"/>
      <c r="E282" s="692"/>
      <c r="F282" s="692"/>
      <c r="G282" s="692"/>
      <c r="H282" s="692"/>
      <c r="I282" s="692"/>
      <c r="J282" s="692"/>
      <c r="K282" s="692"/>
      <c r="L282" s="692"/>
      <c r="M282" s="692"/>
      <c r="N282" s="692"/>
      <c r="O282" s="692"/>
      <c r="P282" s="692"/>
      <c r="Q282" s="692"/>
      <c r="R282" s="692"/>
      <c r="S282" s="692"/>
      <c r="T282" s="692"/>
      <c r="U282" s="692"/>
      <c r="V282" s="692"/>
      <c r="W282" s="692"/>
      <c r="X282" s="692"/>
      <c r="Y282" s="692"/>
      <c r="Z282" s="692"/>
      <c r="AA282" s="692"/>
      <c r="AB282" s="692"/>
      <c r="AC282" s="692"/>
      <c r="AD282" s="692"/>
      <c r="AE282" s="340"/>
      <c r="AF282" s="340"/>
      <c r="AG282" s="340"/>
      <c r="AH282" s="340"/>
      <c r="AI282" s="340"/>
      <c r="AJ282" s="340"/>
      <c r="AK282" s="340"/>
      <c r="AL282" s="340"/>
      <c r="AM282" s="340"/>
    </row>
    <row r="283" spans="1:39" ht="15.75">
      <c r="A283" s="340"/>
      <c r="B283" s="689" t="s">
        <v>41</v>
      </c>
      <c r="C283" s="689">
        <v>2003</v>
      </c>
      <c r="D283" s="689">
        <f t="shared" ref="D283:T283" si="714">C283+1</f>
        <v>2004</v>
      </c>
      <c r="E283" s="689">
        <f t="shared" si="714"/>
        <v>2005</v>
      </c>
      <c r="F283" s="689">
        <f t="shared" si="714"/>
        <v>2006</v>
      </c>
      <c r="G283" s="689">
        <f t="shared" si="714"/>
        <v>2007</v>
      </c>
      <c r="H283" s="689">
        <f t="shared" si="714"/>
        <v>2008</v>
      </c>
      <c r="I283" s="689">
        <f t="shared" si="714"/>
        <v>2009</v>
      </c>
      <c r="J283" s="689">
        <f t="shared" si="714"/>
        <v>2010</v>
      </c>
      <c r="K283" s="689">
        <f t="shared" si="714"/>
        <v>2011</v>
      </c>
      <c r="L283" s="689">
        <f t="shared" si="714"/>
        <v>2012</v>
      </c>
      <c r="M283" s="689">
        <f t="shared" si="714"/>
        <v>2013</v>
      </c>
      <c r="N283" s="689">
        <f t="shared" si="714"/>
        <v>2014</v>
      </c>
      <c r="O283" s="689">
        <f t="shared" si="714"/>
        <v>2015</v>
      </c>
      <c r="P283" s="689">
        <f t="shared" si="714"/>
        <v>2016</v>
      </c>
      <c r="Q283" s="689">
        <f t="shared" si="714"/>
        <v>2017</v>
      </c>
      <c r="R283" s="689">
        <f t="shared" si="714"/>
        <v>2018</v>
      </c>
      <c r="S283" s="689">
        <f t="shared" si="714"/>
        <v>2019</v>
      </c>
      <c r="T283" s="689">
        <f t="shared" si="714"/>
        <v>2020</v>
      </c>
      <c r="U283" s="689">
        <f t="shared" ref="U283" si="715">T283+1</f>
        <v>2021</v>
      </c>
      <c r="V283" s="689">
        <f t="shared" ref="V283" si="716">U283+1</f>
        <v>2022</v>
      </c>
      <c r="W283" s="689">
        <f t="shared" ref="W283" si="717">V283+1</f>
        <v>2023</v>
      </c>
      <c r="X283" s="689">
        <f t="shared" ref="X283" si="718">W283+1</f>
        <v>2024</v>
      </c>
      <c r="Y283" s="689">
        <f t="shared" ref="Y283" si="719">X283+1</f>
        <v>2025</v>
      </c>
      <c r="Z283" s="689">
        <f t="shared" ref="Z283" si="720">Y283+1</f>
        <v>2026</v>
      </c>
      <c r="AA283" s="689">
        <f t="shared" ref="AA283" si="721">Z283+1</f>
        <v>2027</v>
      </c>
      <c r="AB283" s="689">
        <f t="shared" ref="AB283" si="722">AA283+1</f>
        <v>2028</v>
      </c>
      <c r="AC283" s="689">
        <f t="shared" ref="AC283" si="723">AB283+1</f>
        <v>2029</v>
      </c>
      <c r="AD283" s="689">
        <f t="shared" ref="AD283" si="724">AC283+1</f>
        <v>2030</v>
      </c>
      <c r="AE283" s="340"/>
      <c r="AF283" s="340"/>
      <c r="AG283" s="340"/>
      <c r="AH283" s="340"/>
      <c r="AI283" s="340"/>
      <c r="AJ283" s="340"/>
      <c r="AK283" s="340"/>
      <c r="AL283" s="340"/>
      <c r="AM283" s="340"/>
    </row>
    <row r="284" spans="1:39" ht="15.75">
      <c r="A284" s="340"/>
      <c r="B284" s="692" t="s">
        <v>41</v>
      </c>
      <c r="C284" s="727"/>
      <c r="D284" s="728"/>
      <c r="E284" s="728"/>
      <c r="F284" s="728"/>
      <c r="G284" s="728"/>
      <c r="H284" s="728"/>
      <c r="I284" s="728"/>
      <c r="J284" s="728"/>
      <c r="K284" s="728"/>
      <c r="L284" s="728">
        <v>14518</v>
      </c>
      <c r="M284" s="728">
        <v>14878</v>
      </c>
      <c r="N284" s="728">
        <f>17845-N279</f>
        <v>17175</v>
      </c>
      <c r="O284" s="728">
        <f>20180-O279</f>
        <v>19348</v>
      </c>
      <c r="P284" s="728">
        <f>22894-P279</f>
        <v>21792</v>
      </c>
      <c r="Q284" s="728">
        <f>26100-Q279</f>
        <v>24852</v>
      </c>
      <c r="R284" s="728">
        <f>28650-R279</f>
        <v>27691</v>
      </c>
      <c r="S284" s="728">
        <f>30974-S279</f>
        <v>29643</v>
      </c>
      <c r="T284" s="728">
        <f>33885-T279</f>
        <v>32515</v>
      </c>
      <c r="U284" s="728">
        <f>35843.6-U279</f>
        <v>34383.03</v>
      </c>
      <c r="V284" s="728">
        <f>36189.314-V279</f>
        <v>34701.697999999997</v>
      </c>
      <c r="W284" s="728">
        <v>35906.803999999996</v>
      </c>
      <c r="X284" s="693">
        <f ca="1">W284+SUM(X285:X288)</f>
        <v>36471.167087094458</v>
      </c>
      <c r="Y284" s="693">
        <f ca="1">X284+SUM(Y285:Y288)</f>
        <v>37979.406135114346</v>
      </c>
      <c r="Z284" s="693">
        <f t="shared" ref="Z284:AD284" ca="1" si="725">Y284+SUM(Z285:Z288)</f>
        <v>40193.529885855547</v>
      </c>
      <c r="AA284" s="693">
        <f t="shared" ca="1" si="725"/>
        <v>42876.376416602514</v>
      </c>
      <c r="AB284" s="693">
        <f t="shared" ca="1" si="725"/>
        <v>45988.388789686316</v>
      </c>
      <c r="AC284" s="693">
        <f t="shared" ca="1" si="725"/>
        <v>49345.776183366819</v>
      </c>
      <c r="AD284" s="693">
        <f t="shared" ca="1" si="725"/>
        <v>52738.302245369799</v>
      </c>
      <c r="AE284" s="340"/>
      <c r="AF284" s="340"/>
      <c r="AG284" s="340"/>
      <c r="AH284" s="340"/>
      <c r="AI284" s="340"/>
      <c r="AJ284" s="340"/>
      <c r="AK284" s="340"/>
      <c r="AL284" s="340"/>
      <c r="AM284" s="340"/>
    </row>
    <row r="285" spans="1:39" ht="15.75">
      <c r="A285" s="340"/>
      <c r="B285" s="692" t="s">
        <v>17</v>
      </c>
      <c r="C285" s="693"/>
      <c r="D285" s="693">
        <f t="shared" ref="D285:S285" si="726">D34</f>
        <v>0</v>
      </c>
      <c r="E285" s="693">
        <f t="shared" si="726"/>
        <v>1554</v>
      </c>
      <c r="F285" s="693">
        <f t="shared" si="726"/>
        <v>1545</v>
      </c>
      <c r="G285" s="693">
        <f t="shared" si="726"/>
        <v>2165</v>
      </c>
      <c r="H285" s="693">
        <f t="shared" si="726"/>
        <v>2890</v>
      </c>
      <c r="I285" s="693">
        <f t="shared" si="726"/>
        <v>2968</v>
      </c>
      <c r="J285" s="693">
        <f t="shared" si="726"/>
        <v>3075</v>
      </c>
      <c r="K285" s="693">
        <f t="shared" si="726"/>
        <v>3561</v>
      </c>
      <c r="L285" s="693">
        <f t="shared" si="726"/>
        <v>1929</v>
      </c>
      <c r="M285" s="693">
        <f t="shared" si="726"/>
        <v>1892</v>
      </c>
      <c r="N285" s="693">
        <f t="shared" ref="N285:O285" si="727">N34</f>
        <v>2353.5</v>
      </c>
      <c r="O285" s="693">
        <f t="shared" si="727"/>
        <v>3162.7330000000002</v>
      </c>
      <c r="P285" s="693">
        <f t="shared" si="726"/>
        <v>3856</v>
      </c>
      <c r="Q285" s="693">
        <f t="shared" si="726"/>
        <v>4136.4999999999991</v>
      </c>
      <c r="R285" s="693">
        <f t="shared" si="726"/>
        <v>4509.3999999999996</v>
      </c>
      <c r="S285" s="693">
        <f t="shared" si="726"/>
        <v>4258</v>
      </c>
      <c r="T285" s="693">
        <f t="shared" ref="T285" si="728">T34</f>
        <v>4182.3999999999996</v>
      </c>
      <c r="U285" s="693">
        <f ca="1">U34</f>
        <v>4287.9240000000009</v>
      </c>
      <c r="V285" s="693">
        <f>V34</f>
        <v>3566.0840000000007</v>
      </c>
      <c r="W285" s="693">
        <f>W34</f>
        <v>2879.9740000000006</v>
      </c>
      <c r="X285" s="693">
        <f ca="1">X34</f>
        <v>3182.7896120944606</v>
      </c>
      <c r="Y285" s="693">
        <f ca="1">Y34</f>
        <v>4257.5868992698897</v>
      </c>
      <c r="Z285" s="693">
        <f t="shared" ref="Z285:AD285" ca="1" si="729">Z34</f>
        <v>5238.4063871162016</v>
      </c>
      <c r="AA285" s="693">
        <f t="shared" ca="1" si="729"/>
        <v>6009.5574307594688</v>
      </c>
      <c r="AB285" s="693">
        <f t="shared" ca="1" si="729"/>
        <v>6771.3943630975491</v>
      </c>
      <c r="AC285" s="693">
        <f t="shared" ca="1" si="729"/>
        <v>7382.7075826956279</v>
      </c>
      <c r="AD285" s="693">
        <f t="shared" ca="1" si="729"/>
        <v>7820.3782699196208</v>
      </c>
      <c r="AE285" s="340"/>
      <c r="AF285" s="340"/>
      <c r="AG285" s="340"/>
      <c r="AH285" s="340"/>
      <c r="AI285" s="340"/>
      <c r="AJ285" s="340"/>
      <c r="AK285" s="340"/>
      <c r="AL285" s="340"/>
      <c r="AM285" s="340"/>
    </row>
    <row r="286" spans="1:39" ht="15.75">
      <c r="A286" s="340"/>
      <c r="B286" s="692" t="s">
        <v>140</v>
      </c>
      <c r="C286" s="693"/>
      <c r="D286" s="693">
        <f t="shared" ref="D286:K286" si="730">-C338-D303</f>
        <v>0</v>
      </c>
      <c r="E286" s="693">
        <f t="shared" si="730"/>
        <v>0</v>
      </c>
      <c r="F286" s="693">
        <f t="shared" si="730"/>
        <v>0</v>
      </c>
      <c r="G286" s="693">
        <f t="shared" si="730"/>
        <v>0</v>
      </c>
      <c r="H286" s="693">
        <f t="shared" si="730"/>
        <v>0</v>
      </c>
      <c r="I286" s="693">
        <f t="shared" si="730"/>
        <v>0</v>
      </c>
      <c r="J286" s="693">
        <f t="shared" si="730"/>
        <v>0</v>
      </c>
      <c r="K286" s="693">
        <f t="shared" si="730"/>
        <v>0</v>
      </c>
      <c r="L286" s="693">
        <f>-L338-L303</f>
        <v>-533.11290791850001</v>
      </c>
      <c r="M286" s="693">
        <f>-M338-M303</f>
        <v>-1568.522957337</v>
      </c>
      <c r="N286" s="693">
        <v>0</v>
      </c>
      <c r="O286" s="693">
        <v>0</v>
      </c>
      <c r="P286" s="693">
        <f t="shared" ref="P286:Y286" si="731">-O338-P303</f>
        <v>-1168.58952</v>
      </c>
      <c r="Q286" s="693">
        <f t="shared" si="731"/>
        <v>-1391.9963399999999</v>
      </c>
      <c r="R286" s="693">
        <f t="shared" si="731"/>
        <v>-1529.4774599999998</v>
      </c>
      <c r="S286" s="693">
        <f t="shared" si="731"/>
        <v>-1873.1802600000001</v>
      </c>
      <c r="T286" s="693">
        <f t="shared" si="731"/>
        <v>-1529.4774599999998</v>
      </c>
      <c r="U286" s="693">
        <f t="shared" si="731"/>
        <v>-2201.6972799999999</v>
      </c>
      <c r="V286" s="693">
        <f t="shared" si="731"/>
        <v>-2418.08232</v>
      </c>
      <c r="W286" s="693">
        <f t="shared" si="731"/>
        <v>-2538.5477999999998</v>
      </c>
      <c r="X286" s="693">
        <f t="shared" si="731"/>
        <v>-2618.4265249999999</v>
      </c>
      <c r="Y286" s="693">
        <f t="shared" si="731"/>
        <v>-2749.3478512500001</v>
      </c>
      <c r="Z286" s="693">
        <f t="shared" ref="Z286" si="732">-Y338-Z303</f>
        <v>-3024.282636375</v>
      </c>
      <c r="AA286" s="693">
        <f t="shared" ref="AA286" si="733">-Z338-AA303</f>
        <v>-3326.7109000125006</v>
      </c>
      <c r="AB286" s="693">
        <f t="shared" ref="AB286" si="734">-AA338-AB303</f>
        <v>-3659.3819900137505</v>
      </c>
      <c r="AC286" s="693">
        <f t="shared" ref="AC286" si="735">-AB338-AC303</f>
        <v>-4025.3201890151263</v>
      </c>
      <c r="AD286" s="693">
        <f t="shared" ref="AD286" si="736">-AC338-AD303</f>
        <v>-4427.8522079166387</v>
      </c>
      <c r="AE286" s="340"/>
      <c r="AF286" s="340"/>
      <c r="AG286" s="340"/>
      <c r="AH286" s="340"/>
      <c r="AI286" s="340"/>
      <c r="AJ286" s="340"/>
      <c r="AK286" s="340"/>
      <c r="AL286" s="340"/>
      <c r="AM286" s="340"/>
    </row>
    <row r="287" spans="1:39" ht="15.75">
      <c r="A287" s="340"/>
      <c r="B287" s="692" t="s">
        <v>141</v>
      </c>
      <c r="C287" s="693"/>
      <c r="D287" s="711"/>
      <c r="E287" s="711"/>
      <c r="F287" s="711"/>
      <c r="G287" s="711"/>
      <c r="H287" s="711"/>
      <c r="I287" s="711"/>
      <c r="J287" s="711"/>
      <c r="K287" s="711"/>
      <c r="L287" s="711"/>
      <c r="M287" s="711"/>
      <c r="N287" s="711"/>
      <c r="O287" s="711"/>
      <c r="P287" s="711"/>
      <c r="Q287" s="711"/>
      <c r="R287" s="711"/>
      <c r="S287" s="711"/>
      <c r="T287" s="711"/>
      <c r="U287" s="711"/>
      <c r="V287" s="711"/>
      <c r="W287" s="711"/>
      <c r="X287" s="711"/>
      <c r="Y287" s="711"/>
      <c r="Z287" s="711"/>
      <c r="AA287" s="711"/>
      <c r="AB287" s="711"/>
      <c r="AC287" s="711"/>
      <c r="AD287" s="711"/>
      <c r="AE287" s="340"/>
      <c r="AF287" s="340"/>
      <c r="AG287" s="340"/>
      <c r="AH287" s="340"/>
      <c r="AI287" s="340"/>
      <c r="AJ287" s="340"/>
      <c r="AK287" s="340"/>
      <c r="AL287" s="340"/>
      <c r="AM287" s="340"/>
    </row>
    <row r="288" spans="1:39" ht="15.75">
      <c r="A288" s="340"/>
      <c r="B288" s="692" t="s">
        <v>69</v>
      </c>
      <c r="C288" s="693"/>
      <c r="D288" s="693"/>
      <c r="E288" s="693"/>
      <c r="F288" s="693"/>
      <c r="G288" s="693"/>
      <c r="H288" s="693"/>
      <c r="I288" s="692"/>
      <c r="J288" s="692"/>
      <c r="K288" s="692"/>
      <c r="L288" s="692"/>
      <c r="M288" s="692"/>
      <c r="N288" s="692"/>
      <c r="O288" s="692"/>
      <c r="P288" s="692"/>
      <c r="Q288" s="692"/>
      <c r="R288" s="692"/>
      <c r="S288" s="692"/>
      <c r="T288" s="692"/>
      <c r="U288" s="692"/>
      <c r="V288" s="692"/>
      <c r="W288" s="692"/>
      <c r="X288" s="692"/>
      <c r="Y288" s="692"/>
      <c r="Z288" s="692"/>
      <c r="AA288" s="692"/>
      <c r="AB288" s="692"/>
      <c r="AC288" s="692"/>
      <c r="AD288" s="692"/>
      <c r="AE288" s="340"/>
      <c r="AF288" s="340"/>
      <c r="AG288" s="340"/>
      <c r="AH288" s="340"/>
      <c r="AI288" s="340"/>
      <c r="AJ288" s="340"/>
      <c r="AK288" s="340"/>
      <c r="AL288" s="340"/>
      <c r="AM288" s="340"/>
    </row>
    <row r="289" spans="1:39" ht="15.75">
      <c r="A289" s="340"/>
      <c r="B289" s="692"/>
      <c r="C289" s="693"/>
      <c r="D289" s="693"/>
      <c r="E289" s="693"/>
      <c r="F289" s="693"/>
      <c r="G289" s="693"/>
      <c r="H289" s="693"/>
      <c r="I289" s="692"/>
      <c r="J289" s="692"/>
      <c r="K289" s="692"/>
      <c r="L289" s="692"/>
      <c r="M289" s="692"/>
      <c r="N289" s="692"/>
      <c r="O289" s="692"/>
      <c r="P289" s="692"/>
      <c r="Q289" s="692"/>
      <c r="R289" s="692"/>
      <c r="S289" s="692"/>
      <c r="T289" s="692"/>
      <c r="U289" s="692"/>
      <c r="V289" s="692"/>
      <c r="W289" s="692"/>
      <c r="X289" s="692"/>
      <c r="Y289" s="692"/>
      <c r="Z289" s="692"/>
      <c r="AA289" s="692"/>
      <c r="AB289" s="692"/>
      <c r="AC289" s="692"/>
      <c r="AD289" s="692"/>
      <c r="AE289" s="340"/>
      <c r="AF289" s="340"/>
      <c r="AG289" s="340"/>
      <c r="AH289" s="340"/>
      <c r="AI289" s="340"/>
      <c r="AJ289" s="340"/>
      <c r="AK289" s="340"/>
      <c r="AL289" s="340"/>
      <c r="AM289" s="340"/>
    </row>
    <row r="290" spans="1:39" ht="15.75">
      <c r="A290" s="340"/>
      <c r="B290" s="692"/>
      <c r="C290" s="693"/>
      <c r="D290" s="693"/>
      <c r="E290" s="693"/>
      <c r="F290" s="693"/>
      <c r="G290" s="693"/>
      <c r="H290" s="693"/>
      <c r="I290" s="692"/>
      <c r="J290" s="692"/>
      <c r="K290" s="692"/>
      <c r="L290" s="692"/>
      <c r="M290" s="692"/>
      <c r="N290" s="692"/>
      <c r="O290" s="692"/>
      <c r="P290" s="692"/>
      <c r="Q290" s="692"/>
      <c r="R290" s="692"/>
      <c r="S290" s="692"/>
      <c r="T290" s="692"/>
      <c r="U290" s="692"/>
      <c r="V290" s="692"/>
      <c r="W290" s="692"/>
      <c r="X290" s="692"/>
      <c r="Y290" s="692"/>
      <c r="Z290" s="692"/>
      <c r="AA290" s="692"/>
      <c r="AB290" s="692"/>
      <c r="AC290" s="692"/>
      <c r="AD290" s="692"/>
      <c r="AE290" s="340"/>
      <c r="AF290" s="340"/>
      <c r="AG290" s="340"/>
      <c r="AH290" s="340"/>
      <c r="AI290" s="340"/>
      <c r="AJ290" s="340"/>
      <c r="AK290" s="340"/>
      <c r="AL290" s="340"/>
      <c r="AM290" s="340"/>
    </row>
    <row r="291" spans="1:39" ht="15.75">
      <c r="A291" s="340"/>
      <c r="B291" s="692"/>
      <c r="C291" s="693"/>
      <c r="D291" s="693"/>
      <c r="E291" s="693"/>
      <c r="F291" s="693"/>
      <c r="G291" s="693"/>
      <c r="H291" s="693"/>
      <c r="I291" s="692"/>
      <c r="J291" s="692"/>
      <c r="K291" s="692"/>
      <c r="L291" s="692"/>
      <c r="M291" s="692"/>
      <c r="N291" s="692"/>
      <c r="O291" s="692"/>
      <c r="P291" s="692"/>
      <c r="Q291" s="692"/>
      <c r="R291" s="692"/>
      <c r="S291" s="692"/>
      <c r="T291" s="692"/>
      <c r="U291" s="692"/>
      <c r="V291" s="692"/>
      <c r="W291" s="692"/>
      <c r="X291" s="692"/>
      <c r="Y291" s="692"/>
      <c r="Z291" s="692"/>
      <c r="AA291" s="692"/>
      <c r="AB291" s="692"/>
      <c r="AC291" s="692"/>
      <c r="AD291" s="692"/>
      <c r="AE291" s="340"/>
      <c r="AF291" s="340"/>
      <c r="AG291" s="340"/>
      <c r="AH291" s="340"/>
      <c r="AI291" s="340"/>
      <c r="AJ291" s="340"/>
      <c r="AK291" s="340"/>
      <c r="AL291" s="340"/>
      <c r="AM291" s="340"/>
    </row>
    <row r="292" spans="1:39" ht="15.75">
      <c r="A292" s="340"/>
      <c r="B292" s="689" t="s">
        <v>22</v>
      </c>
      <c r="C292" s="689">
        <v>2003</v>
      </c>
      <c r="D292" s="689">
        <f t="shared" ref="D292:T292" si="737">C292+1</f>
        <v>2004</v>
      </c>
      <c r="E292" s="689">
        <f t="shared" si="737"/>
        <v>2005</v>
      </c>
      <c r="F292" s="689">
        <f t="shared" si="737"/>
        <v>2006</v>
      </c>
      <c r="G292" s="689">
        <f t="shared" si="737"/>
        <v>2007</v>
      </c>
      <c r="H292" s="689">
        <f t="shared" si="737"/>
        <v>2008</v>
      </c>
      <c r="I292" s="689">
        <f t="shared" si="737"/>
        <v>2009</v>
      </c>
      <c r="J292" s="689">
        <f t="shared" si="737"/>
        <v>2010</v>
      </c>
      <c r="K292" s="689">
        <f t="shared" si="737"/>
        <v>2011</v>
      </c>
      <c r="L292" s="689">
        <f t="shared" si="737"/>
        <v>2012</v>
      </c>
      <c r="M292" s="689">
        <f t="shared" si="737"/>
        <v>2013</v>
      </c>
      <c r="N292" s="689">
        <f t="shared" si="737"/>
        <v>2014</v>
      </c>
      <c r="O292" s="689">
        <f t="shared" si="737"/>
        <v>2015</v>
      </c>
      <c r="P292" s="689">
        <f t="shared" si="737"/>
        <v>2016</v>
      </c>
      <c r="Q292" s="689">
        <f t="shared" si="737"/>
        <v>2017</v>
      </c>
      <c r="R292" s="689">
        <f t="shared" si="737"/>
        <v>2018</v>
      </c>
      <c r="S292" s="689">
        <f t="shared" si="737"/>
        <v>2019</v>
      </c>
      <c r="T292" s="689">
        <f t="shared" si="737"/>
        <v>2020</v>
      </c>
      <c r="U292" s="689">
        <f t="shared" ref="U292" si="738">T292+1</f>
        <v>2021</v>
      </c>
      <c r="V292" s="689">
        <f t="shared" ref="V292" si="739">U292+1</f>
        <v>2022</v>
      </c>
      <c r="W292" s="689">
        <f t="shared" ref="W292" si="740">V292+1</f>
        <v>2023</v>
      </c>
      <c r="X292" s="689">
        <f t="shared" ref="X292" si="741">W292+1</f>
        <v>2024</v>
      </c>
      <c r="Y292" s="689">
        <f t="shared" ref="Y292" si="742">X292+1</f>
        <v>2025</v>
      </c>
      <c r="Z292" s="689">
        <f t="shared" ref="Z292" si="743">Y292+1</f>
        <v>2026</v>
      </c>
      <c r="AA292" s="689">
        <f t="shared" ref="AA292" si="744">Z292+1</f>
        <v>2027</v>
      </c>
      <c r="AB292" s="689">
        <f t="shared" ref="AB292" si="745">AA292+1</f>
        <v>2028</v>
      </c>
      <c r="AC292" s="689">
        <f t="shared" ref="AC292" si="746">AB292+1</f>
        <v>2029</v>
      </c>
      <c r="AD292" s="689">
        <f t="shared" ref="AD292" si="747">AC292+1</f>
        <v>2030</v>
      </c>
      <c r="AE292" s="340"/>
      <c r="AF292" s="340"/>
      <c r="AG292" s="340"/>
      <c r="AH292" s="340"/>
      <c r="AI292" s="340"/>
      <c r="AJ292" s="340"/>
      <c r="AK292" s="340"/>
      <c r="AL292" s="340"/>
      <c r="AM292" s="340"/>
    </row>
    <row r="293" spans="1:39" ht="15.75">
      <c r="A293" s="340"/>
      <c r="B293" s="692" t="s">
        <v>22</v>
      </c>
      <c r="C293" s="693"/>
      <c r="D293" s="697"/>
      <c r="E293" s="697"/>
      <c r="F293" s="697"/>
      <c r="G293" s="697"/>
      <c r="H293" s="697"/>
      <c r="I293" s="693">
        <f t="shared" ref="I293:L293" si="748">I44</f>
        <v>1516</v>
      </c>
      <c r="J293" s="693">
        <f t="shared" si="748"/>
        <v>1510</v>
      </c>
      <c r="K293" s="693">
        <f t="shared" si="748"/>
        <v>1974</v>
      </c>
      <c r="L293" s="693">
        <f t="shared" si="748"/>
        <v>1985</v>
      </c>
      <c r="M293" s="693">
        <f>M44</f>
        <v>2000</v>
      </c>
      <c r="N293" s="693">
        <f t="shared" ref="N293:T293" si="749">N44</f>
        <v>2336</v>
      </c>
      <c r="O293" s="693">
        <f t="shared" si="749"/>
        <v>3765</v>
      </c>
      <c r="P293" s="693">
        <f t="shared" si="749"/>
        <v>4874</v>
      </c>
      <c r="Q293" s="693">
        <f t="shared" si="749"/>
        <v>4692</v>
      </c>
      <c r="R293" s="693">
        <f t="shared" si="749"/>
        <v>5753.1229999999996</v>
      </c>
      <c r="S293" s="693">
        <f t="shared" si="749"/>
        <v>6535</v>
      </c>
      <c r="T293" s="693">
        <f t="shared" si="749"/>
        <v>8081</v>
      </c>
      <c r="U293" s="693">
        <f t="shared" ref="U293" si="750">U44</f>
        <v>9466.5730000000003</v>
      </c>
      <c r="V293" s="693">
        <f>V44</f>
        <v>11836</v>
      </c>
      <c r="W293" s="693">
        <f>W44</f>
        <v>12949</v>
      </c>
      <c r="X293" s="693">
        <f>X44</f>
        <v>10918.295376578899</v>
      </c>
      <c r="Y293" s="693">
        <f>Y44</f>
        <v>10087.477536246211</v>
      </c>
      <c r="Z293" s="693">
        <f t="shared" ref="Z293:AD293" si="751">Z44</f>
        <v>9687.2157358793829</v>
      </c>
      <c r="AA293" s="693">
        <f t="shared" si="751"/>
        <v>9427.2813729434729</v>
      </c>
      <c r="AB293" s="693">
        <f t="shared" si="751"/>
        <v>9903.9843102681043</v>
      </c>
      <c r="AC293" s="693">
        <f t="shared" si="751"/>
        <v>10371.713185924635</v>
      </c>
      <c r="AD293" s="693">
        <f t="shared" si="751"/>
        <v>10849.85768156236</v>
      </c>
      <c r="AE293" s="340"/>
      <c r="AF293" s="340"/>
      <c r="AG293" s="340"/>
      <c r="AH293" s="340"/>
      <c r="AI293" s="340"/>
      <c r="AJ293" s="340"/>
      <c r="AK293" s="340"/>
      <c r="AL293" s="340"/>
      <c r="AM293" s="340"/>
    </row>
    <row r="294" spans="1:39" ht="15.75">
      <c r="A294" s="340"/>
      <c r="B294" s="692" t="s">
        <v>142</v>
      </c>
      <c r="C294" s="693"/>
      <c r="D294" s="693"/>
      <c r="E294" s="693"/>
      <c r="F294" s="693"/>
      <c r="G294" s="693"/>
      <c r="H294" s="693"/>
      <c r="I294" s="693"/>
      <c r="J294" s="693"/>
      <c r="K294" s="693"/>
      <c r="L294" s="693"/>
      <c r="M294" s="693"/>
      <c r="N294" s="693"/>
      <c r="O294" s="693"/>
      <c r="P294" s="693"/>
      <c r="Q294" s="693"/>
      <c r="R294" s="693"/>
      <c r="S294" s="693"/>
      <c r="T294" s="693"/>
      <c r="U294" s="693"/>
      <c r="V294" s="693"/>
      <c r="W294" s="693"/>
      <c r="X294" s="693"/>
      <c r="Y294" s="693"/>
      <c r="Z294" s="693"/>
      <c r="AA294" s="693"/>
      <c r="AB294" s="693"/>
      <c r="AC294" s="693"/>
      <c r="AD294" s="693"/>
      <c r="AE294" s="340"/>
      <c r="AF294" s="340"/>
      <c r="AG294" s="340"/>
      <c r="AH294" s="340"/>
      <c r="AI294" s="340"/>
      <c r="AJ294" s="340"/>
      <c r="AK294" s="340"/>
      <c r="AL294" s="340"/>
      <c r="AM294" s="340"/>
    </row>
    <row r="295" spans="1:39" ht="15.75">
      <c r="A295" s="340"/>
      <c r="B295" s="692" t="s">
        <v>23</v>
      </c>
      <c r="C295" s="693"/>
      <c r="D295" s="708" t="e">
        <f t="shared" ref="D295:U295" si="752">D293/D7</f>
        <v>#DIV/0!</v>
      </c>
      <c r="E295" s="708">
        <f t="shared" si="752"/>
        <v>0</v>
      </c>
      <c r="F295" s="708">
        <f t="shared" si="752"/>
        <v>0</v>
      </c>
      <c r="G295" s="708">
        <f t="shared" si="752"/>
        <v>0</v>
      </c>
      <c r="H295" s="708">
        <f t="shared" si="752"/>
        <v>0</v>
      </c>
      <c r="I295" s="708">
        <f t="shared" si="752"/>
        <v>0.21986947063089196</v>
      </c>
      <c r="J295" s="708">
        <f t="shared" si="752"/>
        <v>0.20109202290584632</v>
      </c>
      <c r="K295" s="708">
        <f t="shared" si="752"/>
        <v>0.23930173354345982</v>
      </c>
      <c r="L295" s="708">
        <f t="shared" si="752"/>
        <v>0.22112064163974601</v>
      </c>
      <c r="M295" s="708">
        <f t="shared" si="752"/>
        <v>0.1986491855383393</v>
      </c>
      <c r="N295" s="708">
        <f t="shared" si="752"/>
        <v>0.20357298474945534</v>
      </c>
      <c r="O295" s="708">
        <f t="shared" si="752"/>
        <v>0.25863845572576766</v>
      </c>
      <c r="P295" s="708">
        <f t="shared" si="752"/>
        <v>0.28743291855870734</v>
      </c>
      <c r="Q295" s="708">
        <f t="shared" si="752"/>
        <v>0.27141782842598483</v>
      </c>
      <c r="R295" s="708">
        <f t="shared" si="752"/>
        <v>0.29600344721136035</v>
      </c>
      <c r="S295" s="708">
        <f t="shared" si="752"/>
        <v>0.30249027957785596</v>
      </c>
      <c r="T295" s="708">
        <f t="shared" si="752"/>
        <v>0.36103292677478444</v>
      </c>
      <c r="U295" s="708">
        <f t="shared" si="752"/>
        <v>0.38428890963708695</v>
      </c>
      <c r="V295" s="708">
        <f>V293/V7</f>
        <v>0.4358592560527671</v>
      </c>
      <c r="W295" s="708">
        <f>W293/W7</f>
        <v>0.43350404780094365</v>
      </c>
      <c r="X295" s="708">
        <f>X293/X7</f>
        <v>0.33</v>
      </c>
      <c r="Y295" s="708">
        <f>Y293/Y7</f>
        <v>0.28000000000000003</v>
      </c>
      <c r="Z295" s="708">
        <f t="shared" ref="Z295:AD295" si="753">Z293/Z7</f>
        <v>0.25</v>
      </c>
      <c r="AA295" s="708">
        <f t="shared" si="753"/>
        <v>0.23</v>
      </c>
      <c r="AB295" s="708">
        <f t="shared" si="753"/>
        <v>0.23</v>
      </c>
      <c r="AC295" s="708">
        <f t="shared" si="753"/>
        <v>0.22999999999999998</v>
      </c>
      <c r="AD295" s="708">
        <f t="shared" si="753"/>
        <v>0.23000000000000004</v>
      </c>
      <c r="AE295" s="340"/>
      <c r="AF295" s="340"/>
      <c r="AG295" s="340"/>
      <c r="AH295" s="340"/>
      <c r="AI295" s="340"/>
      <c r="AJ295" s="340"/>
      <c r="AK295" s="340"/>
      <c r="AL295" s="340"/>
      <c r="AM295" s="340"/>
    </row>
    <row r="296" spans="1:39" ht="15.75">
      <c r="A296" s="340"/>
      <c r="B296" s="692"/>
      <c r="C296" s="692"/>
      <c r="D296" s="692"/>
      <c r="E296" s="692"/>
      <c r="F296" s="692"/>
      <c r="G296" s="692"/>
      <c r="H296" s="692"/>
      <c r="I296" s="692"/>
      <c r="J296" s="692"/>
      <c r="K296" s="692"/>
      <c r="L296" s="692"/>
      <c r="M296" s="692"/>
      <c r="N296" s="692"/>
      <c r="O296" s="692"/>
      <c r="P296" s="692"/>
      <c r="Q296" s="692"/>
      <c r="R296" s="692"/>
      <c r="S296" s="692"/>
      <c r="T296" s="692"/>
      <c r="U296" s="692"/>
      <c r="V296" s="692"/>
      <c r="W296" s="692"/>
      <c r="X296" s="692"/>
      <c r="Y296" s="692"/>
      <c r="Z296" s="692"/>
      <c r="AA296" s="692"/>
      <c r="AB296" s="692"/>
      <c r="AC296" s="692"/>
      <c r="AD296" s="692"/>
      <c r="AE296" s="340"/>
      <c r="AF296" s="340"/>
      <c r="AG296" s="340"/>
      <c r="AH296" s="340"/>
      <c r="AI296" s="340"/>
      <c r="AJ296" s="340"/>
      <c r="AK296" s="340"/>
      <c r="AL296" s="340"/>
      <c r="AM296" s="340"/>
    </row>
    <row r="297" spans="1:39" ht="15.75">
      <c r="A297" s="340"/>
      <c r="B297" s="692"/>
      <c r="C297" s="692"/>
      <c r="D297" s="692"/>
      <c r="E297" s="692"/>
      <c r="F297" s="692"/>
      <c r="G297" s="692"/>
      <c r="H297" s="692"/>
      <c r="I297" s="692"/>
      <c r="J297" s="692"/>
      <c r="K297" s="692"/>
      <c r="L297" s="692"/>
      <c r="M297" s="692"/>
      <c r="N297" s="692"/>
      <c r="O297" s="692"/>
      <c r="P297" s="692"/>
      <c r="Q297" s="692"/>
      <c r="R297" s="692"/>
      <c r="S297" s="692"/>
      <c r="T297" s="692"/>
      <c r="U297" s="692"/>
      <c r="V297" s="692"/>
      <c r="W297" s="692"/>
      <c r="X297" s="692"/>
      <c r="Y297" s="692"/>
      <c r="Z297" s="692"/>
      <c r="AA297" s="692"/>
      <c r="AB297" s="692"/>
      <c r="AC297" s="692"/>
      <c r="AD297" s="692"/>
      <c r="AE297" s="340"/>
      <c r="AF297" s="340"/>
      <c r="AG297" s="340"/>
      <c r="AH297" s="340"/>
      <c r="AI297" s="340"/>
      <c r="AJ297" s="340"/>
      <c r="AK297" s="340"/>
      <c r="AL297" s="340"/>
      <c r="AM297" s="340"/>
    </row>
    <row r="298" spans="1:39" ht="15.75">
      <c r="A298" s="340"/>
      <c r="B298" s="692"/>
      <c r="C298" s="692"/>
      <c r="D298" s="692"/>
      <c r="E298" s="692"/>
      <c r="F298" s="692"/>
      <c r="G298" s="692"/>
      <c r="H298" s="692"/>
      <c r="I298" s="692"/>
      <c r="J298" s="692"/>
      <c r="K298" s="692"/>
      <c r="L298" s="692"/>
      <c r="M298" s="692"/>
      <c r="N298" s="692"/>
      <c r="O298" s="692"/>
      <c r="P298" s="692"/>
      <c r="Q298" s="692"/>
      <c r="R298" s="692"/>
      <c r="S298" s="692"/>
      <c r="T298" s="692"/>
      <c r="U298" s="692"/>
      <c r="V298" s="692"/>
      <c r="W298" s="692"/>
      <c r="X298" s="692"/>
      <c r="Y298" s="692"/>
      <c r="Z298" s="692"/>
      <c r="AA298" s="692"/>
      <c r="AB298" s="692"/>
      <c r="AC298" s="692"/>
      <c r="AD298" s="692"/>
      <c r="AE298" s="340"/>
      <c r="AF298" s="340"/>
      <c r="AG298" s="340"/>
      <c r="AH298" s="340"/>
      <c r="AI298" s="340"/>
      <c r="AJ298" s="340"/>
      <c r="AK298" s="340"/>
      <c r="AL298" s="340"/>
      <c r="AM298" s="340"/>
    </row>
    <row r="299" spans="1:39" ht="15.75">
      <c r="A299" s="340"/>
      <c r="B299" s="689" t="s">
        <v>143</v>
      </c>
      <c r="C299" s="689">
        <v>2003</v>
      </c>
      <c r="D299" s="689">
        <f t="shared" ref="D299:T299" si="754">C299+1</f>
        <v>2004</v>
      </c>
      <c r="E299" s="689">
        <f t="shared" si="754"/>
        <v>2005</v>
      </c>
      <c r="F299" s="689">
        <f t="shared" si="754"/>
        <v>2006</v>
      </c>
      <c r="G299" s="689">
        <f t="shared" si="754"/>
        <v>2007</v>
      </c>
      <c r="H299" s="689">
        <f t="shared" si="754"/>
        <v>2008</v>
      </c>
      <c r="I299" s="689">
        <f t="shared" si="754"/>
        <v>2009</v>
      </c>
      <c r="J299" s="689">
        <f t="shared" si="754"/>
        <v>2010</v>
      </c>
      <c r="K299" s="689">
        <f t="shared" si="754"/>
        <v>2011</v>
      </c>
      <c r="L299" s="689">
        <f t="shared" si="754"/>
        <v>2012</v>
      </c>
      <c r="M299" s="689">
        <f t="shared" si="754"/>
        <v>2013</v>
      </c>
      <c r="N299" s="689">
        <f t="shared" si="754"/>
        <v>2014</v>
      </c>
      <c r="O299" s="689">
        <f t="shared" si="754"/>
        <v>2015</v>
      </c>
      <c r="P299" s="689">
        <f t="shared" si="754"/>
        <v>2016</v>
      </c>
      <c r="Q299" s="689">
        <f t="shared" si="754"/>
        <v>2017</v>
      </c>
      <c r="R299" s="689">
        <f t="shared" si="754"/>
        <v>2018</v>
      </c>
      <c r="S299" s="689">
        <f t="shared" si="754"/>
        <v>2019</v>
      </c>
      <c r="T299" s="689">
        <f t="shared" si="754"/>
        <v>2020</v>
      </c>
      <c r="U299" s="689">
        <f t="shared" ref="U299" si="755">T299+1</f>
        <v>2021</v>
      </c>
      <c r="V299" s="689">
        <f t="shared" ref="V299" si="756">U299+1</f>
        <v>2022</v>
      </c>
      <c r="W299" s="689">
        <f t="shared" ref="W299" si="757">V299+1</f>
        <v>2023</v>
      </c>
      <c r="X299" s="689">
        <f t="shared" ref="X299" si="758">W299+1</f>
        <v>2024</v>
      </c>
      <c r="Y299" s="689">
        <f t="shared" ref="Y299" si="759">X299+1</f>
        <v>2025</v>
      </c>
      <c r="Z299" s="689">
        <f t="shared" ref="Z299" si="760">Y299+1</f>
        <v>2026</v>
      </c>
      <c r="AA299" s="689">
        <f t="shared" ref="AA299" si="761">Z299+1</f>
        <v>2027</v>
      </c>
      <c r="AB299" s="689">
        <f t="shared" ref="AB299" si="762">AA299+1</f>
        <v>2028</v>
      </c>
      <c r="AC299" s="689">
        <f t="shared" ref="AC299" si="763">AB299+1</f>
        <v>2029</v>
      </c>
      <c r="AD299" s="689">
        <f t="shared" ref="AD299" si="764">AC299+1</f>
        <v>2030</v>
      </c>
      <c r="AE299" s="340"/>
      <c r="AF299" s="340"/>
      <c r="AG299" s="340"/>
      <c r="AH299" s="340"/>
      <c r="AI299" s="340"/>
      <c r="AJ299" s="340"/>
      <c r="AK299" s="340"/>
      <c r="AL299" s="340"/>
      <c r="AM299" s="340"/>
    </row>
    <row r="300" spans="1:39" ht="15.75">
      <c r="A300" s="340"/>
      <c r="B300" s="691"/>
      <c r="C300" s="691"/>
      <c r="D300" s="691"/>
      <c r="E300" s="691"/>
      <c r="F300" s="691"/>
      <c r="G300" s="691"/>
      <c r="H300" s="691"/>
      <c r="I300" s="691"/>
      <c r="J300" s="691"/>
      <c r="K300" s="691"/>
      <c r="L300" s="691"/>
      <c r="M300" s="691"/>
      <c r="N300" s="691"/>
      <c r="O300" s="691"/>
      <c r="P300" s="691"/>
      <c r="Q300" s="691"/>
      <c r="R300" s="691"/>
      <c r="S300" s="691"/>
      <c r="T300" s="691"/>
      <c r="U300" s="691"/>
      <c r="V300" s="691"/>
      <c r="W300" s="691"/>
      <c r="X300" s="691"/>
      <c r="Y300" s="691"/>
      <c r="Z300" s="691"/>
      <c r="AA300" s="691"/>
      <c r="AB300" s="691"/>
      <c r="AC300" s="691"/>
      <c r="AD300" s="691"/>
      <c r="AE300" s="340"/>
      <c r="AF300" s="340"/>
      <c r="AG300" s="340"/>
      <c r="AH300" s="340"/>
      <c r="AI300" s="340"/>
      <c r="AJ300" s="340"/>
      <c r="AK300" s="340"/>
      <c r="AL300" s="340"/>
      <c r="AM300" s="340"/>
    </row>
    <row r="301" spans="1:39" ht="15.75">
      <c r="A301" s="340"/>
      <c r="B301" s="692" t="s">
        <v>144</v>
      </c>
      <c r="C301" s="691"/>
      <c r="D301" s="691"/>
      <c r="E301" s="748"/>
      <c r="F301" s="691"/>
      <c r="G301" s="691"/>
      <c r="H301" s="691"/>
      <c r="I301" s="691"/>
      <c r="J301" s="691"/>
      <c r="K301" s="691"/>
      <c r="L301" s="691"/>
      <c r="M301" s="691"/>
      <c r="N301" s="691"/>
      <c r="O301" s="691"/>
      <c r="P301" s="691"/>
      <c r="Q301" s="691"/>
      <c r="R301" s="691"/>
      <c r="S301" s="691"/>
      <c r="T301" s="691"/>
      <c r="U301" s="691"/>
      <c r="V301" s="691"/>
      <c r="W301" s="691"/>
      <c r="X301" s="691"/>
      <c r="Y301" s="691"/>
      <c r="Z301" s="691"/>
      <c r="AA301" s="691"/>
      <c r="AB301" s="691"/>
      <c r="AC301" s="691"/>
      <c r="AD301" s="691"/>
      <c r="AE301" s="340"/>
      <c r="AF301" s="340"/>
      <c r="AG301" s="340"/>
      <c r="AH301" s="340"/>
      <c r="AI301" s="340"/>
      <c r="AJ301" s="340"/>
      <c r="AK301" s="340"/>
      <c r="AL301" s="340"/>
      <c r="AM301" s="340"/>
    </row>
    <row r="302" spans="1:39" ht="15.75">
      <c r="A302" s="340"/>
      <c r="B302" s="692" t="s">
        <v>145</v>
      </c>
      <c r="C302" s="691"/>
      <c r="D302" s="691"/>
      <c r="E302" s="691"/>
      <c r="F302" s="691"/>
      <c r="G302" s="691"/>
      <c r="H302" s="691"/>
      <c r="I302" s="691"/>
      <c r="J302" s="691"/>
      <c r="K302" s="691"/>
      <c r="L302" s="691"/>
      <c r="M302" s="691"/>
      <c r="N302" s="691"/>
      <c r="O302" s="691"/>
      <c r="P302" s="691"/>
      <c r="Q302" s="691"/>
      <c r="R302" s="691"/>
      <c r="S302" s="691"/>
      <c r="T302" s="691"/>
      <c r="U302" s="691"/>
      <c r="V302" s="691"/>
      <c r="W302" s="691"/>
      <c r="X302" s="691"/>
      <c r="Y302" s="691"/>
      <c r="Z302" s="691"/>
      <c r="AA302" s="691"/>
      <c r="AB302" s="691"/>
      <c r="AC302" s="691"/>
      <c r="AD302" s="691"/>
      <c r="AE302" s="340"/>
      <c r="AF302" s="340"/>
      <c r="AG302" s="340"/>
      <c r="AH302" s="340"/>
      <c r="AI302" s="340"/>
      <c r="AJ302" s="340"/>
      <c r="AK302" s="340"/>
      <c r="AL302" s="340"/>
      <c r="AM302" s="340"/>
    </row>
    <row r="303" spans="1:39" ht="15.75">
      <c r="A303" s="340"/>
      <c r="B303" s="692" t="s">
        <v>146</v>
      </c>
      <c r="C303" s="748"/>
      <c r="D303" s="748"/>
      <c r="E303" s="748"/>
      <c r="F303" s="691"/>
      <c r="G303" s="691"/>
      <c r="H303" s="691"/>
      <c r="I303" s="691"/>
      <c r="J303" s="691"/>
      <c r="K303" s="691"/>
      <c r="L303" s="691"/>
      <c r="M303" s="691"/>
      <c r="N303" s="691"/>
      <c r="O303" s="691"/>
      <c r="P303" s="691"/>
      <c r="Q303" s="691"/>
      <c r="R303" s="691"/>
      <c r="S303" s="691"/>
      <c r="T303" s="691"/>
      <c r="U303" s="691"/>
      <c r="V303" s="691"/>
      <c r="W303" s="691"/>
      <c r="X303" s="691"/>
      <c r="Y303" s="691"/>
      <c r="Z303" s="691"/>
      <c r="AA303" s="691"/>
      <c r="AB303" s="691"/>
      <c r="AC303" s="691"/>
      <c r="AD303" s="691"/>
      <c r="AE303" s="340"/>
      <c r="AF303" s="340"/>
      <c r="AG303" s="340"/>
      <c r="AH303" s="340"/>
      <c r="AI303" s="340"/>
      <c r="AJ303" s="340"/>
      <c r="AK303" s="340"/>
      <c r="AL303" s="340"/>
      <c r="AM303" s="340"/>
    </row>
    <row r="304" spans="1:39" ht="15.75">
      <c r="A304" s="340"/>
      <c r="B304" s="692" t="s">
        <v>147</v>
      </c>
      <c r="C304" s="748"/>
      <c r="D304" s="748"/>
      <c r="E304" s="691"/>
      <c r="F304" s="691"/>
      <c r="G304" s="691"/>
      <c r="H304" s="691"/>
      <c r="I304" s="691"/>
      <c r="J304" s="691"/>
      <c r="K304" s="691"/>
      <c r="L304" s="691"/>
      <c r="M304" s="691"/>
      <c r="N304" s="691"/>
      <c r="O304" s="691"/>
      <c r="P304" s="691"/>
      <c r="Q304" s="691"/>
      <c r="R304" s="691"/>
      <c r="S304" s="691"/>
      <c r="T304" s="691"/>
      <c r="U304" s="691"/>
      <c r="V304" s="691"/>
      <c r="W304" s="691"/>
      <c r="X304" s="691"/>
      <c r="Y304" s="691"/>
      <c r="Z304" s="691"/>
      <c r="AA304" s="691"/>
      <c r="AB304" s="691"/>
      <c r="AC304" s="691"/>
      <c r="AD304" s="691"/>
      <c r="AE304" s="340"/>
      <c r="AF304" s="340"/>
      <c r="AG304" s="340"/>
      <c r="AH304" s="340"/>
      <c r="AI304" s="340"/>
      <c r="AJ304" s="340"/>
      <c r="AK304" s="340"/>
      <c r="AL304" s="340"/>
      <c r="AM304" s="340"/>
    </row>
    <row r="305" spans="1:39" ht="15.75">
      <c r="A305" s="340"/>
      <c r="B305" s="692" t="s">
        <v>148</v>
      </c>
      <c r="C305" s="748"/>
      <c r="D305" s="748"/>
      <c r="E305" s="691"/>
      <c r="F305" s="748"/>
      <c r="G305" s="691"/>
      <c r="H305" s="691"/>
      <c r="I305" s="691"/>
      <c r="J305" s="691"/>
      <c r="K305" s="691"/>
      <c r="L305" s="691"/>
      <c r="M305" s="691"/>
      <c r="N305" s="691"/>
      <c r="O305" s="691"/>
      <c r="P305" s="691"/>
      <c r="Q305" s="691"/>
      <c r="R305" s="691"/>
      <c r="S305" s="692">
        <v>-1150</v>
      </c>
      <c r="T305" s="691"/>
      <c r="U305" s="691"/>
      <c r="V305" s="691"/>
      <c r="W305" s="691"/>
      <c r="X305" s="691"/>
      <c r="Y305" s="691"/>
      <c r="Z305" s="691"/>
      <c r="AA305" s="691"/>
      <c r="AB305" s="691"/>
      <c r="AC305" s="691"/>
      <c r="AD305" s="691"/>
      <c r="AE305" s="340"/>
      <c r="AF305" s="340"/>
      <c r="AG305" s="340"/>
      <c r="AH305" s="340"/>
      <c r="AI305" s="340"/>
      <c r="AJ305" s="340"/>
      <c r="AK305" s="340"/>
      <c r="AL305" s="340"/>
      <c r="AM305" s="340"/>
    </row>
    <row r="306" spans="1:39" ht="15.75">
      <c r="A306" s="340"/>
      <c r="B306" s="692" t="s">
        <v>69</v>
      </c>
      <c r="C306" s="748"/>
      <c r="D306" s="697"/>
      <c r="E306" s="691"/>
      <c r="F306" s="691"/>
      <c r="G306" s="691"/>
      <c r="H306" s="691"/>
      <c r="I306" s="691"/>
      <c r="J306" s="691"/>
      <c r="K306" s="691"/>
      <c r="L306" s="691"/>
      <c r="M306" s="691"/>
      <c r="N306" s="749"/>
      <c r="O306" s="749"/>
      <c r="P306" s="749"/>
      <c r="Q306" s="749"/>
      <c r="R306" s="749"/>
      <c r="S306" s="749"/>
      <c r="T306" s="749"/>
      <c r="U306" s="749"/>
      <c r="V306" s="749"/>
      <c r="W306" s="749"/>
      <c r="X306" s="749"/>
      <c r="Y306" s="749"/>
      <c r="Z306" s="749"/>
      <c r="AA306" s="749"/>
      <c r="AB306" s="749"/>
      <c r="AC306" s="749"/>
      <c r="AD306" s="749"/>
      <c r="AE306" s="340"/>
      <c r="AF306" s="340"/>
      <c r="AG306" s="340"/>
      <c r="AH306" s="340"/>
      <c r="AI306" s="340"/>
      <c r="AJ306" s="340"/>
      <c r="AK306" s="340"/>
      <c r="AL306" s="340"/>
      <c r="AM306" s="340"/>
    </row>
    <row r="307" spans="1:39" ht="15.75">
      <c r="A307" s="340"/>
      <c r="B307" s="761" t="s">
        <v>149</v>
      </c>
      <c r="C307" s="762"/>
      <c r="D307" s="762">
        <f t="shared" ref="D307:R307" si="765">SUM(D301:D306)</f>
        <v>0</v>
      </c>
      <c r="E307" s="762">
        <f t="shared" si="765"/>
        <v>0</v>
      </c>
      <c r="F307" s="762">
        <f t="shared" si="765"/>
        <v>0</v>
      </c>
      <c r="G307" s="762">
        <f t="shared" si="765"/>
        <v>0</v>
      </c>
      <c r="H307" s="762">
        <f t="shared" si="765"/>
        <v>0</v>
      </c>
      <c r="I307" s="762">
        <f t="shared" si="765"/>
        <v>0</v>
      </c>
      <c r="J307" s="762">
        <f t="shared" si="765"/>
        <v>0</v>
      </c>
      <c r="K307" s="762">
        <f t="shared" si="765"/>
        <v>0</v>
      </c>
      <c r="L307" s="762">
        <f t="shared" si="765"/>
        <v>0</v>
      </c>
      <c r="M307" s="762">
        <f t="shared" si="765"/>
        <v>0</v>
      </c>
      <c r="N307" s="762">
        <f t="shared" si="765"/>
        <v>0</v>
      </c>
      <c r="O307" s="762">
        <f t="shared" si="765"/>
        <v>0</v>
      </c>
      <c r="P307" s="762">
        <f t="shared" si="765"/>
        <v>0</v>
      </c>
      <c r="Q307" s="762">
        <f t="shared" si="765"/>
        <v>0</v>
      </c>
      <c r="R307" s="762">
        <f t="shared" si="765"/>
        <v>0</v>
      </c>
      <c r="S307" s="762">
        <f t="shared" ref="S307:T307" si="766">SUM(S301:S306)</f>
        <v>-1150</v>
      </c>
      <c r="T307" s="762">
        <f t="shared" si="766"/>
        <v>0</v>
      </c>
      <c r="U307" s="762">
        <f t="shared" ref="U307:Y307" si="767">SUM(U301:U306)</f>
        <v>0</v>
      </c>
      <c r="V307" s="762">
        <f t="shared" si="767"/>
        <v>0</v>
      </c>
      <c r="W307" s="762">
        <f t="shared" si="767"/>
        <v>0</v>
      </c>
      <c r="X307" s="762">
        <f t="shared" si="767"/>
        <v>0</v>
      </c>
      <c r="Y307" s="762">
        <f t="shared" si="767"/>
        <v>0</v>
      </c>
      <c r="Z307" s="762">
        <f t="shared" ref="Z307:AD307" si="768">SUM(Z301:Z306)</f>
        <v>0</v>
      </c>
      <c r="AA307" s="762">
        <f t="shared" si="768"/>
        <v>0</v>
      </c>
      <c r="AB307" s="762">
        <f t="shared" si="768"/>
        <v>0</v>
      </c>
      <c r="AC307" s="762">
        <f t="shared" si="768"/>
        <v>0</v>
      </c>
      <c r="AD307" s="762">
        <f t="shared" si="768"/>
        <v>0</v>
      </c>
      <c r="AE307" s="340"/>
      <c r="AF307" s="340"/>
      <c r="AG307" s="340"/>
      <c r="AH307" s="340"/>
      <c r="AI307" s="340"/>
      <c r="AJ307" s="340"/>
      <c r="AK307" s="340"/>
      <c r="AL307" s="340"/>
      <c r="AM307" s="340"/>
    </row>
    <row r="308" spans="1:39" ht="15.75">
      <c r="A308" s="340"/>
      <c r="B308" s="692"/>
      <c r="C308" s="692"/>
      <c r="D308" s="692"/>
      <c r="E308" s="692"/>
      <c r="F308" s="692"/>
      <c r="G308" s="692"/>
      <c r="H308" s="692"/>
      <c r="I308" s="692"/>
      <c r="J308" s="692"/>
      <c r="K308" s="692"/>
      <c r="L308" s="692"/>
      <c r="M308" s="692"/>
      <c r="N308" s="692"/>
      <c r="O308" s="692"/>
      <c r="P308" s="692"/>
      <c r="Q308" s="692"/>
      <c r="R308" s="692"/>
      <c r="S308" s="692"/>
      <c r="T308" s="692"/>
      <c r="U308" s="692"/>
      <c r="V308" s="692"/>
      <c r="W308" s="692"/>
      <c r="X308" s="692"/>
      <c r="Y308" s="692"/>
      <c r="Z308" s="692"/>
      <c r="AA308" s="692"/>
      <c r="AB308" s="692"/>
      <c r="AC308" s="692"/>
      <c r="AD308" s="692"/>
      <c r="AE308" s="340"/>
      <c r="AF308" s="340"/>
      <c r="AG308" s="340"/>
      <c r="AH308" s="340"/>
      <c r="AI308" s="340"/>
      <c r="AJ308" s="340"/>
      <c r="AK308" s="340"/>
      <c r="AL308" s="340"/>
      <c r="AM308" s="340"/>
    </row>
    <row r="309" spans="1:39" ht="15.75">
      <c r="A309" s="340"/>
      <c r="B309" s="692"/>
      <c r="C309" s="692"/>
      <c r="D309" s="692"/>
      <c r="E309" s="692"/>
      <c r="F309" s="692"/>
      <c r="G309" s="692"/>
      <c r="H309" s="692"/>
      <c r="I309" s="692"/>
      <c r="J309" s="692"/>
      <c r="K309" s="692"/>
      <c r="L309" s="692"/>
      <c r="M309" s="692"/>
      <c r="N309" s="692"/>
      <c r="O309" s="692"/>
      <c r="P309" s="692"/>
      <c r="Q309" s="692"/>
      <c r="R309" s="692"/>
      <c r="S309" s="692"/>
      <c r="T309" s="692"/>
      <c r="U309" s="692"/>
      <c r="V309" s="692"/>
      <c r="W309" s="692"/>
      <c r="X309" s="692"/>
      <c r="Y309" s="692"/>
      <c r="Z309" s="692"/>
      <c r="AA309" s="692"/>
      <c r="AB309" s="692"/>
      <c r="AC309" s="692"/>
      <c r="AD309" s="692"/>
      <c r="AE309" s="340"/>
      <c r="AF309" s="340"/>
      <c r="AG309" s="340"/>
      <c r="AH309" s="340"/>
      <c r="AI309" s="340"/>
      <c r="AJ309" s="340"/>
      <c r="AK309" s="340"/>
      <c r="AL309" s="340"/>
      <c r="AM309" s="340"/>
    </row>
    <row r="310" spans="1:39" ht="15.75">
      <c r="A310" s="340"/>
      <c r="B310" s="692"/>
      <c r="C310" s="692"/>
      <c r="D310" s="692"/>
      <c r="E310" s="692"/>
      <c r="F310" s="692"/>
      <c r="G310" s="692"/>
      <c r="H310" s="692"/>
      <c r="I310" s="692"/>
      <c r="J310" s="692"/>
      <c r="K310" s="692"/>
      <c r="L310" s="692"/>
      <c r="M310" s="692"/>
      <c r="N310" s="692"/>
      <c r="O310" s="692"/>
      <c r="P310" s="692"/>
      <c r="Q310" s="692"/>
      <c r="R310" s="692"/>
      <c r="S310" s="692"/>
      <c r="T310" s="692"/>
      <c r="U310" s="692"/>
      <c r="V310" s="692"/>
      <c r="W310" s="692"/>
      <c r="X310" s="692"/>
      <c r="Y310" s="692"/>
      <c r="Z310" s="692"/>
      <c r="AA310" s="692"/>
      <c r="AB310" s="692"/>
      <c r="AC310" s="692"/>
      <c r="AD310" s="692"/>
      <c r="AE310" s="340"/>
      <c r="AF310" s="340"/>
      <c r="AG310" s="340"/>
      <c r="AH310" s="340"/>
      <c r="AI310" s="340"/>
      <c r="AJ310" s="340"/>
      <c r="AK310" s="340"/>
      <c r="AL310" s="340"/>
      <c r="AM310" s="340"/>
    </row>
    <row r="311" spans="1:39" ht="15.75">
      <c r="A311" s="340"/>
      <c r="B311" s="689" t="s">
        <v>150</v>
      </c>
      <c r="C311" s="689">
        <v>2003</v>
      </c>
      <c r="D311" s="689">
        <f t="shared" ref="D311:T311" si="769">C311+1</f>
        <v>2004</v>
      </c>
      <c r="E311" s="689">
        <f t="shared" si="769"/>
        <v>2005</v>
      </c>
      <c r="F311" s="689">
        <f t="shared" si="769"/>
        <v>2006</v>
      </c>
      <c r="G311" s="689">
        <f t="shared" si="769"/>
        <v>2007</v>
      </c>
      <c r="H311" s="689">
        <f t="shared" si="769"/>
        <v>2008</v>
      </c>
      <c r="I311" s="689">
        <f t="shared" si="769"/>
        <v>2009</v>
      </c>
      <c r="J311" s="689">
        <f t="shared" si="769"/>
        <v>2010</v>
      </c>
      <c r="K311" s="689">
        <f t="shared" si="769"/>
        <v>2011</v>
      </c>
      <c r="L311" s="689">
        <f t="shared" si="769"/>
        <v>2012</v>
      </c>
      <c r="M311" s="689">
        <f t="shared" si="769"/>
        <v>2013</v>
      </c>
      <c r="N311" s="689">
        <f t="shared" si="769"/>
        <v>2014</v>
      </c>
      <c r="O311" s="689">
        <f t="shared" si="769"/>
        <v>2015</v>
      </c>
      <c r="P311" s="689">
        <f t="shared" si="769"/>
        <v>2016</v>
      </c>
      <c r="Q311" s="689">
        <f t="shared" si="769"/>
        <v>2017</v>
      </c>
      <c r="R311" s="689">
        <f t="shared" si="769"/>
        <v>2018</v>
      </c>
      <c r="S311" s="689">
        <f t="shared" si="769"/>
        <v>2019</v>
      </c>
      <c r="T311" s="689">
        <f t="shared" si="769"/>
        <v>2020</v>
      </c>
      <c r="U311" s="689">
        <f t="shared" ref="U311" si="770">T311+1</f>
        <v>2021</v>
      </c>
      <c r="V311" s="689">
        <f t="shared" ref="V311" si="771">U311+1</f>
        <v>2022</v>
      </c>
      <c r="W311" s="689">
        <f t="shared" ref="W311" si="772">V311+1</f>
        <v>2023</v>
      </c>
      <c r="X311" s="689">
        <f t="shared" ref="X311" si="773">W311+1</f>
        <v>2024</v>
      </c>
      <c r="Y311" s="689">
        <f t="shared" ref="Y311" si="774">X311+1</f>
        <v>2025</v>
      </c>
      <c r="Z311" s="689">
        <f t="shared" ref="Z311" si="775">Y311+1</f>
        <v>2026</v>
      </c>
      <c r="AA311" s="689">
        <f t="shared" ref="AA311" si="776">Z311+1</f>
        <v>2027</v>
      </c>
      <c r="AB311" s="689">
        <f t="shared" ref="AB311" si="777">AA311+1</f>
        <v>2028</v>
      </c>
      <c r="AC311" s="689">
        <f t="shared" ref="AC311" si="778">AB311+1</f>
        <v>2029</v>
      </c>
      <c r="AD311" s="689">
        <f t="shared" ref="AD311" si="779">AC311+1</f>
        <v>2030</v>
      </c>
      <c r="AE311" s="340"/>
      <c r="AF311" s="340"/>
      <c r="AG311" s="340"/>
      <c r="AH311" s="340"/>
      <c r="AI311" s="340"/>
      <c r="AJ311" s="340"/>
      <c r="AK311" s="340"/>
      <c r="AL311" s="340"/>
      <c r="AM311" s="340"/>
    </row>
    <row r="312" spans="1:39" ht="15.75">
      <c r="A312" s="340"/>
      <c r="B312" s="692" t="s">
        <v>16</v>
      </c>
      <c r="C312" s="693"/>
      <c r="D312" s="693"/>
      <c r="E312" s="693"/>
      <c r="F312" s="693"/>
      <c r="G312" s="693"/>
      <c r="H312" s="693"/>
      <c r="I312" s="693"/>
      <c r="J312" s="693"/>
      <c r="K312" s="693"/>
      <c r="L312" s="693">
        <f t="shared" ref="L312:U312" si="780">L12</f>
        <v>3777</v>
      </c>
      <c r="M312" s="693">
        <f t="shared" si="780"/>
        <v>4356</v>
      </c>
      <c r="N312" s="693">
        <f t="shared" si="780"/>
        <v>4847</v>
      </c>
      <c r="O312" s="693">
        <f t="shared" si="780"/>
        <v>5843</v>
      </c>
      <c r="P312" s="693">
        <f t="shared" si="780"/>
        <v>6915</v>
      </c>
      <c r="Q312" s="693">
        <f t="shared" si="780"/>
        <v>7715</v>
      </c>
      <c r="R312" s="693">
        <f t="shared" si="780"/>
        <v>9347</v>
      </c>
      <c r="S312" s="693">
        <f t="shared" si="780"/>
        <v>10161</v>
      </c>
      <c r="T312" s="693">
        <f t="shared" si="780"/>
        <v>11037</v>
      </c>
      <c r="U312" s="693">
        <f t="shared" si="780"/>
        <v>12116</v>
      </c>
      <c r="V312" s="693">
        <f>V12</f>
        <v>12769.018</v>
      </c>
      <c r="W312" s="693">
        <f>W12</f>
        <v>13319.993</v>
      </c>
      <c r="X312" s="693">
        <f>X12</f>
        <v>15052.832575733581</v>
      </c>
      <c r="Y312" s="693">
        <f>Y12</f>
        <v>16703.957652064935</v>
      </c>
      <c r="Z312" s="693">
        <f t="shared" ref="Z312:AD312" si="781">Z12</f>
        <v>18327.740334193342</v>
      </c>
      <c r="AA312" s="693">
        <f t="shared" si="781"/>
        <v>19380.874705245034</v>
      </c>
      <c r="AB312" s="693">
        <f t="shared" si="781"/>
        <v>20348.811684158078</v>
      </c>
      <c r="AC312" s="693">
        <f t="shared" si="781"/>
        <v>21293.802702552686</v>
      </c>
      <c r="AD312" s="693">
        <f t="shared" si="781"/>
        <v>22256.816417354494</v>
      </c>
      <c r="AE312" s="340"/>
      <c r="AF312" s="340"/>
      <c r="AG312" s="340"/>
      <c r="AH312" s="340"/>
      <c r="AI312" s="340"/>
      <c r="AJ312" s="340"/>
      <c r="AK312" s="340"/>
      <c r="AL312" s="340"/>
      <c r="AM312" s="340"/>
    </row>
    <row r="313" spans="1:39" ht="15.75">
      <c r="A313" s="340"/>
      <c r="B313" s="692" t="s">
        <v>151</v>
      </c>
      <c r="C313" s="693"/>
      <c r="D313" s="693"/>
      <c r="E313" s="693"/>
      <c r="F313" s="693"/>
      <c r="G313" s="693"/>
      <c r="H313" s="693"/>
      <c r="I313" s="693"/>
      <c r="J313" s="693"/>
      <c r="K313" s="693"/>
      <c r="L313" s="693">
        <f t="shared" ref="L313:R313" si="782">-L112</f>
        <v>-1057</v>
      </c>
      <c r="M313" s="693">
        <f t="shared" si="782"/>
        <v>-1250</v>
      </c>
      <c r="N313" s="693">
        <f t="shared" si="782"/>
        <v>-1568.4258762383101</v>
      </c>
      <c r="O313" s="693">
        <f t="shared" si="782"/>
        <v>-1713.2656745924075</v>
      </c>
      <c r="P313" s="693">
        <f t="shared" si="782"/>
        <v>-1920.4375825680488</v>
      </c>
      <c r="Q313" s="693">
        <f t="shared" si="782"/>
        <v>-2340.6760477987059</v>
      </c>
      <c r="R313" s="693">
        <f t="shared" si="782"/>
        <v>-3065.9518946641206</v>
      </c>
      <c r="S313" s="693">
        <f t="shared" ref="S313:T313" si="783">-S112</f>
        <v>-3735.8101653162016</v>
      </c>
      <c r="T313" s="693">
        <f t="shared" si="783"/>
        <v>-4341.2585929249944</v>
      </c>
      <c r="U313" s="693">
        <f t="shared" ref="U313:V313" si="784">-U112</f>
        <v>-5044.4335948121734</v>
      </c>
      <c r="V313" s="693">
        <f t="shared" si="784"/>
        <v>-6269.3956204352562</v>
      </c>
      <c r="W313" s="693">
        <f>-W112</f>
        <v>-7168.0581071077886</v>
      </c>
      <c r="X313" s="693">
        <f>-X112</f>
        <v>-8279.8086283226457</v>
      </c>
      <c r="Y313" s="693">
        <f ca="1">-Y112</f>
        <v>-8293.0353476439795</v>
      </c>
      <c r="Z313" s="693">
        <f t="shared" ref="Z313:AD313" ca="1" si="785">-Z112</f>
        <v>-8588.6902043931095</v>
      </c>
      <c r="AA313" s="693">
        <f t="shared" ca="1" si="785"/>
        <v>-8776.8049745311455</v>
      </c>
      <c r="AB313" s="693">
        <f t="shared" ca="1" si="785"/>
        <v>-8895.8140103336191</v>
      </c>
      <c r="AC313" s="693">
        <f t="shared" ca="1" si="785"/>
        <v>-9070.6402938320389</v>
      </c>
      <c r="AD313" s="693">
        <f t="shared" ca="1" si="785"/>
        <v>-9291.2463722086432</v>
      </c>
      <c r="AE313" s="340"/>
      <c r="AF313" s="340"/>
      <c r="AG313" s="340"/>
      <c r="AH313" s="340"/>
      <c r="AI313" s="340"/>
      <c r="AJ313" s="340"/>
      <c r="AK313" s="340"/>
      <c r="AL313" s="340"/>
      <c r="AM313" s="340"/>
    </row>
    <row r="314" spans="1:39" ht="15.75">
      <c r="A314" s="340"/>
      <c r="B314" s="692" t="s">
        <v>118</v>
      </c>
      <c r="C314" s="693"/>
      <c r="D314" s="693"/>
      <c r="E314" s="693"/>
      <c r="F314" s="693"/>
      <c r="G314" s="693"/>
      <c r="H314" s="693"/>
      <c r="I314" s="693"/>
      <c r="J314" s="693"/>
      <c r="K314" s="693"/>
      <c r="L314" s="693">
        <f t="shared" ref="L314:R314" si="786">-L134</f>
        <v>-309</v>
      </c>
      <c r="M314" s="693">
        <f t="shared" si="786"/>
        <v>-260</v>
      </c>
      <c r="N314" s="693">
        <f t="shared" si="786"/>
        <v>-173.14031180400892</v>
      </c>
      <c r="O314" s="693">
        <f t="shared" si="786"/>
        <v>-100.79180162796816</v>
      </c>
      <c r="P314" s="693">
        <f t="shared" si="786"/>
        <v>-222.51592540687301</v>
      </c>
      <c r="Q314" s="693">
        <f t="shared" si="786"/>
        <v>-120.30180379042088</v>
      </c>
      <c r="R314" s="693">
        <f t="shared" si="786"/>
        <v>-105.65042520354027</v>
      </c>
      <c r="S314" s="693">
        <f t="shared" ref="S314:T314" si="787">-S134</f>
        <v>-44.472005263851067</v>
      </c>
      <c r="T314" s="693">
        <f t="shared" si="787"/>
        <v>-46.514942082111013</v>
      </c>
      <c r="U314" s="693">
        <f t="shared" ref="U314:Y314" ca="1" si="788">-U134</f>
        <v>-306.32799999999997</v>
      </c>
      <c r="V314" s="693">
        <f t="shared" si="788"/>
        <v>-55.667000000000144</v>
      </c>
      <c r="W314" s="693">
        <f t="shared" si="788"/>
        <v>-56.077280000000009</v>
      </c>
      <c r="X314" s="693">
        <f t="shared" si="788"/>
        <v>-55.508006399999942</v>
      </c>
      <c r="Y314" s="693">
        <f t="shared" si="788"/>
        <v>-55.74431923200013</v>
      </c>
      <c r="Z314" s="693">
        <f t="shared" ref="Z314:AD314" si="789">-Z134</f>
        <v>-55.715961692159986</v>
      </c>
      <c r="AA314" s="693">
        <f t="shared" si="789"/>
        <v>-55.719364596940949</v>
      </c>
      <c r="AB314" s="693">
        <f t="shared" si="789"/>
        <v>-55.718956248367107</v>
      </c>
      <c r="AC314" s="693">
        <f t="shared" si="789"/>
        <v>-55.719005250195849</v>
      </c>
      <c r="AD314" s="693">
        <f t="shared" si="789"/>
        <v>-55.71899936997638</v>
      </c>
      <c r="AE314" s="340"/>
      <c r="AF314" s="340"/>
      <c r="AG314" s="340"/>
      <c r="AH314" s="340"/>
      <c r="AI314" s="340"/>
      <c r="AJ314" s="340"/>
      <c r="AK314" s="340"/>
      <c r="AL314" s="340"/>
      <c r="AM314" s="340"/>
    </row>
    <row r="315" spans="1:39" ht="15.75">
      <c r="A315" s="340"/>
      <c r="B315" s="692" t="s">
        <v>152</v>
      </c>
      <c r="C315" s="693"/>
      <c r="D315" s="693"/>
      <c r="E315" s="693"/>
      <c r="F315" s="693"/>
      <c r="G315" s="693"/>
      <c r="H315" s="693"/>
      <c r="I315" s="693"/>
      <c r="J315" s="693"/>
      <c r="K315" s="693"/>
      <c r="L315" s="693">
        <f t="shared" ref="L315:R315" si="790">L161</f>
        <v>112</v>
      </c>
      <c r="M315" s="693">
        <f t="shared" si="790"/>
        <v>34</v>
      </c>
      <c r="N315" s="693">
        <f t="shared" si="790"/>
        <v>-36.900000000000006</v>
      </c>
      <c r="O315" s="693">
        <f t="shared" si="790"/>
        <v>-80.733000000000004</v>
      </c>
      <c r="P315" s="693">
        <f t="shared" si="790"/>
        <v>-213</v>
      </c>
      <c r="Q315" s="693">
        <f t="shared" si="790"/>
        <v>2.5</v>
      </c>
      <c r="R315" s="693">
        <f t="shared" si="790"/>
        <v>29.299999999999997</v>
      </c>
      <c r="S315" s="693">
        <f t="shared" ref="S315:T315" si="791">S161</f>
        <v>413</v>
      </c>
      <c r="T315" s="693">
        <f t="shared" si="791"/>
        <v>545</v>
      </c>
      <c r="U315" s="693">
        <f>U161</f>
        <v>697</v>
      </c>
      <c r="V315" s="693">
        <f>V161</f>
        <v>1196</v>
      </c>
      <c r="W315" s="693">
        <f>W161</f>
        <v>1934.32</v>
      </c>
      <c r="X315" s="693">
        <f ca="1">X161</f>
        <v>1927.1022094474192</v>
      </c>
      <c r="Y315" s="693">
        <f ca="1">Y161</f>
        <v>2004.982414803399</v>
      </c>
      <c r="Z315" s="693">
        <f t="shared" ref="Z315:AD315" ca="1" si="792">Z161</f>
        <v>1905.1750436563566</v>
      </c>
      <c r="AA315" s="693">
        <f t="shared" ca="1" si="792"/>
        <v>1639.0747507462811</v>
      </c>
      <c r="AB315" s="693">
        <f t="shared" ca="1" si="792"/>
        <v>1367.2452702938772</v>
      </c>
      <c r="AC315" s="693">
        <f t="shared" ca="1" si="792"/>
        <v>1228.4440639052707</v>
      </c>
      <c r="AD315" s="693">
        <f t="shared" ca="1" si="792"/>
        <v>1306.3804451764161</v>
      </c>
      <c r="AE315" s="340"/>
      <c r="AF315" s="340"/>
      <c r="AG315" s="340"/>
      <c r="AH315" s="340"/>
      <c r="AI315" s="340"/>
      <c r="AJ315" s="340"/>
      <c r="AK315" s="340"/>
      <c r="AL315" s="340"/>
      <c r="AM315" s="340"/>
    </row>
    <row r="316" spans="1:39" ht="15.75">
      <c r="A316" s="340"/>
      <c r="B316" s="692" t="s">
        <v>153</v>
      </c>
      <c r="C316" s="693"/>
      <c r="D316" s="693"/>
      <c r="E316" s="693"/>
      <c r="F316" s="693"/>
      <c r="G316" s="693"/>
      <c r="H316" s="693"/>
      <c r="I316" s="693"/>
      <c r="J316" s="693"/>
      <c r="K316" s="693"/>
      <c r="L316" s="693">
        <f t="shared" ref="L316:R316" si="793">L268</f>
        <v>3</v>
      </c>
      <c r="M316" s="693">
        <f t="shared" si="793"/>
        <v>15</v>
      </c>
      <c r="N316" s="693">
        <f t="shared" si="793"/>
        <v>3.4</v>
      </c>
      <c r="O316" s="693">
        <f t="shared" si="793"/>
        <v>0</v>
      </c>
      <c r="P316" s="693">
        <f t="shared" si="793"/>
        <v>0</v>
      </c>
      <c r="Q316" s="693">
        <f t="shared" si="793"/>
        <v>0</v>
      </c>
      <c r="R316" s="693">
        <f t="shared" si="793"/>
        <v>0</v>
      </c>
      <c r="S316" s="693">
        <f t="shared" ref="S316:T316" si="794">S268</f>
        <v>0</v>
      </c>
      <c r="T316" s="693">
        <f t="shared" si="794"/>
        <v>0</v>
      </c>
      <c r="U316" s="693">
        <f t="shared" ref="U316:Y316" si="795">U268</f>
        <v>0</v>
      </c>
      <c r="V316" s="693">
        <f t="shared" si="795"/>
        <v>0</v>
      </c>
      <c r="W316" s="693">
        <f t="shared" si="795"/>
        <v>0</v>
      </c>
      <c r="X316" s="693">
        <f t="shared" si="795"/>
        <v>0</v>
      </c>
      <c r="Y316" s="693">
        <f t="shared" si="795"/>
        <v>0</v>
      </c>
      <c r="Z316" s="693">
        <f t="shared" ref="Z316:AD316" si="796">Z268</f>
        <v>0</v>
      </c>
      <c r="AA316" s="693">
        <f t="shared" si="796"/>
        <v>0</v>
      </c>
      <c r="AB316" s="693">
        <f t="shared" si="796"/>
        <v>0</v>
      </c>
      <c r="AC316" s="693">
        <f t="shared" si="796"/>
        <v>0</v>
      </c>
      <c r="AD316" s="693">
        <f t="shared" si="796"/>
        <v>0</v>
      </c>
      <c r="AE316" s="340"/>
      <c r="AF316" s="340"/>
      <c r="AG316" s="340"/>
      <c r="AH316" s="340"/>
      <c r="AI316" s="340"/>
      <c r="AJ316" s="340"/>
      <c r="AK316" s="340"/>
      <c r="AL316" s="340"/>
      <c r="AM316" s="340"/>
    </row>
    <row r="317" spans="1:39" ht="15.75">
      <c r="A317" s="340"/>
      <c r="B317" s="692" t="s">
        <v>154</v>
      </c>
      <c r="C317" s="693"/>
      <c r="D317" s="693"/>
      <c r="E317" s="693"/>
      <c r="F317" s="693"/>
      <c r="G317" s="693"/>
      <c r="H317" s="693"/>
      <c r="I317" s="693"/>
      <c r="J317" s="693"/>
      <c r="K317" s="693"/>
      <c r="L317" s="693">
        <f t="shared" ref="L317:R317" si="797">-L245</f>
        <v>-706.44</v>
      </c>
      <c r="M317" s="693">
        <f t="shared" si="797"/>
        <v>-806.40000000000009</v>
      </c>
      <c r="N317" s="693">
        <f t="shared" si="797"/>
        <v>-879.85346734815073</v>
      </c>
      <c r="O317" s="693">
        <f t="shared" si="797"/>
        <v>-1150.7091466582949</v>
      </c>
      <c r="P317" s="693">
        <f t="shared" si="797"/>
        <v>-1096.7102282455171</v>
      </c>
      <c r="Q317" s="693">
        <f t="shared" si="797"/>
        <v>-1207.8500941345008</v>
      </c>
      <c r="R317" s="693">
        <f t="shared" si="797"/>
        <v>-1352.1414896291146</v>
      </c>
      <c r="S317" s="693">
        <f t="shared" ref="S317:T317" si="798">-S245</f>
        <v>-1312.8979224723885</v>
      </c>
      <c r="T317" s="693">
        <f t="shared" si="798"/>
        <v>-1342.9298222984369</v>
      </c>
      <c r="U317" s="693">
        <f ca="1">-U245</f>
        <v>-1335.0124491413219</v>
      </c>
      <c r="V317" s="693">
        <f>-V245</f>
        <v>-1416.9479524824808</v>
      </c>
      <c r="W317" s="693">
        <f>-W245</f>
        <v>-1290.0766599965857</v>
      </c>
      <c r="X317" s="693">
        <f ca="1">-X245</f>
        <v>-1437.1241194690544</v>
      </c>
      <c r="Y317" s="693">
        <f ca="1">-Y245</f>
        <v>-1905.0586711156668</v>
      </c>
      <c r="Z317" s="693">
        <f t="shared" ref="Z317:AD317" ca="1" si="799">-Z245</f>
        <v>-2333.4477373355148</v>
      </c>
      <c r="AA317" s="693">
        <f t="shared" ca="1" si="799"/>
        <v>-2672.7826846112007</v>
      </c>
      <c r="AB317" s="693">
        <f t="shared" ca="1" si="799"/>
        <v>-3009.0100341846642</v>
      </c>
      <c r="AC317" s="693">
        <f t="shared" ca="1" si="799"/>
        <v>-3281.6998018695544</v>
      </c>
      <c r="AD317" s="693">
        <f t="shared" ca="1" si="799"/>
        <v>-3481.0411801798377</v>
      </c>
      <c r="AE317" s="340"/>
      <c r="AF317" s="340"/>
      <c r="AG317" s="340"/>
      <c r="AH317" s="340"/>
      <c r="AI317" s="340"/>
      <c r="AJ317" s="340"/>
      <c r="AK317" s="340"/>
      <c r="AL317" s="340"/>
      <c r="AM317" s="340"/>
    </row>
    <row r="318" spans="1:39" ht="15.75">
      <c r="A318" s="340"/>
      <c r="B318" s="694" t="s">
        <v>155</v>
      </c>
      <c r="C318" s="696"/>
      <c r="D318" s="696"/>
      <c r="E318" s="696"/>
      <c r="F318" s="696"/>
      <c r="G318" s="696"/>
      <c r="H318" s="696"/>
      <c r="I318" s="696"/>
      <c r="J318" s="696"/>
      <c r="K318" s="696"/>
      <c r="L318" s="696">
        <f t="shared" ref="L318:R318" si="800">-L277</f>
        <v>-95</v>
      </c>
      <c r="M318" s="696">
        <f t="shared" si="800"/>
        <v>-131</v>
      </c>
      <c r="N318" s="696">
        <f t="shared" si="800"/>
        <v>-64.7</v>
      </c>
      <c r="O318" s="696">
        <f t="shared" si="800"/>
        <v>-161</v>
      </c>
      <c r="P318" s="696">
        <f t="shared" si="800"/>
        <v>-273</v>
      </c>
      <c r="Q318" s="696">
        <f t="shared" si="800"/>
        <v>-173</v>
      </c>
      <c r="R318" s="696">
        <f t="shared" si="800"/>
        <v>-174</v>
      </c>
      <c r="S318" s="696">
        <f t="shared" ref="S318:T318" si="801">-S277</f>
        <v>-156</v>
      </c>
      <c r="T318" s="696">
        <f t="shared" si="801"/>
        <v>-171.60000000000002</v>
      </c>
      <c r="U318" s="696">
        <f t="shared" ref="U318:Y318" si="802">-U277</f>
        <v>-160.75700000000001</v>
      </c>
      <c r="V318" s="696">
        <f t="shared" si="802"/>
        <v>-168.411</v>
      </c>
      <c r="W318" s="696">
        <f t="shared" si="802"/>
        <v>-155</v>
      </c>
      <c r="X318" s="696">
        <f t="shared" si="802"/>
        <v>-170.5</v>
      </c>
      <c r="Y318" s="696">
        <f t="shared" si="802"/>
        <v>-187.55</v>
      </c>
      <c r="Z318" s="696">
        <f t="shared" ref="Z318:AD318" si="803">-Z277</f>
        <v>-206.30500000000004</v>
      </c>
      <c r="AA318" s="696">
        <f t="shared" si="803"/>
        <v>-226.93550000000005</v>
      </c>
      <c r="AB318" s="696">
        <f t="shared" si="803"/>
        <v>-249.62905000000006</v>
      </c>
      <c r="AC318" s="696">
        <f t="shared" si="803"/>
        <v>-274.5919550000001</v>
      </c>
      <c r="AD318" s="696">
        <f t="shared" si="803"/>
        <v>-302.05115050000012</v>
      </c>
      <c r="AE318" s="340"/>
      <c r="AF318" s="340"/>
      <c r="AG318" s="340"/>
      <c r="AH318" s="340"/>
      <c r="AI318" s="340"/>
      <c r="AJ318" s="340"/>
      <c r="AK318" s="340"/>
      <c r="AL318" s="340"/>
      <c r="AM318" s="340"/>
    </row>
    <row r="319" spans="1:39" ht="15.75">
      <c r="A319" s="340"/>
      <c r="B319" s="691" t="s">
        <v>156</v>
      </c>
      <c r="C319" s="697"/>
      <c r="D319" s="697">
        <f t="shared" ref="D319:R319" si="804">SUM(D312:D318)</f>
        <v>0</v>
      </c>
      <c r="E319" s="697">
        <f t="shared" si="804"/>
        <v>0</v>
      </c>
      <c r="F319" s="697">
        <f t="shared" si="804"/>
        <v>0</v>
      </c>
      <c r="G319" s="697">
        <f t="shared" si="804"/>
        <v>0</v>
      </c>
      <c r="H319" s="697">
        <f t="shared" si="804"/>
        <v>0</v>
      </c>
      <c r="I319" s="697">
        <f>SUM(I312:I318)</f>
        <v>0</v>
      </c>
      <c r="J319" s="697">
        <f t="shared" si="804"/>
        <v>0</v>
      </c>
      <c r="K319" s="697">
        <f>SUM(K312:K318)</f>
        <v>0</v>
      </c>
      <c r="L319" s="697">
        <f t="shared" si="804"/>
        <v>1724.56</v>
      </c>
      <c r="M319" s="697">
        <f t="shared" si="804"/>
        <v>1957.6</v>
      </c>
      <c r="N319" s="697">
        <f t="shared" si="804"/>
        <v>2127.3803446095303</v>
      </c>
      <c r="O319" s="697">
        <f t="shared" si="804"/>
        <v>2636.5003771213287</v>
      </c>
      <c r="P319" s="697">
        <f t="shared" si="804"/>
        <v>3189.3362637795608</v>
      </c>
      <c r="Q319" s="697">
        <f t="shared" si="804"/>
        <v>3875.6720542763715</v>
      </c>
      <c r="R319" s="697">
        <f t="shared" si="804"/>
        <v>4678.5561905032255</v>
      </c>
      <c r="S319" s="697">
        <f t="shared" ref="S319:T319" si="805">SUM(S312:S318)</f>
        <v>5324.8199069475595</v>
      </c>
      <c r="T319" s="697">
        <f t="shared" si="805"/>
        <v>5679.6966426944573</v>
      </c>
      <c r="U319" s="697">
        <f ca="1">SUM(U312:U318)</f>
        <v>5966.4689560465058</v>
      </c>
      <c r="V319" s="697">
        <f>SUM(V312:V318)</f>
        <v>6054.5964270822624</v>
      </c>
      <c r="W319" s="697">
        <f>SUM(W312:W318)</f>
        <v>6585.1009528956256</v>
      </c>
      <c r="X319" s="697">
        <f ca="1">SUM(X312:X318)</f>
        <v>7036.9940309893</v>
      </c>
      <c r="Y319" s="697">
        <f ca="1">SUM(Y312:Y318)</f>
        <v>8267.5517288766878</v>
      </c>
      <c r="Z319" s="697">
        <f t="shared" ref="Z319:AD319" ca="1" si="806">SUM(Z312:Z318)</f>
        <v>9048.7564744289139</v>
      </c>
      <c r="AA319" s="697">
        <f t="shared" ca="1" si="806"/>
        <v>9287.7069322520292</v>
      </c>
      <c r="AB319" s="697">
        <f t="shared" ca="1" si="806"/>
        <v>9505.8849036853044</v>
      </c>
      <c r="AC319" s="697">
        <f t="shared" ca="1" si="806"/>
        <v>9839.595710506168</v>
      </c>
      <c r="AD319" s="697">
        <f t="shared" ca="1" si="806"/>
        <v>10433.139160272453</v>
      </c>
      <c r="AE319" s="340"/>
      <c r="AF319" s="340"/>
      <c r="AG319" s="340"/>
      <c r="AH319" s="340"/>
      <c r="AI319" s="340"/>
      <c r="AJ319" s="340"/>
      <c r="AK319" s="340"/>
      <c r="AL319" s="340"/>
      <c r="AM319" s="340"/>
    </row>
    <row r="320" spans="1:39" ht="15.75">
      <c r="A320" s="340"/>
      <c r="B320" s="692" t="s">
        <v>18</v>
      </c>
      <c r="C320" s="730"/>
      <c r="D320" s="730"/>
      <c r="E320" s="730"/>
      <c r="F320" s="730"/>
      <c r="G320" s="730"/>
      <c r="H320" s="730"/>
      <c r="I320" s="723"/>
      <c r="J320" s="723"/>
      <c r="K320" s="723"/>
      <c r="L320" s="723">
        <f>L319/(L325/2)</f>
        <v>2.0073411773469916</v>
      </c>
      <c r="M320" s="723">
        <f t="shared" ref="M320:T320" si="807">M319/(M325/2)</f>
        <v>2.2782473695297218</v>
      </c>
      <c r="N320" s="723">
        <f t="shared" si="807"/>
        <v>2.4758370832120429</v>
      </c>
      <c r="O320" s="723">
        <f t="shared" si="807"/>
        <v>3.0683490237744109</v>
      </c>
      <c r="P320" s="723">
        <f t="shared" si="807"/>
        <v>3.7117373076734448</v>
      </c>
      <c r="Q320" s="723">
        <f t="shared" si="807"/>
        <v>4.5104922674780328</v>
      </c>
      <c r="R320" s="723">
        <f t="shared" si="807"/>
        <v>5.4448857448973076</v>
      </c>
      <c r="S320" s="723">
        <f t="shared" si="807"/>
        <v>6.1970049786589572</v>
      </c>
      <c r="T320" s="723">
        <f t="shared" si="807"/>
        <v>6.6040066167942078</v>
      </c>
      <c r="U320" s="723">
        <f ca="1">U319/(U325/2)</f>
        <v>6.9581760376342965</v>
      </c>
      <c r="V320" s="723">
        <f>V319/(V325/2)</f>
        <v>7.0597864748355335</v>
      </c>
      <c r="W320" s="723">
        <f>W319/(W325/2)</f>
        <v>7.6704683956452273</v>
      </c>
      <c r="X320" s="723">
        <f ca="1">X319/(X325/2)</f>
        <v>8.1968432528452801</v>
      </c>
      <c r="Y320" s="723">
        <f ca="1">Y319/(Y325/2)</f>
        <v>9.6302235454454461</v>
      </c>
      <c r="Z320" s="723">
        <f t="shared" ref="Z320:AD320" ca="1" si="808">Z319/(Z325/2)</f>
        <v>10.540187774414708</v>
      </c>
      <c r="AA320" s="723">
        <f t="shared" ca="1" si="808"/>
        <v>10.818522449610722</v>
      </c>
      <c r="AB320" s="723">
        <f t="shared" ca="1" si="808"/>
        <v>11.072660882183882</v>
      </c>
      <c r="AC320" s="723">
        <f t="shared" ca="1" si="808"/>
        <v>11.461374466882859</v>
      </c>
      <c r="AD320" s="723">
        <f t="shared" ca="1" si="808"/>
        <v>12.152746748863224</v>
      </c>
      <c r="AE320" s="340"/>
      <c r="AF320" s="340"/>
      <c r="AG320" s="340"/>
      <c r="AH320" s="340"/>
      <c r="AI320" s="340"/>
      <c r="AJ320" s="340"/>
      <c r="AK320" s="340"/>
      <c r="AL320" s="340"/>
      <c r="AM320" s="340"/>
    </row>
    <row r="321" spans="1:39" ht="15.75">
      <c r="A321" s="340"/>
      <c r="B321" s="692" t="s">
        <v>2</v>
      </c>
      <c r="C321" s="701"/>
      <c r="D321" s="701"/>
      <c r="E321" s="701"/>
      <c r="F321" s="701"/>
      <c r="G321" s="701"/>
      <c r="H321" s="701"/>
      <c r="I321" s="701"/>
      <c r="J321" s="701"/>
      <c r="K321" s="701"/>
      <c r="L321" s="701"/>
      <c r="M321" s="701">
        <f t="shared" ref="M321:T321" si="809">M320/L320-1</f>
        <v>0.13495772180630206</v>
      </c>
      <c r="N321" s="701">
        <f t="shared" si="809"/>
        <v>8.6728823359996987E-2</v>
      </c>
      <c r="O321" s="701">
        <f t="shared" si="809"/>
        <v>0.23931782288100667</v>
      </c>
      <c r="P321" s="701">
        <f t="shared" si="809"/>
        <v>0.20968549500525691</v>
      </c>
      <c r="Q321" s="701">
        <f t="shared" si="809"/>
        <v>0.21519706099709301</v>
      </c>
      <c r="R321" s="701">
        <f t="shared" si="809"/>
        <v>0.20715997767173322</v>
      </c>
      <c r="S321" s="701">
        <f t="shared" si="809"/>
        <v>0.13813315264998915</v>
      </c>
      <c r="T321" s="701">
        <f t="shared" si="809"/>
        <v>6.5677152033420949E-2</v>
      </c>
      <c r="U321" s="701">
        <f ca="1">U320/T320-1</f>
        <v>5.3629476981356117E-2</v>
      </c>
      <c r="V321" s="701">
        <f ca="1">V320/U320-1</f>
        <v>1.4603027668696811E-2</v>
      </c>
      <c r="W321" s="701">
        <f>W320/V320-1</f>
        <v>8.6501471820211062E-2</v>
      </c>
      <c r="X321" s="701">
        <f ca="1">X320/W320-1</f>
        <v>6.8623561176380354E-2</v>
      </c>
      <c r="Y321" s="701">
        <f ca="1">Y320/X320-1</f>
        <v>0.17486979418602555</v>
      </c>
      <c r="Z321" s="701">
        <f t="shared" ref="Z321:AD321" ca="1" si="810">Z320/Y320-1</f>
        <v>9.4490457534563088E-2</v>
      </c>
      <c r="AA321" s="701">
        <f t="shared" ca="1" si="810"/>
        <v>2.6406993988441485E-2</v>
      </c>
      <c r="AB321" s="701">
        <f t="shared" ca="1" si="810"/>
        <v>2.349104822371606E-2</v>
      </c>
      <c r="AC321" s="701">
        <f t="shared" ca="1" si="810"/>
        <v>3.5105706644048329E-2</v>
      </c>
      <c r="AD321" s="701">
        <f t="shared" ca="1" si="810"/>
        <v>6.0321934684016698E-2</v>
      </c>
      <c r="AE321" s="340"/>
      <c r="AF321" s="340"/>
      <c r="AG321" s="340"/>
      <c r="AH321" s="340"/>
      <c r="AI321" s="340"/>
      <c r="AJ321" s="340"/>
      <c r="AK321" s="340"/>
      <c r="AL321" s="340"/>
      <c r="AM321" s="340"/>
    </row>
    <row r="322" spans="1:39" ht="15.75">
      <c r="A322" s="340"/>
      <c r="B322" s="692"/>
      <c r="C322" s="692"/>
      <c r="D322" s="692"/>
      <c r="E322" s="716"/>
      <c r="F322" s="692"/>
      <c r="G322" s="708"/>
      <c r="H322" s="692"/>
      <c r="I322" s="692"/>
      <c r="J322" s="692"/>
      <c r="K322" s="692"/>
      <c r="L322" s="692"/>
      <c r="M322" s="692"/>
      <c r="N322" s="692"/>
      <c r="O322" s="692"/>
      <c r="P322" s="692"/>
      <c r="Q322" s="692"/>
      <c r="R322" s="692"/>
      <c r="S322" s="692"/>
      <c r="T322" s="692"/>
      <c r="U322" s="692"/>
      <c r="V322" s="692"/>
      <c r="W322" s="692"/>
      <c r="X322" s="692"/>
      <c r="Y322" s="692"/>
      <c r="Z322" s="692"/>
      <c r="AA322" s="692"/>
      <c r="AB322" s="692"/>
      <c r="AC322" s="692"/>
      <c r="AD322" s="692"/>
      <c r="AE322" s="340"/>
      <c r="AF322" s="340"/>
      <c r="AG322" s="340"/>
      <c r="AH322" s="340"/>
      <c r="AI322" s="340"/>
      <c r="AJ322" s="340"/>
      <c r="AK322" s="340"/>
      <c r="AL322" s="340"/>
      <c r="AM322" s="340"/>
    </row>
    <row r="323" spans="1:39" ht="15.75">
      <c r="A323" s="341"/>
      <c r="B323" s="691" t="s">
        <v>252</v>
      </c>
      <c r="C323" s="692"/>
      <c r="D323" s="692"/>
      <c r="E323" s="716"/>
      <c r="F323" s="692"/>
      <c r="G323" s="708"/>
      <c r="H323" s="692"/>
      <c r="I323" s="692"/>
      <c r="J323" s="692"/>
      <c r="K323" s="692"/>
      <c r="L323" s="692"/>
      <c r="M323" s="692"/>
      <c r="N323" s="692"/>
      <c r="O323" s="692"/>
      <c r="P323" s="692"/>
      <c r="Q323" s="692"/>
      <c r="R323" s="692"/>
      <c r="S323" s="692"/>
      <c r="T323" s="692"/>
      <c r="U323" s="692"/>
      <c r="V323" s="692"/>
      <c r="W323" s="692"/>
      <c r="X323" s="692"/>
      <c r="Y323" s="692"/>
      <c r="Z323" s="692"/>
      <c r="AA323" s="692"/>
      <c r="AB323" s="692"/>
      <c r="AC323" s="692"/>
      <c r="AD323" s="692"/>
      <c r="AE323" s="340"/>
      <c r="AF323" s="340"/>
      <c r="AG323" s="340"/>
      <c r="AH323" s="340"/>
      <c r="AI323" s="340"/>
      <c r="AJ323" s="340"/>
      <c r="AK323" s="340"/>
      <c r="AL323" s="340"/>
      <c r="AM323" s="340"/>
    </row>
    <row r="324" spans="1:39" ht="15.75">
      <c r="A324" s="340"/>
      <c r="B324" s="692"/>
      <c r="C324" s="692"/>
      <c r="D324" s="692"/>
      <c r="E324" s="716"/>
      <c r="F324" s="692"/>
      <c r="G324" s="708"/>
      <c r="H324" s="692"/>
      <c r="I324" s="692"/>
      <c r="J324" s="692"/>
      <c r="K324" s="692"/>
      <c r="L324" s="692"/>
      <c r="M324" s="692"/>
      <c r="N324" s="692"/>
      <c r="O324" s="692"/>
      <c r="P324" s="692"/>
      <c r="Q324" s="692"/>
      <c r="R324" s="692"/>
      <c r="S324" s="692"/>
      <c r="T324" s="692"/>
      <c r="U324" s="692"/>
      <c r="V324" s="692"/>
      <c r="W324" s="692"/>
      <c r="X324" s="692"/>
      <c r="Y324" s="692"/>
      <c r="Z324" s="692"/>
      <c r="AA324" s="692"/>
      <c r="AB324" s="692"/>
      <c r="AC324" s="692"/>
      <c r="AD324" s="692"/>
      <c r="AE324" s="340"/>
      <c r="AF324" s="340"/>
      <c r="AG324" s="340"/>
      <c r="AH324" s="340"/>
      <c r="AI324" s="340"/>
      <c r="AJ324" s="340"/>
      <c r="AK324" s="340"/>
      <c r="AL324" s="340"/>
      <c r="AM324" s="340"/>
    </row>
    <row r="325" spans="1:39" ht="15.75">
      <c r="A325" s="340"/>
      <c r="B325" s="692" t="s">
        <v>249</v>
      </c>
      <c r="C325" s="711"/>
      <c r="D325" s="711"/>
      <c r="E325" s="711"/>
      <c r="F325" s="711"/>
      <c r="G325" s="711"/>
      <c r="H325" s="711"/>
      <c r="I325" s="711">
        <v>1718.2529999999999</v>
      </c>
      <c r="J325" s="711">
        <v>1718.2529999999999</v>
      </c>
      <c r="K325" s="711">
        <v>1718.2529999999999</v>
      </c>
      <c r="L325" s="711">
        <v>1718.2529999999999</v>
      </c>
      <c r="M325" s="711">
        <v>1718.5139999999999</v>
      </c>
      <c r="N325" s="711">
        <v>1718.5139999999999</v>
      </c>
      <c r="O325" s="693">
        <f t="shared" ref="O325:S325" si="811">N325+O326</f>
        <v>1718.5139999999999</v>
      </c>
      <c r="P325" s="693">
        <f t="shared" si="811"/>
        <v>1718.5139999999999</v>
      </c>
      <c r="Q325" s="693">
        <f t="shared" si="811"/>
        <v>1718.5139999999999</v>
      </c>
      <c r="R325" s="693">
        <f t="shared" si="811"/>
        <v>1718.5139999999999</v>
      </c>
      <c r="S325" s="693">
        <f t="shared" si="811"/>
        <v>1718.5139999999999</v>
      </c>
      <c r="T325" s="711">
        <v>1720.076</v>
      </c>
      <c r="U325" s="711">
        <v>1714.952</v>
      </c>
      <c r="V325" s="711">
        <f>1721.356-6.121</f>
        <v>1715.2349999999999</v>
      </c>
      <c r="W325" s="711">
        <f>1721.356-4.355</f>
        <v>1717.001</v>
      </c>
      <c r="X325" s="693">
        <f t="shared" ref="X325" si="812">W325+X326</f>
        <v>1717.001</v>
      </c>
      <c r="Y325" s="693">
        <f t="shared" ref="Y325" si="813">X325+Y326</f>
        <v>1717.001</v>
      </c>
      <c r="Z325" s="693">
        <f t="shared" ref="Z325" si="814">Y325+Z326</f>
        <v>1717.001</v>
      </c>
      <c r="AA325" s="693">
        <f t="shared" ref="AA325" si="815">Z325+AA326</f>
        <v>1717.001</v>
      </c>
      <c r="AB325" s="693">
        <f t="shared" ref="AB325" si="816">AA325+AB326</f>
        <v>1717.001</v>
      </c>
      <c r="AC325" s="693">
        <f t="shared" ref="AC325" si="817">AB325+AC326</f>
        <v>1717.001</v>
      </c>
      <c r="AD325" s="693">
        <f t="shared" ref="AD325" si="818">AC325+AD326</f>
        <v>1717.001</v>
      </c>
      <c r="AE325" s="340"/>
      <c r="AF325" s="340"/>
      <c r="AG325" s="340"/>
      <c r="AH325" s="340"/>
      <c r="AI325" s="340"/>
      <c r="AJ325" s="340"/>
      <c r="AK325" s="340"/>
      <c r="AL325" s="340"/>
      <c r="AM325" s="340"/>
    </row>
    <row r="326" spans="1:39" ht="15.75">
      <c r="A326" s="340"/>
      <c r="B326" s="692" t="s">
        <v>250</v>
      </c>
      <c r="C326" s="693"/>
      <c r="D326" s="693"/>
      <c r="E326" s="693"/>
      <c r="F326" s="693"/>
      <c r="G326" s="693"/>
      <c r="H326" s="693"/>
      <c r="I326" s="693"/>
      <c r="J326" s="716">
        <f t="shared" ref="J326" si="819">J325-I325</f>
        <v>0</v>
      </c>
      <c r="K326" s="716">
        <f t="shared" ref="K326" si="820">K325-J325</f>
        <v>0</v>
      </c>
      <c r="L326" s="716">
        <f t="shared" ref="L326" si="821">L325-K325</f>
        <v>0</v>
      </c>
      <c r="M326" s="716">
        <f t="shared" ref="M326:N326" si="822">M325-L325</f>
        <v>0.26099999999996726</v>
      </c>
      <c r="N326" s="716">
        <f t="shared" si="822"/>
        <v>0</v>
      </c>
      <c r="O326" s="728">
        <v>0</v>
      </c>
      <c r="P326" s="728">
        <v>0</v>
      </c>
      <c r="Q326" s="728">
        <v>0</v>
      </c>
      <c r="R326" s="728">
        <v>0</v>
      </c>
      <c r="S326" s="728">
        <v>0</v>
      </c>
      <c r="T326" s="729">
        <f>T325-S325</f>
        <v>1.5620000000001255</v>
      </c>
      <c r="U326" s="729">
        <f>U325-T325</f>
        <v>-5.1240000000000236</v>
      </c>
      <c r="V326" s="729">
        <f>V325-U325</f>
        <v>0.28299999999990177</v>
      </c>
      <c r="W326" s="729">
        <f>W325-V325</f>
        <v>1.7660000000000764</v>
      </c>
      <c r="X326" s="728">
        <v>0</v>
      </c>
      <c r="Y326" s="728">
        <v>0</v>
      </c>
      <c r="Z326" s="728">
        <v>0</v>
      </c>
      <c r="AA326" s="728">
        <v>0</v>
      </c>
      <c r="AB326" s="728">
        <v>0</v>
      </c>
      <c r="AC326" s="728">
        <v>0</v>
      </c>
      <c r="AD326" s="728">
        <v>0</v>
      </c>
      <c r="AE326" s="340"/>
      <c r="AF326" s="340"/>
      <c r="AG326" s="340"/>
      <c r="AH326" s="340"/>
      <c r="AI326" s="340"/>
      <c r="AJ326" s="340"/>
      <c r="AK326" s="340"/>
      <c r="AL326" s="340"/>
      <c r="AM326" s="340"/>
    </row>
    <row r="327" spans="1:39" ht="15.75">
      <c r="A327" s="340"/>
      <c r="B327" s="692" t="s">
        <v>157</v>
      </c>
      <c r="C327" s="729"/>
      <c r="D327" s="729"/>
      <c r="E327" s="729"/>
      <c r="F327" s="729"/>
      <c r="G327" s="729"/>
      <c r="H327" s="729"/>
      <c r="I327" s="729"/>
      <c r="J327" s="729">
        <f t="shared" ref="J327:N327" si="823">(I325+J325)/2</f>
        <v>1718.2529999999999</v>
      </c>
      <c r="K327" s="729">
        <f t="shared" si="823"/>
        <v>1718.2529999999999</v>
      </c>
      <c r="L327" s="729">
        <f t="shared" si="823"/>
        <v>1718.2529999999999</v>
      </c>
      <c r="M327" s="729">
        <f t="shared" si="823"/>
        <v>1718.3834999999999</v>
      </c>
      <c r="N327" s="729">
        <f t="shared" si="823"/>
        <v>1718.5139999999999</v>
      </c>
      <c r="O327" s="729">
        <f t="shared" ref="O327:T327" si="824">(N325+O325)/2</f>
        <v>1718.5139999999999</v>
      </c>
      <c r="P327" s="729">
        <f t="shared" si="824"/>
        <v>1718.5139999999999</v>
      </c>
      <c r="Q327" s="729">
        <f t="shared" si="824"/>
        <v>1718.5139999999999</v>
      </c>
      <c r="R327" s="729">
        <f t="shared" si="824"/>
        <v>1718.5139999999999</v>
      </c>
      <c r="S327" s="729">
        <f t="shared" si="824"/>
        <v>1718.5139999999999</v>
      </c>
      <c r="T327" s="729">
        <f t="shared" si="824"/>
        <v>1719.2950000000001</v>
      </c>
      <c r="U327" s="729">
        <f t="shared" ref="U327" si="825">(T325+U325)/2</f>
        <v>1717.5140000000001</v>
      </c>
      <c r="V327" s="729">
        <f t="shared" ref="V327" si="826">(U325+V325)/2</f>
        <v>1715.0934999999999</v>
      </c>
      <c r="W327" s="729">
        <f t="shared" ref="W327" si="827">(V325+W325)/2</f>
        <v>1716.1179999999999</v>
      </c>
      <c r="X327" s="729">
        <f t="shared" ref="X327" si="828">(W325+X325)/2</f>
        <v>1717.001</v>
      </c>
      <c r="Y327" s="729">
        <f t="shared" ref="Y327" si="829">(X325+Y325)/2</f>
        <v>1717.001</v>
      </c>
      <c r="Z327" s="729">
        <f t="shared" ref="Z327" si="830">(Y325+Z325)/2</f>
        <v>1717.001</v>
      </c>
      <c r="AA327" s="729">
        <f t="shared" ref="AA327" si="831">(Z325+AA325)/2</f>
        <v>1717.001</v>
      </c>
      <c r="AB327" s="729">
        <f t="shared" ref="AB327" si="832">(AA325+AB325)/2</f>
        <v>1717.001</v>
      </c>
      <c r="AC327" s="729">
        <f t="shared" ref="AC327" si="833">(AB325+AC325)/2</f>
        <v>1717.001</v>
      </c>
      <c r="AD327" s="729">
        <f t="shared" ref="AD327" si="834">(AC325+AD325)/2</f>
        <v>1717.001</v>
      </c>
      <c r="AE327" s="340"/>
      <c r="AF327" s="340"/>
      <c r="AG327" s="340"/>
      <c r="AH327" s="340"/>
      <c r="AI327" s="340"/>
      <c r="AJ327" s="340"/>
      <c r="AK327" s="340"/>
      <c r="AL327" s="340"/>
      <c r="AM327" s="340"/>
    </row>
    <row r="328" spans="1:39" ht="15.75">
      <c r="A328" s="340"/>
      <c r="B328" s="692"/>
      <c r="C328" s="729"/>
      <c r="D328" s="729"/>
      <c r="E328" s="729"/>
      <c r="F328" s="729"/>
      <c r="G328" s="729"/>
      <c r="H328" s="729"/>
      <c r="I328" s="729"/>
      <c r="J328" s="729"/>
      <c r="K328" s="729"/>
      <c r="L328" s="729"/>
      <c r="M328" s="729"/>
      <c r="N328" s="729"/>
      <c r="O328" s="729"/>
      <c r="P328" s="729"/>
      <c r="Q328" s="729"/>
      <c r="R328" s="729"/>
      <c r="S328" s="729"/>
      <c r="T328" s="729"/>
      <c r="U328" s="729"/>
      <c r="V328" s="729"/>
      <c r="W328" s="729"/>
      <c r="X328" s="729"/>
      <c r="Y328" s="729"/>
      <c r="Z328" s="729"/>
      <c r="AA328" s="729"/>
      <c r="AB328" s="729"/>
      <c r="AC328" s="729"/>
      <c r="AD328" s="729"/>
      <c r="AE328" s="340"/>
      <c r="AF328" s="340"/>
      <c r="AG328" s="340"/>
      <c r="AH328" s="340"/>
      <c r="AI328" s="340"/>
      <c r="AJ328" s="340"/>
      <c r="AK328" s="340"/>
      <c r="AL328" s="340"/>
      <c r="AM328" s="340"/>
    </row>
    <row r="329" spans="1:39" ht="15.75">
      <c r="A329" s="340"/>
      <c r="B329" s="692" t="s">
        <v>248</v>
      </c>
      <c r="C329" s="711"/>
      <c r="D329" s="711"/>
      <c r="E329" s="711"/>
      <c r="F329" s="711"/>
      <c r="G329" s="711"/>
      <c r="H329" s="711"/>
      <c r="I329" s="711">
        <v>298</v>
      </c>
      <c r="J329" s="711">
        <v>298</v>
      </c>
      <c r="K329" s="711">
        <v>298</v>
      </c>
      <c r="L329" s="711">
        <v>298</v>
      </c>
      <c r="M329" s="711">
        <v>298</v>
      </c>
      <c r="N329" s="711">
        <v>298</v>
      </c>
      <c r="O329" s="693">
        <f t="shared" ref="O329" si="835">N329+O330</f>
        <v>298</v>
      </c>
      <c r="P329" s="693">
        <f t="shared" ref="P329" si="836">O329+P330</f>
        <v>298</v>
      </c>
      <c r="Q329" s="693">
        <f t="shared" ref="Q329" si="837">P329+Q330</f>
        <v>298</v>
      </c>
      <c r="R329" s="693">
        <f t="shared" ref="R329" si="838">Q329+R330</f>
        <v>298</v>
      </c>
      <c r="S329" s="693">
        <f t="shared" ref="S329" si="839">R329+S330</f>
        <v>298</v>
      </c>
      <c r="T329" s="693">
        <f t="shared" ref="T329" si="840">S329+T330</f>
        <v>298</v>
      </c>
      <c r="U329" s="693">
        <f t="shared" ref="U329" si="841">T329+U330</f>
        <v>298</v>
      </c>
      <c r="V329" s="693">
        <f t="shared" ref="V329" si="842">U329+V330</f>
        <v>298</v>
      </c>
      <c r="W329" s="693">
        <f t="shared" ref="W329" si="843">V329+W330</f>
        <v>298</v>
      </c>
      <c r="X329" s="693">
        <f t="shared" ref="X329" si="844">W329+X330</f>
        <v>298</v>
      </c>
      <c r="Y329" s="693">
        <f t="shared" ref="Y329" si="845">X329+Y330</f>
        <v>298</v>
      </c>
      <c r="Z329" s="693">
        <f t="shared" ref="Z329" si="846">Y329+Z330</f>
        <v>298</v>
      </c>
      <c r="AA329" s="693">
        <f t="shared" ref="AA329" si="847">Z329+AA330</f>
        <v>298</v>
      </c>
      <c r="AB329" s="693">
        <f t="shared" ref="AB329" si="848">AA329+AB330</f>
        <v>298</v>
      </c>
      <c r="AC329" s="693">
        <f t="shared" ref="AC329" si="849">AB329+AC330</f>
        <v>298</v>
      </c>
      <c r="AD329" s="693">
        <f t="shared" ref="AD329" si="850">AC329+AD330</f>
        <v>298</v>
      </c>
      <c r="AE329" s="340"/>
      <c r="AF329" s="340"/>
      <c r="AG329" s="340"/>
      <c r="AH329" s="340"/>
      <c r="AI329" s="340"/>
      <c r="AJ329" s="340"/>
      <c r="AK329" s="340"/>
      <c r="AL329" s="340"/>
      <c r="AM329" s="340"/>
    </row>
    <row r="330" spans="1:39" ht="15.75">
      <c r="A330" s="340"/>
      <c r="B330" s="692" t="s">
        <v>251</v>
      </c>
      <c r="C330" s="750"/>
      <c r="D330" s="750"/>
      <c r="E330" s="750"/>
      <c r="F330" s="750"/>
      <c r="G330" s="750"/>
      <c r="H330" s="750"/>
      <c r="I330" s="693"/>
      <c r="J330" s="693">
        <f t="shared" ref="J330" si="851">J329-I329</f>
        <v>0</v>
      </c>
      <c r="K330" s="693">
        <f t="shared" ref="K330" si="852">K329-J329</f>
        <v>0</v>
      </c>
      <c r="L330" s="693">
        <f t="shared" ref="L330" si="853">L329-K329</f>
        <v>0</v>
      </c>
      <c r="M330" s="693">
        <f t="shared" ref="M330:N330" si="854">M329-L329</f>
        <v>0</v>
      </c>
      <c r="N330" s="693">
        <f t="shared" si="854"/>
        <v>0</v>
      </c>
      <c r="O330" s="728">
        <v>0</v>
      </c>
      <c r="P330" s="728">
        <v>0</v>
      </c>
      <c r="Q330" s="728">
        <v>0</v>
      </c>
      <c r="R330" s="728">
        <v>0</v>
      </c>
      <c r="S330" s="728">
        <v>0</v>
      </c>
      <c r="T330" s="728">
        <v>0</v>
      </c>
      <c r="U330" s="728">
        <v>0</v>
      </c>
      <c r="V330" s="728">
        <v>0</v>
      </c>
      <c r="W330" s="728">
        <v>0</v>
      </c>
      <c r="X330" s="728">
        <v>0</v>
      </c>
      <c r="Y330" s="728">
        <v>0</v>
      </c>
      <c r="Z330" s="728">
        <v>0</v>
      </c>
      <c r="AA330" s="728">
        <v>0</v>
      </c>
      <c r="AB330" s="728">
        <v>0</v>
      </c>
      <c r="AC330" s="728">
        <v>0</v>
      </c>
      <c r="AD330" s="728">
        <v>0</v>
      </c>
      <c r="AE330" s="340"/>
      <c r="AF330" s="340"/>
      <c r="AG330" s="340"/>
      <c r="AH330" s="340"/>
      <c r="AI330" s="340"/>
      <c r="AJ330" s="340"/>
      <c r="AK330" s="340"/>
      <c r="AL330" s="340"/>
      <c r="AM330" s="340"/>
    </row>
    <row r="331" spans="1:39" ht="15.75">
      <c r="A331" s="340"/>
      <c r="B331" s="692" t="s">
        <v>157</v>
      </c>
      <c r="C331" s="729"/>
      <c r="D331" s="729"/>
      <c r="E331" s="729"/>
      <c r="F331" s="729"/>
      <c r="G331" s="729"/>
      <c r="H331" s="729"/>
      <c r="I331" s="729"/>
      <c r="J331" s="729">
        <f t="shared" ref="J331" si="855">(I329+J329)/2</f>
        <v>298</v>
      </c>
      <c r="K331" s="729">
        <f t="shared" ref="K331" si="856">(J329+K329)/2</f>
        <v>298</v>
      </c>
      <c r="L331" s="729">
        <f t="shared" ref="L331" si="857">(K329+L329)/2</f>
        <v>298</v>
      </c>
      <c r="M331" s="729">
        <f t="shared" ref="M331:N331" si="858">(L329+M329)/2</f>
        <v>298</v>
      </c>
      <c r="N331" s="729">
        <f t="shared" si="858"/>
        <v>298</v>
      </c>
      <c r="O331" s="729">
        <f t="shared" ref="O331:T331" si="859">(N329+O329)/2</f>
        <v>298</v>
      </c>
      <c r="P331" s="729">
        <f t="shared" si="859"/>
        <v>298</v>
      </c>
      <c r="Q331" s="729">
        <f t="shared" si="859"/>
        <v>298</v>
      </c>
      <c r="R331" s="729">
        <f t="shared" si="859"/>
        <v>298</v>
      </c>
      <c r="S331" s="729">
        <f t="shared" si="859"/>
        <v>298</v>
      </c>
      <c r="T331" s="729">
        <f t="shared" si="859"/>
        <v>298</v>
      </c>
      <c r="U331" s="729">
        <f t="shared" ref="U331" si="860">(T329+U329)/2</f>
        <v>298</v>
      </c>
      <c r="V331" s="729">
        <f t="shared" ref="V331" si="861">(U329+V329)/2</f>
        <v>298</v>
      </c>
      <c r="W331" s="729">
        <f t="shared" ref="W331" si="862">(V329+W329)/2</f>
        <v>298</v>
      </c>
      <c r="X331" s="729">
        <f t="shared" ref="X331" si="863">(W329+X329)/2</f>
        <v>298</v>
      </c>
      <c r="Y331" s="729">
        <f t="shared" ref="Y331" si="864">(X329+Y329)/2</f>
        <v>298</v>
      </c>
      <c r="Z331" s="729">
        <f t="shared" ref="Z331" si="865">(Y329+Z329)/2</f>
        <v>298</v>
      </c>
      <c r="AA331" s="729">
        <f t="shared" ref="AA331" si="866">(Z329+AA329)/2</f>
        <v>298</v>
      </c>
      <c r="AB331" s="729">
        <f t="shared" ref="AB331" si="867">(AA329+AB329)/2</f>
        <v>298</v>
      </c>
      <c r="AC331" s="729">
        <f t="shared" ref="AC331" si="868">(AB329+AC329)/2</f>
        <v>298</v>
      </c>
      <c r="AD331" s="729">
        <f t="shared" ref="AD331" si="869">(AC329+AD329)/2</f>
        <v>298</v>
      </c>
      <c r="AE331" s="340"/>
      <c r="AF331" s="340"/>
      <c r="AG331" s="340"/>
      <c r="AH331" s="340"/>
      <c r="AI331" s="340"/>
      <c r="AJ331" s="340"/>
      <c r="AK331" s="340"/>
      <c r="AL331" s="340"/>
      <c r="AM331" s="340"/>
    </row>
    <row r="332" spans="1:39" ht="15.75">
      <c r="A332" s="340"/>
      <c r="B332" s="692"/>
      <c r="C332" s="729"/>
      <c r="D332" s="729"/>
      <c r="E332" s="729"/>
      <c r="F332" s="729"/>
      <c r="G332" s="729"/>
      <c r="H332" s="729"/>
      <c r="I332" s="729"/>
      <c r="J332" s="729"/>
      <c r="K332" s="729"/>
      <c r="L332" s="729"/>
      <c r="M332" s="729"/>
      <c r="N332" s="729"/>
      <c r="O332" s="729"/>
      <c r="P332" s="729"/>
      <c r="Q332" s="729"/>
      <c r="R332" s="729"/>
      <c r="S332" s="729"/>
      <c r="T332" s="729"/>
      <c r="U332" s="729"/>
      <c r="V332" s="729"/>
      <c r="W332" s="729"/>
      <c r="X332" s="729"/>
      <c r="Y332" s="729"/>
      <c r="Z332" s="729"/>
      <c r="AA332" s="729"/>
      <c r="AB332" s="729"/>
      <c r="AC332" s="729"/>
      <c r="AD332" s="729"/>
      <c r="AE332" s="340"/>
      <c r="AF332" s="340"/>
      <c r="AG332" s="340"/>
      <c r="AH332" s="340"/>
      <c r="AI332" s="340"/>
      <c r="AJ332" s="340"/>
      <c r="AK332" s="340"/>
      <c r="AL332" s="340"/>
      <c r="AM332" s="340"/>
    </row>
    <row r="333" spans="1:39" ht="15.75">
      <c r="A333" s="340"/>
      <c r="B333" s="692" t="s">
        <v>253</v>
      </c>
      <c r="C333" s="750"/>
      <c r="D333" s="750"/>
      <c r="E333" s="750"/>
      <c r="F333" s="750"/>
      <c r="G333" s="750"/>
      <c r="H333" s="750"/>
      <c r="I333" s="750"/>
      <c r="J333" s="729">
        <f>J331*2</f>
        <v>596</v>
      </c>
      <c r="K333" s="729">
        <f t="shared" ref="K333:T333" si="870">K331*2</f>
        <v>596</v>
      </c>
      <c r="L333" s="729">
        <f t="shared" si="870"/>
        <v>596</v>
      </c>
      <c r="M333" s="729">
        <f t="shared" si="870"/>
        <v>596</v>
      </c>
      <c r="N333" s="729">
        <f t="shared" ref="N333" si="871">N331*2</f>
        <v>596</v>
      </c>
      <c r="O333" s="729">
        <f t="shared" si="870"/>
        <v>596</v>
      </c>
      <c r="P333" s="729">
        <f t="shared" si="870"/>
        <v>596</v>
      </c>
      <c r="Q333" s="729">
        <f t="shared" si="870"/>
        <v>596</v>
      </c>
      <c r="R333" s="729">
        <f t="shared" si="870"/>
        <v>596</v>
      </c>
      <c r="S333" s="729">
        <f t="shared" si="870"/>
        <v>596</v>
      </c>
      <c r="T333" s="729">
        <f t="shared" si="870"/>
        <v>596</v>
      </c>
      <c r="U333" s="729">
        <f t="shared" ref="U333:Y333" si="872">U331*2</f>
        <v>596</v>
      </c>
      <c r="V333" s="729">
        <f t="shared" si="872"/>
        <v>596</v>
      </c>
      <c r="W333" s="729">
        <f t="shared" si="872"/>
        <v>596</v>
      </c>
      <c r="X333" s="729">
        <f t="shared" si="872"/>
        <v>596</v>
      </c>
      <c r="Y333" s="729">
        <f t="shared" si="872"/>
        <v>596</v>
      </c>
      <c r="Z333" s="729">
        <f t="shared" ref="Z333:AD333" si="873">Z331*2</f>
        <v>596</v>
      </c>
      <c r="AA333" s="729">
        <f t="shared" si="873"/>
        <v>596</v>
      </c>
      <c r="AB333" s="729">
        <f t="shared" si="873"/>
        <v>596</v>
      </c>
      <c r="AC333" s="729">
        <f t="shared" si="873"/>
        <v>596</v>
      </c>
      <c r="AD333" s="729">
        <f t="shared" si="873"/>
        <v>596</v>
      </c>
      <c r="AE333" s="340"/>
      <c r="AF333" s="340"/>
      <c r="AG333" s="340"/>
      <c r="AH333" s="340"/>
      <c r="AI333" s="340"/>
      <c r="AJ333" s="340"/>
      <c r="AK333" s="340"/>
      <c r="AL333" s="340"/>
      <c r="AM333" s="340"/>
    </row>
    <row r="334" spans="1:39" ht="15.75">
      <c r="A334" s="340"/>
      <c r="B334" s="692"/>
      <c r="C334" s="750"/>
      <c r="D334" s="750"/>
      <c r="E334" s="750"/>
      <c r="F334" s="750"/>
      <c r="G334" s="750"/>
      <c r="H334" s="750"/>
      <c r="I334" s="750"/>
      <c r="J334" s="750"/>
      <c r="K334" s="750"/>
      <c r="L334" s="750"/>
      <c r="M334" s="750"/>
      <c r="N334" s="750"/>
      <c r="O334" s="750"/>
      <c r="P334" s="750"/>
      <c r="Q334" s="750"/>
      <c r="R334" s="750"/>
      <c r="S334" s="750"/>
      <c r="T334" s="750"/>
      <c r="U334" s="750"/>
      <c r="V334" s="750"/>
      <c r="W334" s="750"/>
      <c r="X334" s="750"/>
      <c r="Y334" s="750"/>
      <c r="Z334" s="750"/>
      <c r="AA334" s="750"/>
      <c r="AB334" s="750"/>
      <c r="AC334" s="750"/>
      <c r="AD334" s="750"/>
      <c r="AE334" s="340"/>
      <c r="AF334" s="340"/>
      <c r="AG334" s="340"/>
      <c r="AH334" s="340"/>
      <c r="AI334" s="340"/>
      <c r="AJ334" s="340"/>
      <c r="AK334" s="340"/>
      <c r="AL334" s="340"/>
      <c r="AM334" s="340"/>
    </row>
    <row r="335" spans="1:39" ht="15.75">
      <c r="A335" s="340"/>
      <c r="B335" s="692" t="s">
        <v>254</v>
      </c>
      <c r="C335" s="751"/>
      <c r="D335" s="751"/>
      <c r="E335" s="751"/>
      <c r="F335" s="751"/>
      <c r="G335" s="751"/>
      <c r="H335" s="751"/>
      <c r="I335" s="751"/>
      <c r="J335" s="751"/>
      <c r="K335" s="751"/>
      <c r="L335" s="751">
        <v>0.620529</v>
      </c>
      <c r="M335" s="751">
        <f>1.164085+0.330678+0.330678</f>
        <v>1.8254410000000001</v>
      </c>
      <c r="N335" s="751">
        <v>1.1399999999999999</v>
      </c>
      <c r="O335" s="751">
        <v>1.36</v>
      </c>
      <c r="P335" s="751">
        <v>1.62</v>
      </c>
      <c r="Q335" s="751">
        <v>1.78</v>
      </c>
      <c r="R335" s="751">
        <v>2.1800000000000002</v>
      </c>
      <c r="S335" s="751">
        <v>1.78</v>
      </c>
      <c r="T335" s="751">
        <v>2.56</v>
      </c>
      <c r="U335" s="751">
        <v>2.82</v>
      </c>
      <c r="V335" s="751">
        <v>2.96</v>
      </c>
      <c r="W335" s="752">
        <v>3.05</v>
      </c>
      <c r="X335" s="753">
        <f t="shared" ref="X335" si="874">(1+X336)*W335</f>
        <v>3.2025000000000001</v>
      </c>
      <c r="Y335" s="753">
        <f t="shared" ref="Y335" si="875">(1+Y336)*X335</f>
        <v>3.5227500000000003</v>
      </c>
      <c r="Z335" s="753">
        <f t="shared" ref="Z335" si="876">(1+Z336)*Y335</f>
        <v>3.8750250000000008</v>
      </c>
      <c r="AA335" s="753">
        <f t="shared" ref="AA335" si="877">(1+AA336)*Z335</f>
        <v>4.2625275000000009</v>
      </c>
      <c r="AB335" s="753">
        <f t="shared" ref="AB335" si="878">(1+AB336)*AA335</f>
        <v>4.6887802500000015</v>
      </c>
      <c r="AC335" s="753">
        <f t="shared" ref="AC335" si="879">(1+AC336)*AB335</f>
        <v>5.157658275000002</v>
      </c>
      <c r="AD335" s="753">
        <f t="shared" ref="AD335" si="880">(1+AD336)*AC335</f>
        <v>5.673424102500003</v>
      </c>
      <c r="AE335" s="340"/>
      <c r="AF335" s="340"/>
      <c r="AG335" s="340"/>
      <c r="AH335" s="340"/>
      <c r="AI335" s="340"/>
      <c r="AJ335" s="340"/>
      <c r="AK335" s="340"/>
      <c r="AL335" s="340"/>
      <c r="AM335" s="340"/>
    </row>
    <row r="336" spans="1:39" ht="15.75">
      <c r="A336" s="340"/>
      <c r="B336" s="692"/>
      <c r="C336" s="685"/>
      <c r="D336" s="685"/>
      <c r="E336" s="685"/>
      <c r="F336" s="685"/>
      <c r="G336" s="685"/>
      <c r="H336" s="685"/>
      <c r="I336" s="685"/>
      <c r="J336" s="685"/>
      <c r="K336" s="685"/>
      <c r="L336" s="685"/>
      <c r="M336" s="731">
        <f t="shared" ref="M336:W336" si="881">M335/L335-1</f>
        <v>1.9417497006586317</v>
      </c>
      <c r="N336" s="731">
        <f t="shared" si="881"/>
        <v>-0.37549337392991622</v>
      </c>
      <c r="O336" s="731">
        <f t="shared" si="881"/>
        <v>0.19298245614035103</v>
      </c>
      <c r="P336" s="731">
        <f t="shared" si="881"/>
        <v>0.19117647058823528</v>
      </c>
      <c r="Q336" s="731">
        <f t="shared" si="881"/>
        <v>9.8765432098765427E-2</v>
      </c>
      <c r="R336" s="731">
        <f t="shared" si="881"/>
        <v>0.22471910112359561</v>
      </c>
      <c r="S336" s="731">
        <f t="shared" si="881"/>
        <v>-0.1834862385321101</v>
      </c>
      <c r="T336" s="731">
        <f t="shared" si="881"/>
        <v>0.4382022471910112</v>
      </c>
      <c r="U336" s="731">
        <f t="shared" si="881"/>
        <v>0.1015625</v>
      </c>
      <c r="V336" s="731">
        <f t="shared" si="881"/>
        <v>4.9645390070921946E-2</v>
      </c>
      <c r="W336" s="731">
        <f t="shared" si="881"/>
        <v>3.0405405405405261E-2</v>
      </c>
      <c r="X336" s="754">
        <v>0.05</v>
      </c>
      <c r="Y336" s="754">
        <v>0.1</v>
      </c>
      <c r="Z336" s="754">
        <v>0.1</v>
      </c>
      <c r="AA336" s="754">
        <v>0.1</v>
      </c>
      <c r="AB336" s="754">
        <v>0.1</v>
      </c>
      <c r="AC336" s="754">
        <v>0.1</v>
      </c>
      <c r="AD336" s="754">
        <v>0.1</v>
      </c>
      <c r="AE336" s="340"/>
      <c r="AF336" s="340"/>
      <c r="AG336" s="340"/>
      <c r="AH336" s="340"/>
      <c r="AI336" s="340"/>
      <c r="AJ336" s="340"/>
      <c r="AK336" s="340"/>
      <c r="AL336" s="340"/>
      <c r="AM336" s="340"/>
    </row>
    <row r="337" spans="1:39" ht="15.75">
      <c r="A337" s="340"/>
      <c r="B337" s="692"/>
      <c r="C337" s="701"/>
      <c r="D337" s="701"/>
      <c r="E337" s="701"/>
      <c r="F337" s="701"/>
      <c r="G337" s="701"/>
      <c r="H337" s="701"/>
      <c r="I337" s="701"/>
      <c r="J337" s="729"/>
      <c r="K337" s="729"/>
      <c r="L337" s="701"/>
      <c r="M337" s="701"/>
      <c r="N337" s="701"/>
      <c r="O337" s="701"/>
      <c r="P337" s="701"/>
      <c r="Q337" s="701"/>
      <c r="R337" s="701"/>
      <c r="S337" s="701"/>
      <c r="T337" s="701"/>
      <c r="U337" s="701"/>
      <c r="V337" s="701"/>
      <c r="W337" s="701"/>
      <c r="X337" s="701"/>
      <c r="Y337" s="701"/>
      <c r="Z337" s="701"/>
      <c r="AA337" s="701"/>
      <c r="AB337" s="701"/>
      <c r="AC337" s="701"/>
      <c r="AD337" s="701"/>
      <c r="AE337" s="340"/>
      <c r="AF337" s="340"/>
      <c r="AG337" s="340"/>
      <c r="AH337" s="340"/>
      <c r="AI337" s="340"/>
      <c r="AJ337" s="340"/>
      <c r="AK337" s="340"/>
      <c r="AL337" s="340"/>
      <c r="AM337" s="340"/>
    </row>
    <row r="338" spans="1:39" ht="15.75">
      <c r="A338" s="340"/>
      <c r="B338" s="692" t="s">
        <v>158</v>
      </c>
      <c r="C338" s="729"/>
      <c r="D338" s="729"/>
      <c r="E338" s="729"/>
      <c r="F338" s="729"/>
      <c r="G338" s="729"/>
      <c r="H338" s="729"/>
      <c r="I338" s="729"/>
      <c r="J338" s="729"/>
      <c r="K338" s="729"/>
      <c r="L338" s="729">
        <f>L335*L325/2</f>
        <v>533.11290791850001</v>
      </c>
      <c r="M338" s="729">
        <f>M335*M325/2</f>
        <v>1568.522957337</v>
      </c>
      <c r="N338" s="729">
        <f>N335*N325/2</f>
        <v>979.55297999999982</v>
      </c>
      <c r="O338" s="729">
        <f>O335*O325/2</f>
        <v>1168.58952</v>
      </c>
      <c r="P338" s="729">
        <f t="shared" ref="P338:Y338" si="882">P335*P325/2</f>
        <v>1391.9963399999999</v>
      </c>
      <c r="Q338" s="729">
        <f t="shared" si="882"/>
        <v>1529.4774599999998</v>
      </c>
      <c r="R338" s="729">
        <f t="shared" si="882"/>
        <v>1873.1802600000001</v>
      </c>
      <c r="S338" s="729">
        <f t="shared" si="882"/>
        <v>1529.4774599999998</v>
      </c>
      <c r="T338" s="729">
        <f t="shared" si="882"/>
        <v>2201.6972799999999</v>
      </c>
      <c r="U338" s="729">
        <f t="shared" si="882"/>
        <v>2418.08232</v>
      </c>
      <c r="V338" s="729">
        <f t="shared" si="882"/>
        <v>2538.5477999999998</v>
      </c>
      <c r="W338" s="729">
        <f t="shared" si="882"/>
        <v>2618.4265249999999</v>
      </c>
      <c r="X338" s="729">
        <f t="shared" si="882"/>
        <v>2749.3478512500001</v>
      </c>
      <c r="Y338" s="729">
        <f t="shared" si="882"/>
        <v>3024.282636375</v>
      </c>
      <c r="Z338" s="729">
        <f t="shared" ref="Z338:AD338" si="883">Z335*Z325/2</f>
        <v>3326.7109000125006</v>
      </c>
      <c r="AA338" s="729">
        <f t="shared" si="883"/>
        <v>3659.3819900137505</v>
      </c>
      <c r="AB338" s="729">
        <f t="shared" si="883"/>
        <v>4025.3201890151263</v>
      </c>
      <c r="AC338" s="729">
        <f t="shared" si="883"/>
        <v>4427.8522079166387</v>
      </c>
      <c r="AD338" s="729">
        <f t="shared" si="883"/>
        <v>4870.6374287083036</v>
      </c>
      <c r="AE338" s="340"/>
      <c r="AF338" s="340"/>
      <c r="AG338" s="340"/>
      <c r="AH338" s="340"/>
      <c r="AI338" s="340"/>
      <c r="AJ338" s="340"/>
      <c r="AK338" s="340"/>
      <c r="AL338" s="340"/>
      <c r="AM338" s="340"/>
    </row>
    <row r="339" spans="1:39" ht="15.75">
      <c r="A339" s="340"/>
      <c r="B339" s="692" t="s">
        <v>730</v>
      </c>
      <c r="C339" s="729"/>
      <c r="D339" s="729"/>
      <c r="E339" s="729"/>
      <c r="F339" s="729"/>
      <c r="G339" s="729"/>
      <c r="H339" s="729"/>
      <c r="I339" s="729"/>
      <c r="J339" s="729"/>
      <c r="K339" s="729"/>
      <c r="L339" s="731">
        <f t="shared" ref="L339:U339" si="884">L338/L12</f>
        <v>0.14114718239833202</v>
      </c>
      <c r="M339" s="731">
        <f t="shared" si="884"/>
        <v>0.36008332353925621</v>
      </c>
      <c r="N339" s="731">
        <f t="shared" si="884"/>
        <v>0.20209469362492261</v>
      </c>
      <c r="O339" s="731">
        <f t="shared" si="884"/>
        <v>0.1999982064008215</v>
      </c>
      <c r="P339" s="731">
        <f t="shared" si="884"/>
        <v>0.20130098915401301</v>
      </c>
      <c r="Q339" s="731">
        <f t="shared" si="884"/>
        <v>0.19824724044069991</v>
      </c>
      <c r="R339" s="731">
        <f t="shared" si="884"/>
        <v>0.20040443564780144</v>
      </c>
      <c r="S339" s="731">
        <f t="shared" si="884"/>
        <v>0.15052430469441982</v>
      </c>
      <c r="T339" s="731">
        <f t="shared" si="884"/>
        <v>0.19948330887016399</v>
      </c>
      <c r="U339" s="731">
        <f t="shared" si="884"/>
        <v>0.19957760977220204</v>
      </c>
      <c r="V339" s="731">
        <f>V338/V12</f>
        <v>0.19880524876697642</v>
      </c>
      <c r="W339" s="731">
        <f>W338/W12</f>
        <v>0.19657867125005243</v>
      </c>
      <c r="X339" s="731">
        <f>X338/X12</f>
        <v>0.18264654425786797</v>
      </c>
      <c r="Y339" s="731">
        <f>Y338/Y12</f>
        <v>0.18105186204187604</v>
      </c>
      <c r="Z339" s="731">
        <f t="shared" ref="Z339:AD339" si="885">Z338/Z12</f>
        <v>0.18151233263633637</v>
      </c>
      <c r="AA339" s="731">
        <f t="shared" si="885"/>
        <v>0.18881407808819972</v>
      </c>
      <c r="AB339" s="731">
        <f t="shared" si="885"/>
        <v>0.19781598313914869</v>
      </c>
      <c r="AC339" s="731">
        <f t="shared" si="885"/>
        <v>0.2079408863587259</v>
      </c>
      <c r="AD339" s="731">
        <f t="shared" si="885"/>
        <v>0.21883801067391115</v>
      </c>
      <c r="AE339" s="340"/>
      <c r="AF339" s="340"/>
      <c r="AG339" s="340"/>
      <c r="AH339" s="340"/>
      <c r="AI339" s="340"/>
      <c r="AJ339" s="340"/>
      <c r="AK339" s="340"/>
      <c r="AL339" s="340"/>
      <c r="AM339" s="340"/>
    </row>
    <row r="340" spans="1:39" ht="15.75">
      <c r="A340" s="340"/>
      <c r="B340" s="692" t="s">
        <v>159</v>
      </c>
      <c r="C340" s="701"/>
      <c r="D340" s="701"/>
      <c r="E340" s="701"/>
      <c r="F340" s="701"/>
      <c r="G340" s="701"/>
      <c r="H340" s="701"/>
      <c r="I340" s="701"/>
      <c r="J340" s="701"/>
      <c r="K340" s="701"/>
      <c r="L340" s="701">
        <f>L338/L344</f>
        <v>0.30912981161484671</v>
      </c>
      <c r="M340" s="701">
        <f t="shared" ref="M340:T340" si="886">M338/M344</f>
        <v>0.8012479348881284</v>
      </c>
      <c r="N340" s="701">
        <f t="shared" si="886"/>
        <v>0.46045032919573753</v>
      </c>
      <c r="O340" s="701">
        <f t="shared" si="886"/>
        <v>0.44323510443640751</v>
      </c>
      <c r="P340" s="701">
        <f t="shared" si="886"/>
        <v>0.43645330089791101</v>
      </c>
      <c r="Q340" s="701">
        <f t="shared" si="886"/>
        <v>0.394635417698046</v>
      </c>
      <c r="R340" s="701">
        <f t="shared" si="886"/>
        <v>0.40037571073791484</v>
      </c>
      <c r="S340" s="701">
        <f t="shared" si="886"/>
        <v>0.28723552847382011</v>
      </c>
      <c r="T340" s="701">
        <f t="shared" si="886"/>
        <v>0.38764346381631942</v>
      </c>
      <c r="U340" s="701">
        <f ca="1">U338/U344</f>
        <v>0.40527862255102837</v>
      </c>
      <c r="V340" s="701">
        <f>V338/V344</f>
        <v>0.4192761368280557</v>
      </c>
      <c r="W340" s="701">
        <f>W338/W344</f>
        <v>0.39762891164920039</v>
      </c>
      <c r="X340" s="701">
        <f ca="1">X338/X344</f>
        <v>0.39069918762791411</v>
      </c>
      <c r="Y340" s="701">
        <f ca="1">Y338/Y344</f>
        <v>0.36580147733601293</v>
      </c>
      <c r="Z340" s="701">
        <f t="shared" ref="Z340:AD340" ca="1" si="887">Z338/Z344</f>
        <v>0.3676428810316123</v>
      </c>
      <c r="AA340" s="701">
        <f t="shared" ca="1" si="887"/>
        <v>0.39400274111862449</v>
      </c>
      <c r="AB340" s="701">
        <f t="shared" ca="1" si="887"/>
        <v>0.42345559932611465</v>
      </c>
      <c r="AC340" s="701">
        <f t="shared" ca="1" si="887"/>
        <v>0.45000346947068431</v>
      </c>
      <c r="AD340" s="701">
        <f t="shared" ca="1" si="887"/>
        <v>0.4668429466804036</v>
      </c>
      <c r="AE340" s="340"/>
      <c r="AF340" s="340"/>
      <c r="AG340" s="340"/>
      <c r="AH340" s="340"/>
      <c r="AI340" s="340"/>
      <c r="AJ340" s="340"/>
      <c r="AK340" s="340"/>
      <c r="AL340" s="340"/>
      <c r="AM340" s="340"/>
    </row>
    <row r="341" spans="1:39" ht="15.75">
      <c r="A341" s="340"/>
      <c r="B341" s="692" t="s">
        <v>160</v>
      </c>
      <c r="C341" s="701"/>
      <c r="D341" s="701"/>
      <c r="E341" s="701"/>
      <c r="F341" s="701"/>
      <c r="G341" s="701"/>
      <c r="H341" s="701"/>
      <c r="I341" s="701"/>
      <c r="J341" s="701"/>
      <c r="K341" s="701"/>
      <c r="L341" s="701">
        <f>L338/L34</f>
        <v>0.27636750021695178</v>
      </c>
      <c r="M341" s="701">
        <f t="shared" ref="M341:T341" si="888">M338/M34</f>
        <v>0.82902904721828752</v>
      </c>
      <c r="N341" s="701">
        <f t="shared" si="888"/>
        <v>0.41621116634799227</v>
      </c>
      <c r="O341" s="701">
        <f t="shared" si="888"/>
        <v>0.36948725042550223</v>
      </c>
      <c r="P341" s="701">
        <f t="shared" si="888"/>
        <v>0.36099490145228214</v>
      </c>
      <c r="Q341" s="701">
        <f t="shared" si="888"/>
        <v>0.36975159192554097</v>
      </c>
      <c r="R341" s="701">
        <f t="shared" si="888"/>
        <v>0.41539456690468801</v>
      </c>
      <c r="S341" s="701">
        <f t="shared" si="888"/>
        <v>0.35920090652888675</v>
      </c>
      <c r="T341" s="701">
        <f t="shared" si="888"/>
        <v>0.52641958684009182</v>
      </c>
      <c r="U341" s="701">
        <f ca="1">U338/U34</f>
        <v>0.56392844649298812</v>
      </c>
      <c r="V341" s="701">
        <f>V338/V34</f>
        <v>0.71185866625687988</v>
      </c>
      <c r="W341" s="701">
        <f>W338/W34</f>
        <v>0.90918408464798617</v>
      </c>
      <c r="X341" s="701">
        <f ca="1">X338/X34</f>
        <v>0.86381702416100614</v>
      </c>
      <c r="Y341" s="701">
        <f ca="1">Y338/Y34</f>
        <v>0.71032787067566783</v>
      </c>
      <c r="Z341" s="701">
        <f t="shared" ref="Z341:AD341" ca="1" si="889">Z338/Z34</f>
        <v>0.63506163023061868</v>
      </c>
      <c r="AA341" s="701">
        <f t="shared" ca="1" si="889"/>
        <v>0.60892703533932102</v>
      </c>
      <c r="AB341" s="701">
        <f t="shared" ca="1" si="889"/>
        <v>0.59445957112646419</v>
      </c>
      <c r="AC341" s="701">
        <f t="shared" ca="1" si="889"/>
        <v>0.59975993337391664</v>
      </c>
      <c r="AD341" s="701">
        <f t="shared" ca="1" si="889"/>
        <v>0.6228135341538108</v>
      </c>
      <c r="AE341" s="340"/>
      <c r="AF341" s="340"/>
      <c r="AG341" s="340"/>
      <c r="AH341" s="340"/>
      <c r="AI341" s="340"/>
      <c r="AJ341" s="340"/>
      <c r="AK341" s="340"/>
      <c r="AL341" s="340"/>
      <c r="AM341" s="340"/>
    </row>
    <row r="342" spans="1:39" ht="15.75">
      <c r="A342" s="340"/>
      <c r="B342" s="692" t="s">
        <v>161</v>
      </c>
      <c r="C342" s="701"/>
      <c r="D342" s="701"/>
      <c r="E342" s="701"/>
      <c r="F342" s="701"/>
      <c r="G342" s="701"/>
      <c r="H342" s="701"/>
      <c r="I342" s="701"/>
      <c r="J342" s="701"/>
      <c r="K342" s="701"/>
      <c r="L342" s="701">
        <f t="shared" ref="L342:R342" si="890">L338/L348</f>
        <v>0.48221074199365033</v>
      </c>
      <c r="M342" s="701">
        <f t="shared" si="890"/>
        <v>1.0687673462367131</v>
      </c>
      <c r="N342" s="701">
        <f t="shared" si="890"/>
        <v>0.63900009500361887</v>
      </c>
      <c r="O342" s="701">
        <f t="shared" si="890"/>
        <v>1.7045819171989507</v>
      </c>
      <c r="P342" s="701">
        <f t="shared" si="890"/>
        <v>3.0373716058968179</v>
      </c>
      <c r="Q342" s="701">
        <f t="shared" si="890"/>
        <v>0.92997145139841253</v>
      </c>
      <c r="R342" s="701">
        <f t="shared" si="890"/>
        <v>0.89325156905364211</v>
      </c>
      <c r="S342" s="701">
        <f t="shared" ref="S342:T342" si="891">S338/S348</f>
        <v>0.59510377948541537</v>
      </c>
      <c r="T342" s="701">
        <f t="shared" si="891"/>
        <v>1.1083465056331558</v>
      </c>
      <c r="U342" s="701">
        <f ca="1">U338/U348</f>
        <v>1.3066071131733938</v>
      </c>
      <c r="V342" s="701">
        <f>V338/V348</f>
        <v>4.6693746964970755</v>
      </c>
      <c r="W342" s="701">
        <f>W338/W348</f>
        <v>3.043845514582201</v>
      </c>
      <c r="X342" s="701">
        <f ca="1">X338/X348</f>
        <v>0.61727400396623866</v>
      </c>
      <c r="Y342" s="701">
        <f ca="1">Y338/Y348</f>
        <v>0.46321800142171032</v>
      </c>
      <c r="Z342" s="701">
        <f t="shared" ref="Z342:AD342" ca="1" si="892">Z338/Z348</f>
        <v>0.41552997286137411</v>
      </c>
      <c r="AA342" s="701">
        <f t="shared" ca="1" si="892"/>
        <v>0.42095974700968425</v>
      </c>
      <c r="AB342" s="701">
        <f t="shared" ca="1" si="892"/>
        <v>0.47060869307968406</v>
      </c>
      <c r="AC342" s="701">
        <f t="shared" ca="1" si="892"/>
        <v>0.51521149843896552</v>
      </c>
      <c r="AD342" s="701">
        <f t="shared" ca="1" si="892"/>
        <v>0.54540904751707264</v>
      </c>
      <c r="AE342" s="340"/>
      <c r="AF342" s="340"/>
      <c r="AG342" s="340"/>
      <c r="AH342" s="340"/>
      <c r="AI342" s="340"/>
      <c r="AJ342" s="340"/>
      <c r="AK342" s="340"/>
      <c r="AL342" s="340"/>
      <c r="AM342" s="340"/>
    </row>
    <row r="343" spans="1:39" ht="15.75">
      <c r="A343" s="340"/>
      <c r="B343" s="692"/>
      <c r="C343" s="692"/>
      <c r="D343" s="701"/>
      <c r="E343" s="692"/>
      <c r="F343" s="692"/>
      <c r="G343" s="692"/>
      <c r="H343" s="692"/>
      <c r="I343" s="692"/>
      <c r="J343" s="692"/>
      <c r="K343" s="692"/>
      <c r="L343" s="692"/>
      <c r="M343" s="692"/>
      <c r="N343" s="692"/>
      <c r="O343" s="693"/>
      <c r="P343" s="693"/>
      <c r="Q343" s="693"/>
      <c r="R343" s="693"/>
      <c r="S343" s="693"/>
      <c r="T343" s="693"/>
      <c r="U343" s="693"/>
      <c r="V343" s="693"/>
      <c r="W343" s="693"/>
      <c r="X343" s="693"/>
      <c r="Y343" s="693"/>
      <c r="Z343" s="693"/>
      <c r="AA343" s="693"/>
      <c r="AB343" s="693"/>
      <c r="AC343" s="693"/>
      <c r="AD343" s="693"/>
      <c r="AE343" s="340"/>
      <c r="AF343" s="340"/>
      <c r="AG343" s="340"/>
      <c r="AH343" s="340"/>
      <c r="AI343" s="340"/>
      <c r="AJ343" s="340"/>
      <c r="AK343" s="340"/>
      <c r="AL343" s="340"/>
      <c r="AM343" s="340"/>
    </row>
    <row r="344" spans="1:39" ht="15.75">
      <c r="A344" s="340"/>
      <c r="B344" s="692" t="s">
        <v>156</v>
      </c>
      <c r="C344" s="693"/>
      <c r="D344" s="693"/>
      <c r="E344" s="693"/>
      <c r="F344" s="693"/>
      <c r="G344" s="693"/>
      <c r="H344" s="693"/>
      <c r="I344" s="693"/>
      <c r="J344" s="693"/>
      <c r="K344" s="693"/>
      <c r="L344" s="693">
        <f t="shared" ref="L344:T344" si="893">L319</f>
        <v>1724.56</v>
      </c>
      <c r="M344" s="693">
        <f t="shared" si="893"/>
        <v>1957.6</v>
      </c>
      <c r="N344" s="693">
        <f t="shared" si="893"/>
        <v>2127.3803446095303</v>
      </c>
      <c r="O344" s="693">
        <f t="shared" si="893"/>
        <v>2636.5003771213287</v>
      </c>
      <c r="P344" s="693">
        <f t="shared" si="893"/>
        <v>3189.3362637795608</v>
      </c>
      <c r="Q344" s="693">
        <f t="shared" si="893"/>
        <v>3875.6720542763715</v>
      </c>
      <c r="R344" s="693">
        <f t="shared" si="893"/>
        <v>4678.5561905032255</v>
      </c>
      <c r="S344" s="693">
        <f t="shared" si="893"/>
        <v>5324.8199069475595</v>
      </c>
      <c r="T344" s="693">
        <f t="shared" si="893"/>
        <v>5679.6966426944573</v>
      </c>
      <c r="U344" s="693">
        <f ca="1">U319</f>
        <v>5966.4689560465058</v>
      </c>
      <c r="V344" s="693">
        <f>V319</f>
        <v>6054.5964270822624</v>
      </c>
      <c r="W344" s="693">
        <f>W319</f>
        <v>6585.1009528956256</v>
      </c>
      <c r="X344" s="693">
        <f ca="1">X319</f>
        <v>7036.9940309893</v>
      </c>
      <c r="Y344" s="693">
        <f ca="1">Y319</f>
        <v>8267.5517288766878</v>
      </c>
      <c r="Z344" s="693">
        <f t="shared" ref="Z344:AD344" ca="1" si="894">Z319</f>
        <v>9048.7564744289139</v>
      </c>
      <c r="AA344" s="693">
        <f t="shared" ca="1" si="894"/>
        <v>9287.7069322520292</v>
      </c>
      <c r="AB344" s="693">
        <f t="shared" ca="1" si="894"/>
        <v>9505.8849036853044</v>
      </c>
      <c r="AC344" s="693">
        <f t="shared" ca="1" si="894"/>
        <v>9839.595710506168</v>
      </c>
      <c r="AD344" s="693">
        <f t="shared" ca="1" si="894"/>
        <v>10433.139160272453</v>
      </c>
      <c r="AE344" s="340"/>
      <c r="AF344" s="340"/>
      <c r="AG344" s="340"/>
      <c r="AH344" s="340"/>
      <c r="AI344" s="340"/>
      <c r="AJ344" s="340"/>
      <c r="AK344" s="340"/>
      <c r="AL344" s="340"/>
      <c r="AM344" s="340"/>
    </row>
    <row r="345" spans="1:39" ht="15.75">
      <c r="A345" s="340"/>
      <c r="B345" s="692" t="s">
        <v>162</v>
      </c>
      <c r="C345" s="693"/>
      <c r="D345" s="693"/>
      <c r="E345" s="693"/>
      <c r="F345" s="693"/>
      <c r="G345" s="693"/>
      <c r="H345" s="693"/>
      <c r="I345" s="693"/>
      <c r="J345" s="693"/>
      <c r="K345" s="693"/>
      <c r="L345" s="693">
        <f t="shared" ref="L345:T345" si="895">-L313</f>
        <v>1057</v>
      </c>
      <c r="M345" s="693">
        <f t="shared" si="895"/>
        <v>1250</v>
      </c>
      <c r="N345" s="693">
        <f t="shared" si="895"/>
        <v>1568.4258762383101</v>
      </c>
      <c r="O345" s="693">
        <f t="shared" si="895"/>
        <v>1713.2656745924075</v>
      </c>
      <c r="P345" s="693">
        <f t="shared" si="895"/>
        <v>1920.4375825680488</v>
      </c>
      <c r="Q345" s="693">
        <f t="shared" si="895"/>
        <v>2340.6760477987059</v>
      </c>
      <c r="R345" s="693">
        <f t="shared" si="895"/>
        <v>3065.9518946641206</v>
      </c>
      <c r="S345" s="693">
        <f t="shared" si="895"/>
        <v>3735.8101653162016</v>
      </c>
      <c r="T345" s="693">
        <f t="shared" si="895"/>
        <v>4341.2585929249944</v>
      </c>
      <c r="U345" s="693">
        <f t="shared" ref="U345:V345" si="896">-U313</f>
        <v>5044.4335948121734</v>
      </c>
      <c r="V345" s="693">
        <f t="shared" si="896"/>
        <v>6269.3956204352562</v>
      </c>
      <c r="W345" s="693">
        <f>-W313</f>
        <v>7168.0581071077886</v>
      </c>
      <c r="X345" s="693">
        <f>-X313</f>
        <v>8279.8086283226457</v>
      </c>
      <c r="Y345" s="693">
        <f ca="1">-Y313</f>
        <v>8293.0353476439795</v>
      </c>
      <c r="Z345" s="693">
        <f t="shared" ref="Z345:AD345" ca="1" si="897">-Z313</f>
        <v>8588.6902043931095</v>
      </c>
      <c r="AA345" s="693">
        <f t="shared" ca="1" si="897"/>
        <v>8776.8049745311455</v>
      </c>
      <c r="AB345" s="693">
        <f t="shared" ca="1" si="897"/>
        <v>8895.8140103336191</v>
      </c>
      <c r="AC345" s="693">
        <f t="shared" ca="1" si="897"/>
        <v>9070.6402938320389</v>
      </c>
      <c r="AD345" s="693">
        <f t="shared" ca="1" si="897"/>
        <v>9291.2463722086432</v>
      </c>
      <c r="AE345" s="340"/>
      <c r="AF345" s="340"/>
      <c r="AG345" s="340"/>
      <c r="AH345" s="340"/>
      <c r="AI345" s="340"/>
      <c r="AJ345" s="340"/>
      <c r="AK345" s="340"/>
      <c r="AL345" s="340"/>
      <c r="AM345" s="340"/>
    </row>
    <row r="346" spans="1:39" ht="15.75">
      <c r="A346" s="340"/>
      <c r="B346" s="692" t="s">
        <v>163</v>
      </c>
      <c r="C346" s="693"/>
      <c r="D346" s="693"/>
      <c r="E346" s="693"/>
      <c r="F346" s="693"/>
      <c r="G346" s="693"/>
      <c r="H346" s="693"/>
      <c r="I346" s="693"/>
      <c r="J346" s="693"/>
      <c r="K346" s="693"/>
      <c r="L346" s="693">
        <f t="shared" ref="L346:T346" si="898">-L314</f>
        <v>309</v>
      </c>
      <c r="M346" s="693">
        <f t="shared" si="898"/>
        <v>260</v>
      </c>
      <c r="N346" s="693">
        <f t="shared" si="898"/>
        <v>173.14031180400892</v>
      </c>
      <c r="O346" s="693">
        <f t="shared" si="898"/>
        <v>100.79180162796816</v>
      </c>
      <c r="P346" s="693">
        <f t="shared" si="898"/>
        <v>222.51592540687301</v>
      </c>
      <c r="Q346" s="693">
        <f t="shared" si="898"/>
        <v>120.30180379042088</v>
      </c>
      <c r="R346" s="693">
        <f t="shared" si="898"/>
        <v>105.65042520354027</v>
      </c>
      <c r="S346" s="693">
        <f t="shared" si="898"/>
        <v>44.472005263851067</v>
      </c>
      <c r="T346" s="693">
        <f t="shared" si="898"/>
        <v>46.514942082111013</v>
      </c>
      <c r="U346" s="693">
        <f t="shared" ref="U346:Y346" ca="1" si="899">-U314</f>
        <v>306.32799999999997</v>
      </c>
      <c r="V346" s="693">
        <f t="shared" si="899"/>
        <v>55.667000000000144</v>
      </c>
      <c r="W346" s="693">
        <f t="shared" si="899"/>
        <v>56.077280000000009</v>
      </c>
      <c r="X346" s="693">
        <f t="shared" si="899"/>
        <v>55.508006399999942</v>
      </c>
      <c r="Y346" s="693">
        <f t="shared" si="899"/>
        <v>55.74431923200013</v>
      </c>
      <c r="Z346" s="693">
        <f t="shared" ref="Z346:AD346" si="900">-Z314</f>
        <v>55.715961692159986</v>
      </c>
      <c r="AA346" s="693">
        <f t="shared" si="900"/>
        <v>55.719364596940949</v>
      </c>
      <c r="AB346" s="693">
        <f t="shared" si="900"/>
        <v>55.718956248367107</v>
      </c>
      <c r="AC346" s="693">
        <f t="shared" si="900"/>
        <v>55.719005250195849</v>
      </c>
      <c r="AD346" s="693">
        <f t="shared" si="900"/>
        <v>55.71899936997638</v>
      </c>
      <c r="AE346" s="340"/>
      <c r="AF346" s="340"/>
      <c r="AG346" s="340"/>
      <c r="AH346" s="340"/>
      <c r="AI346" s="340"/>
      <c r="AJ346" s="340"/>
      <c r="AK346" s="340"/>
      <c r="AL346" s="340"/>
      <c r="AM346" s="340"/>
    </row>
    <row r="347" spans="1:39" ht="15.75">
      <c r="A347" s="340"/>
      <c r="B347" s="694" t="s">
        <v>164</v>
      </c>
      <c r="C347" s="696"/>
      <c r="D347" s="696"/>
      <c r="E347" s="696"/>
      <c r="F347" s="696"/>
      <c r="G347" s="696"/>
      <c r="H347" s="696"/>
      <c r="I347" s="696"/>
      <c r="J347" s="696"/>
      <c r="K347" s="696"/>
      <c r="L347" s="696">
        <f>-L44</f>
        <v>-1985</v>
      </c>
      <c r="M347" s="696">
        <f t="shared" ref="M347:T347" si="901">-M44</f>
        <v>-2000</v>
      </c>
      <c r="N347" s="696">
        <f t="shared" si="901"/>
        <v>-2336</v>
      </c>
      <c r="O347" s="696">
        <f t="shared" si="901"/>
        <v>-3765</v>
      </c>
      <c r="P347" s="696">
        <f t="shared" si="901"/>
        <v>-4874</v>
      </c>
      <c r="Q347" s="696">
        <f t="shared" si="901"/>
        <v>-4692</v>
      </c>
      <c r="R347" s="696">
        <f t="shared" si="901"/>
        <v>-5753.1229999999996</v>
      </c>
      <c r="S347" s="696">
        <f t="shared" si="901"/>
        <v>-6535</v>
      </c>
      <c r="T347" s="696">
        <f t="shared" si="901"/>
        <v>-8081</v>
      </c>
      <c r="U347" s="696">
        <f t="shared" ref="U347" si="902">-U44</f>
        <v>-9466.5730000000003</v>
      </c>
      <c r="V347" s="696">
        <f>-V44</f>
        <v>-11836</v>
      </c>
      <c r="W347" s="696">
        <f>-W44</f>
        <v>-12949</v>
      </c>
      <c r="X347" s="696">
        <f>-X44</f>
        <v>-10918.295376578899</v>
      </c>
      <c r="Y347" s="696">
        <f>-Y44</f>
        <v>-10087.477536246211</v>
      </c>
      <c r="Z347" s="696">
        <f t="shared" ref="Z347:AD347" si="903">-Z44</f>
        <v>-9687.2157358793829</v>
      </c>
      <c r="AA347" s="696">
        <f t="shared" si="903"/>
        <v>-9427.2813729434729</v>
      </c>
      <c r="AB347" s="696">
        <f t="shared" si="903"/>
        <v>-9903.9843102681043</v>
      </c>
      <c r="AC347" s="696">
        <f t="shared" si="903"/>
        <v>-10371.713185924635</v>
      </c>
      <c r="AD347" s="696">
        <f t="shared" si="903"/>
        <v>-10849.85768156236</v>
      </c>
      <c r="AE347" s="340"/>
      <c r="AF347" s="340"/>
      <c r="AG347" s="340"/>
      <c r="AH347" s="340"/>
      <c r="AI347" s="340"/>
      <c r="AJ347" s="340"/>
      <c r="AK347" s="340"/>
      <c r="AL347" s="340"/>
      <c r="AM347" s="340"/>
    </row>
    <row r="348" spans="1:39" ht="15.75">
      <c r="A348" s="340"/>
      <c r="B348" s="691" t="s">
        <v>165</v>
      </c>
      <c r="C348" s="697"/>
      <c r="D348" s="697"/>
      <c r="E348" s="697"/>
      <c r="F348" s="697"/>
      <c r="G348" s="697"/>
      <c r="H348" s="697"/>
      <c r="I348" s="697"/>
      <c r="J348" s="697"/>
      <c r="K348" s="697"/>
      <c r="L348" s="697">
        <f t="shared" ref="L348:R348" si="904">SUM(L344:L347)</f>
        <v>1105.56</v>
      </c>
      <c r="M348" s="697">
        <f t="shared" si="904"/>
        <v>1467.6</v>
      </c>
      <c r="N348" s="697">
        <f t="shared" si="904"/>
        <v>1532.9465326518493</v>
      </c>
      <c r="O348" s="697">
        <f t="shared" si="904"/>
        <v>685.55785334170469</v>
      </c>
      <c r="P348" s="697">
        <f t="shared" si="904"/>
        <v>458.2897717544829</v>
      </c>
      <c r="Q348" s="697">
        <f t="shared" si="904"/>
        <v>1644.6499058654981</v>
      </c>
      <c r="R348" s="697">
        <f t="shared" si="904"/>
        <v>2097.0355103708871</v>
      </c>
      <c r="S348" s="697">
        <f t="shared" ref="S348:T348" si="905">SUM(S344:S347)</f>
        <v>2570.102077527612</v>
      </c>
      <c r="T348" s="697">
        <f t="shared" si="905"/>
        <v>1986.4701777015616</v>
      </c>
      <c r="U348" s="697">
        <f ca="1">SUM(U344:U347)</f>
        <v>1850.6575508586775</v>
      </c>
      <c r="V348" s="697">
        <f>SUM(V344:V347)</f>
        <v>543.65904751751805</v>
      </c>
      <c r="W348" s="697">
        <f>SUM(W344:W347)</f>
        <v>860.23634000341372</v>
      </c>
      <c r="X348" s="697">
        <f ca="1">SUM(X344:X347)</f>
        <v>4454.0152891330472</v>
      </c>
      <c r="Y348" s="697">
        <f ca="1">SUM(Y344:Y347)</f>
        <v>6528.8538595064547</v>
      </c>
      <c r="Z348" s="697">
        <f t="shared" ref="Z348:AD348" ca="1" si="906">SUM(Z344:Z347)</f>
        <v>8005.9469046348004</v>
      </c>
      <c r="AA348" s="697">
        <f t="shared" ca="1" si="906"/>
        <v>8692.9498984366455</v>
      </c>
      <c r="AB348" s="697">
        <f t="shared" ca="1" si="906"/>
        <v>8553.4335599991864</v>
      </c>
      <c r="AC348" s="697">
        <f t="shared" ca="1" si="906"/>
        <v>8594.2418236637695</v>
      </c>
      <c r="AD348" s="697">
        <f t="shared" ca="1" si="906"/>
        <v>8930.2468502887095</v>
      </c>
      <c r="AE348" s="340"/>
      <c r="AF348" s="340"/>
      <c r="AG348" s="340"/>
      <c r="AH348" s="340"/>
      <c r="AI348" s="340"/>
      <c r="AJ348" s="340"/>
      <c r="AK348" s="340"/>
      <c r="AL348" s="340"/>
      <c r="AM348" s="340"/>
    </row>
    <row r="349" spans="1:39" ht="15.75">
      <c r="A349" s="340"/>
      <c r="B349" s="692" t="s">
        <v>166</v>
      </c>
      <c r="C349" s="753"/>
      <c r="D349" s="723"/>
      <c r="E349" s="723"/>
      <c r="F349" s="723"/>
      <c r="G349" s="723"/>
      <c r="H349" s="723"/>
      <c r="I349" s="723"/>
      <c r="J349" s="723"/>
      <c r="K349" s="723"/>
      <c r="L349" s="723">
        <f>L348/(L325/2)</f>
        <v>1.2868419260725865</v>
      </c>
      <c r="M349" s="723">
        <f t="shared" ref="M349:T349" si="907">M348/(M325/2)</f>
        <v>1.7079872494492334</v>
      </c>
      <c r="N349" s="723">
        <f t="shared" si="907"/>
        <v>1.7840372934428808</v>
      </c>
      <c r="O349" s="723">
        <f t="shared" si="907"/>
        <v>0.79784959952808621</v>
      </c>
      <c r="P349" s="723">
        <f t="shared" si="907"/>
        <v>0.53335587810687946</v>
      </c>
      <c r="Q349" s="723">
        <f t="shared" si="907"/>
        <v>1.9140372506310663</v>
      </c>
      <c r="R349" s="723">
        <f t="shared" si="907"/>
        <v>2.4405218815452039</v>
      </c>
      <c r="S349" s="723">
        <f t="shared" si="907"/>
        <v>2.991074937448996</v>
      </c>
      <c r="T349" s="723">
        <f t="shared" si="907"/>
        <v>2.3097469852513046</v>
      </c>
      <c r="U349" s="723">
        <f ca="1">U348/(U325/2)</f>
        <v>2.1582616316476235</v>
      </c>
      <c r="V349" s="723">
        <f>V348/(V325/2)</f>
        <v>0.63391785675725842</v>
      </c>
      <c r="W349" s="723">
        <f>W348/(W325/2)</f>
        <v>1.0020219440797224</v>
      </c>
      <c r="X349" s="723">
        <f ca="1">X348/(X325/2)</f>
        <v>5.1881335993782729</v>
      </c>
      <c r="Y349" s="723">
        <f ca="1">Y348/(Y325/2)</f>
        <v>7.6049505614806918</v>
      </c>
      <c r="Z349" s="723">
        <f t="shared" ref="Z349:AD349" ca="1" si="908">Z348/(Z325/2)</f>
        <v>9.3255005729580827</v>
      </c>
      <c r="AA349" s="723">
        <f t="shared" ca="1" si="908"/>
        <v>10.125736558611958</v>
      </c>
      <c r="AB349" s="723">
        <f t="shared" ca="1" si="908"/>
        <v>9.9632249020229882</v>
      </c>
      <c r="AC349" s="723">
        <f t="shared" ca="1" si="908"/>
        <v>10.010759252515019</v>
      </c>
      <c r="AD349" s="723">
        <f t="shared" ca="1" si="908"/>
        <v>10.402145194194656</v>
      </c>
      <c r="AE349" s="340"/>
      <c r="AF349" s="340"/>
      <c r="AG349" s="340"/>
      <c r="AH349" s="340"/>
      <c r="AI349" s="340"/>
      <c r="AJ349" s="340"/>
      <c r="AK349" s="340"/>
      <c r="AL349" s="340"/>
      <c r="AM349" s="340"/>
    </row>
    <row r="350" spans="1:39" ht="15.75">
      <c r="A350" s="340"/>
      <c r="B350" s="692" t="s">
        <v>2</v>
      </c>
      <c r="C350" s="701"/>
      <c r="D350" s="701"/>
      <c r="E350" s="701"/>
      <c r="F350" s="701"/>
      <c r="G350" s="701"/>
      <c r="H350" s="701"/>
      <c r="I350" s="701"/>
      <c r="J350" s="701"/>
      <c r="K350" s="701"/>
      <c r="L350" s="701"/>
      <c r="M350" s="701">
        <f t="shared" ref="M350:T350" si="909">M349/L349-1</f>
        <v>0.32727044001587147</v>
      </c>
      <c r="N350" s="701">
        <f t="shared" si="909"/>
        <v>4.4526119277629839E-2</v>
      </c>
      <c r="O350" s="701">
        <f t="shared" si="909"/>
        <v>-0.55278423693241541</v>
      </c>
      <c r="P350" s="701">
        <f t="shared" si="909"/>
        <v>-0.33150824613768071</v>
      </c>
      <c r="Q350" s="701">
        <f t="shared" si="909"/>
        <v>2.5886681467256865</v>
      </c>
      <c r="R350" s="701">
        <f t="shared" si="909"/>
        <v>0.27506498671358326</v>
      </c>
      <c r="S350" s="701">
        <f t="shared" si="909"/>
        <v>0.22558824818043099</v>
      </c>
      <c r="T350" s="701">
        <f t="shared" si="909"/>
        <v>-0.22778698843927225</v>
      </c>
      <c r="U350" s="701">
        <f ca="1">U349/T349-1</f>
        <v>-6.5585258719235484E-2</v>
      </c>
      <c r="V350" s="701">
        <f ca="1">V349/U349-1</f>
        <v>-0.70628312737352261</v>
      </c>
      <c r="W350" s="701">
        <f>W349/V349-1</f>
        <v>0.58068105102049428</v>
      </c>
      <c r="X350" s="701">
        <f ca="1">X349/W349-1</f>
        <v>4.1776646509904145</v>
      </c>
      <c r="Y350" s="701">
        <f ca="1">Y349/X349-1</f>
        <v>0.46583552944589579</v>
      </c>
      <c r="Z350" s="701">
        <f t="shared" ref="Z350:AD350" ca="1" si="910">Z349/Y349-1</f>
        <v>0.22624078849269957</v>
      </c>
      <c r="AA350" s="701">
        <f t="shared" ca="1" si="910"/>
        <v>8.5811585061115636E-2</v>
      </c>
      <c r="AB350" s="701">
        <f t="shared" ca="1" si="910"/>
        <v>-1.6049366448384839E-2</v>
      </c>
      <c r="AC350" s="701">
        <f t="shared" ca="1" si="910"/>
        <v>4.7709803762814307E-3</v>
      </c>
      <c r="AD350" s="701">
        <f t="shared" ca="1" si="910"/>
        <v>3.909652922492457E-2</v>
      </c>
      <c r="AE350" s="340"/>
      <c r="AF350" s="340"/>
      <c r="AG350" s="340"/>
      <c r="AH350" s="340"/>
      <c r="AI350" s="340"/>
      <c r="AJ350" s="340"/>
      <c r="AK350" s="340"/>
      <c r="AL350" s="340"/>
      <c r="AM350" s="340"/>
    </row>
    <row r="351" spans="1:39" ht="15.75">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c r="AF351" s="340"/>
      <c r="AG351" s="340"/>
      <c r="AH351" s="340"/>
      <c r="AI351" s="340"/>
      <c r="AJ351" s="340"/>
      <c r="AK351" s="340"/>
      <c r="AL351" s="340"/>
      <c r="AM351" s="340"/>
    </row>
    <row r="352" spans="1:39" ht="15.75">
      <c r="A352" s="340"/>
      <c r="B352" s="691"/>
      <c r="C352" s="692"/>
      <c r="D352" s="691"/>
      <c r="E352" s="691"/>
      <c r="F352" s="691"/>
      <c r="G352" s="691"/>
      <c r="H352" s="691"/>
      <c r="I352" s="691"/>
      <c r="J352" s="691"/>
      <c r="K352" s="691"/>
      <c r="L352" s="691"/>
      <c r="M352" s="691"/>
      <c r="N352" s="691"/>
      <c r="O352" s="691"/>
      <c r="P352" s="691"/>
      <c r="Q352" s="691"/>
      <c r="R352" s="691"/>
      <c r="S352" s="691"/>
      <c r="T352" s="691"/>
      <c r="U352" s="691"/>
      <c r="V352" s="691"/>
      <c r="W352" s="691"/>
      <c r="X352" s="691"/>
      <c r="Y352" s="691"/>
      <c r="Z352" s="691"/>
      <c r="AA352" s="691"/>
      <c r="AB352" s="691"/>
      <c r="AC352" s="691"/>
      <c r="AD352" s="691"/>
      <c r="AE352" s="340"/>
      <c r="AF352" s="340"/>
      <c r="AG352" s="340"/>
      <c r="AH352" s="340"/>
      <c r="AI352" s="340"/>
      <c r="AJ352" s="340"/>
      <c r="AK352" s="340"/>
      <c r="AL352" s="340"/>
      <c r="AM352" s="340"/>
    </row>
    <row r="353" spans="1:39" ht="15.75">
      <c r="A353" s="340"/>
      <c r="B353" s="692"/>
      <c r="C353" s="692"/>
      <c r="D353" s="755"/>
      <c r="E353" s="755"/>
      <c r="F353" s="755"/>
      <c r="G353" s="755"/>
      <c r="H353" s="755"/>
      <c r="I353" s="755"/>
      <c r="J353" s="755"/>
      <c r="K353" s="755"/>
      <c r="L353" s="755"/>
      <c r="M353" s="755"/>
      <c r="N353" s="755"/>
      <c r="O353" s="755"/>
      <c r="P353" s="755"/>
      <c r="Q353" s="755"/>
      <c r="R353" s="755"/>
      <c r="S353" s="755"/>
      <c r="T353" s="755"/>
      <c r="U353" s="755"/>
      <c r="V353" s="755"/>
      <c r="W353" s="755"/>
      <c r="X353" s="755"/>
      <c r="Y353" s="755"/>
      <c r="Z353" s="755"/>
      <c r="AA353" s="755"/>
      <c r="AB353" s="755"/>
      <c r="AC353" s="755"/>
      <c r="AD353" s="755"/>
      <c r="AE353" s="340"/>
      <c r="AF353" s="340"/>
      <c r="AG353" s="340"/>
      <c r="AH353" s="340"/>
      <c r="AI353" s="340"/>
      <c r="AJ353" s="340"/>
      <c r="AK353" s="340"/>
      <c r="AL353" s="340"/>
      <c r="AM353" s="340"/>
    </row>
    <row r="354" spans="1:39" ht="15.75">
      <c r="A354" s="340"/>
      <c r="B354" s="692"/>
      <c r="C354" s="692"/>
      <c r="D354" s="755"/>
      <c r="E354" s="755"/>
      <c r="F354" s="755"/>
      <c r="G354" s="755"/>
      <c r="H354" s="755"/>
      <c r="I354" s="755"/>
      <c r="J354" s="755"/>
      <c r="K354" s="755"/>
      <c r="L354" s="755"/>
      <c r="M354" s="755"/>
      <c r="N354" s="755"/>
      <c r="O354" s="755"/>
      <c r="P354" s="755"/>
      <c r="Q354" s="755"/>
      <c r="R354" s="755"/>
      <c r="S354" s="755"/>
      <c r="T354" s="755"/>
      <c r="U354" s="755"/>
      <c r="V354" s="755"/>
      <c r="W354" s="755"/>
      <c r="X354" s="755"/>
      <c r="Y354" s="755"/>
      <c r="Z354" s="755"/>
      <c r="AA354" s="755"/>
      <c r="AB354" s="755"/>
      <c r="AC354" s="755"/>
      <c r="AD354" s="755"/>
      <c r="AE354" s="340"/>
      <c r="AF354" s="340"/>
      <c r="AG354" s="340"/>
      <c r="AH354" s="340"/>
      <c r="AI354" s="340"/>
      <c r="AJ354" s="340"/>
      <c r="AK354" s="340"/>
      <c r="AL354" s="340"/>
      <c r="AM354" s="340"/>
    </row>
    <row r="355" spans="1:39" ht="15.75">
      <c r="A355" s="340"/>
      <c r="B355" s="692"/>
      <c r="C355" s="692"/>
      <c r="D355" s="755"/>
      <c r="E355" s="755"/>
      <c r="F355" s="755"/>
      <c r="G355" s="755"/>
      <c r="H355" s="755"/>
      <c r="I355" s="755"/>
      <c r="J355" s="755"/>
      <c r="K355" s="755"/>
      <c r="L355" s="755"/>
      <c r="M355" s="755"/>
      <c r="N355" s="755"/>
      <c r="O355" s="755"/>
      <c r="P355" s="755"/>
      <c r="Q355" s="755"/>
      <c r="R355" s="755"/>
      <c r="S355" s="755"/>
      <c r="T355" s="755"/>
      <c r="U355" s="755"/>
      <c r="V355" s="755"/>
      <c r="W355" s="755"/>
      <c r="X355" s="755"/>
      <c r="Y355" s="755"/>
      <c r="Z355" s="755"/>
      <c r="AA355" s="755"/>
      <c r="AB355" s="755"/>
      <c r="AC355" s="755"/>
      <c r="AD355" s="755"/>
      <c r="AE355" s="340"/>
      <c r="AF355" s="340"/>
      <c r="AG355" s="340"/>
      <c r="AH355" s="340"/>
      <c r="AI355" s="340"/>
      <c r="AJ355" s="340"/>
      <c r="AK355" s="340"/>
      <c r="AL355" s="340"/>
      <c r="AM355" s="340"/>
    </row>
    <row r="356" spans="1:39" ht="15.75">
      <c r="A356" s="340"/>
      <c r="B356" s="692"/>
      <c r="C356" s="692"/>
      <c r="D356" s="755"/>
      <c r="E356" s="755"/>
      <c r="F356" s="755"/>
      <c r="G356" s="755"/>
      <c r="H356" s="755"/>
      <c r="I356" s="755"/>
      <c r="J356" s="755"/>
      <c r="K356" s="755"/>
      <c r="L356" s="755"/>
      <c r="M356" s="755"/>
      <c r="N356" s="755"/>
      <c r="O356" s="755"/>
      <c r="P356" s="755"/>
      <c r="Q356" s="755"/>
      <c r="R356" s="755"/>
      <c r="S356" s="755"/>
      <c r="T356" s="755"/>
      <c r="U356" s="755"/>
      <c r="V356" s="755"/>
      <c r="W356" s="755"/>
      <c r="X356" s="755"/>
      <c r="Y356" s="755"/>
      <c r="Z356" s="755"/>
      <c r="AA356" s="755"/>
      <c r="AB356" s="755"/>
      <c r="AC356" s="755"/>
      <c r="AD356" s="755"/>
      <c r="AE356" s="340"/>
      <c r="AF356" s="340"/>
      <c r="AG356" s="340"/>
      <c r="AH356" s="340"/>
      <c r="AI356" s="340"/>
      <c r="AJ356" s="340"/>
      <c r="AK356" s="340"/>
      <c r="AL356" s="340"/>
      <c r="AM356" s="340"/>
    </row>
    <row r="357" spans="1:39" ht="15.75">
      <c r="A357" s="340"/>
      <c r="B357" s="692"/>
      <c r="C357" s="692"/>
      <c r="D357" s="755"/>
      <c r="E357" s="755"/>
      <c r="F357" s="755"/>
      <c r="G357" s="755"/>
      <c r="H357" s="755"/>
      <c r="I357" s="755"/>
      <c r="J357" s="755"/>
      <c r="K357" s="755"/>
      <c r="L357" s="755"/>
      <c r="M357" s="755"/>
      <c r="N357" s="755"/>
      <c r="O357" s="755"/>
      <c r="P357" s="755"/>
      <c r="Q357" s="755"/>
      <c r="R357" s="755"/>
      <c r="S357" s="755"/>
      <c r="T357" s="755"/>
      <c r="U357" s="755"/>
      <c r="V357" s="755"/>
      <c r="W357" s="755"/>
      <c r="X357" s="755"/>
      <c r="Y357" s="755"/>
      <c r="Z357" s="755"/>
      <c r="AA357" s="755"/>
      <c r="AB357" s="755"/>
      <c r="AC357" s="755"/>
      <c r="AD357" s="755"/>
      <c r="AE357" s="340"/>
      <c r="AF357" s="340"/>
      <c r="AG357" s="340"/>
      <c r="AH357" s="340"/>
      <c r="AI357" s="340"/>
      <c r="AJ357" s="340"/>
      <c r="AK357" s="340"/>
      <c r="AL357" s="340"/>
      <c r="AM357" s="340"/>
    </row>
    <row r="358" spans="1:39" ht="15.75">
      <c r="A358" s="340"/>
      <c r="B358" s="692"/>
      <c r="C358" s="692"/>
      <c r="D358" s="755"/>
      <c r="E358" s="755"/>
      <c r="F358" s="755"/>
      <c r="G358" s="755"/>
      <c r="H358" s="755"/>
      <c r="I358" s="755"/>
      <c r="J358" s="755"/>
      <c r="K358" s="755"/>
      <c r="L358" s="755"/>
      <c r="M358" s="755"/>
      <c r="N358" s="755"/>
      <c r="O358" s="755"/>
      <c r="P358" s="755"/>
      <c r="Q358" s="755"/>
      <c r="R358" s="755"/>
      <c r="S358" s="755"/>
      <c r="T358" s="755"/>
      <c r="U358" s="755"/>
      <c r="V358" s="755"/>
      <c r="W358" s="755"/>
      <c r="X358" s="755"/>
      <c r="Y358" s="755"/>
      <c r="Z358" s="755"/>
      <c r="AA358" s="755"/>
      <c r="AB358" s="755"/>
      <c r="AC358" s="755"/>
      <c r="AD358" s="755"/>
      <c r="AE358" s="340"/>
      <c r="AF358" s="340"/>
      <c r="AG358" s="340"/>
      <c r="AH358" s="340"/>
      <c r="AI358" s="340"/>
      <c r="AJ358" s="340"/>
      <c r="AK358" s="340"/>
      <c r="AL358" s="340"/>
      <c r="AM358" s="340"/>
    </row>
    <row r="359" spans="1:39" ht="15.75">
      <c r="A359" s="340"/>
      <c r="B359" s="692"/>
      <c r="C359" s="692"/>
      <c r="D359" s="755"/>
      <c r="E359" s="755"/>
      <c r="F359" s="755"/>
      <c r="G359" s="755"/>
      <c r="H359" s="755"/>
      <c r="I359" s="755"/>
      <c r="J359" s="755"/>
      <c r="K359" s="755"/>
      <c r="L359" s="755"/>
      <c r="M359" s="755"/>
      <c r="N359" s="755"/>
      <c r="O359" s="755"/>
      <c r="P359" s="755"/>
      <c r="Q359" s="755"/>
      <c r="R359" s="755"/>
      <c r="S359" s="755"/>
      <c r="T359" s="755"/>
      <c r="U359" s="755"/>
      <c r="V359" s="755"/>
      <c r="W359" s="755"/>
      <c r="X359" s="755"/>
      <c r="Y359" s="755"/>
      <c r="Z359" s="755"/>
      <c r="AA359" s="755"/>
      <c r="AB359" s="755"/>
      <c r="AC359" s="755"/>
      <c r="AD359" s="755"/>
      <c r="AE359" s="340"/>
      <c r="AF359" s="340"/>
      <c r="AG359" s="340"/>
      <c r="AH359" s="340"/>
      <c r="AI359" s="340"/>
      <c r="AJ359" s="340"/>
      <c r="AK359" s="340"/>
      <c r="AL359" s="340"/>
      <c r="AM359" s="340"/>
    </row>
    <row r="360" spans="1:39" ht="15.75">
      <c r="A360" s="340"/>
      <c r="B360" s="692"/>
      <c r="C360" s="692"/>
      <c r="D360" s="755"/>
      <c r="E360" s="755"/>
      <c r="F360" s="755"/>
      <c r="G360" s="755"/>
      <c r="H360" s="755"/>
      <c r="I360" s="755"/>
      <c r="J360" s="755"/>
      <c r="K360" s="755"/>
      <c r="L360" s="755"/>
      <c r="M360" s="755"/>
      <c r="N360" s="755"/>
      <c r="O360" s="755"/>
      <c r="P360" s="755"/>
      <c r="Q360" s="755"/>
      <c r="R360" s="755"/>
      <c r="S360" s="755"/>
      <c r="T360" s="755"/>
      <c r="U360" s="755"/>
      <c r="V360" s="755"/>
      <c r="W360" s="755"/>
      <c r="X360" s="755"/>
      <c r="Y360" s="755"/>
      <c r="Z360" s="755"/>
      <c r="AA360" s="755"/>
      <c r="AB360" s="755"/>
      <c r="AC360" s="755"/>
      <c r="AD360" s="755"/>
      <c r="AE360" s="340"/>
      <c r="AF360" s="340"/>
      <c r="AG360" s="340"/>
      <c r="AH360" s="340"/>
      <c r="AI360" s="340"/>
      <c r="AJ360" s="340"/>
      <c r="AK360" s="340"/>
      <c r="AL360" s="340"/>
      <c r="AM360" s="340"/>
    </row>
    <row r="361" spans="1:39" ht="15.75">
      <c r="A361" s="340"/>
      <c r="B361" s="692"/>
      <c r="C361" s="692"/>
      <c r="D361" s="755"/>
      <c r="E361" s="755"/>
      <c r="F361" s="755"/>
      <c r="G361" s="755"/>
      <c r="H361" s="755"/>
      <c r="I361" s="755"/>
      <c r="J361" s="755"/>
      <c r="K361" s="755"/>
      <c r="L361" s="755"/>
      <c r="M361" s="755"/>
      <c r="N361" s="755"/>
      <c r="O361" s="755"/>
      <c r="P361" s="755"/>
      <c r="Q361" s="755"/>
      <c r="R361" s="755"/>
      <c r="S361" s="755"/>
      <c r="T361" s="755"/>
      <c r="U361" s="755"/>
      <c r="V361" s="755"/>
      <c r="W361" s="755"/>
      <c r="X361" s="755"/>
      <c r="Y361" s="755"/>
      <c r="Z361" s="755"/>
      <c r="AA361" s="755"/>
      <c r="AB361" s="755"/>
      <c r="AC361" s="755"/>
      <c r="AD361" s="755"/>
      <c r="AE361" s="340"/>
      <c r="AF361" s="340"/>
      <c r="AG361" s="340"/>
      <c r="AH361" s="340"/>
      <c r="AI361" s="340"/>
      <c r="AJ361" s="340"/>
      <c r="AK361" s="340"/>
      <c r="AL361" s="340"/>
      <c r="AM361" s="340"/>
    </row>
    <row r="362" spans="1:39" ht="15.75">
      <c r="A362" s="340"/>
      <c r="B362" s="692"/>
      <c r="C362" s="692"/>
      <c r="D362" s="755"/>
      <c r="E362" s="755"/>
      <c r="F362" s="755"/>
      <c r="G362" s="755"/>
      <c r="H362" s="755"/>
      <c r="I362" s="755"/>
      <c r="J362" s="755"/>
      <c r="K362" s="755"/>
      <c r="L362" s="755"/>
      <c r="M362" s="755"/>
      <c r="N362" s="755"/>
      <c r="O362" s="755"/>
      <c r="P362" s="755"/>
      <c r="Q362" s="755"/>
      <c r="R362" s="755"/>
      <c r="S362" s="755"/>
      <c r="T362" s="755"/>
      <c r="U362" s="755"/>
      <c r="V362" s="755"/>
      <c r="W362" s="755"/>
      <c r="X362" s="755"/>
      <c r="Y362" s="755"/>
      <c r="Z362" s="755"/>
      <c r="AA362" s="755"/>
      <c r="AB362" s="755"/>
      <c r="AC362" s="755"/>
      <c r="AD362" s="755"/>
      <c r="AE362" s="340"/>
      <c r="AF362" s="340"/>
      <c r="AG362" s="340"/>
      <c r="AH362" s="340"/>
      <c r="AI362" s="340"/>
      <c r="AJ362" s="340"/>
      <c r="AK362" s="340"/>
      <c r="AL362" s="340"/>
      <c r="AM362" s="340"/>
    </row>
    <row r="363" spans="1:39" ht="15.75">
      <c r="A363" s="340"/>
      <c r="B363" s="692"/>
      <c r="C363" s="692"/>
      <c r="D363" s="755"/>
      <c r="E363" s="755"/>
      <c r="F363" s="755"/>
      <c r="G363" s="755"/>
      <c r="H363" s="755"/>
      <c r="I363" s="755"/>
      <c r="J363" s="755"/>
      <c r="K363" s="755"/>
      <c r="L363" s="755"/>
      <c r="M363" s="755"/>
      <c r="N363" s="755"/>
      <c r="O363" s="755"/>
      <c r="P363" s="755"/>
      <c r="Q363" s="755"/>
      <c r="R363" s="755"/>
      <c r="S363" s="755"/>
      <c r="T363" s="755"/>
      <c r="U363" s="755"/>
      <c r="V363" s="755"/>
      <c r="W363" s="755"/>
      <c r="X363" s="755"/>
      <c r="Y363" s="755"/>
      <c r="Z363" s="755"/>
      <c r="AA363" s="755"/>
      <c r="AB363" s="755"/>
      <c r="AC363" s="755"/>
      <c r="AD363" s="755"/>
      <c r="AE363" s="340"/>
      <c r="AF363" s="340"/>
      <c r="AG363" s="340"/>
      <c r="AH363" s="340"/>
      <c r="AI363" s="340"/>
      <c r="AJ363" s="340"/>
      <c r="AK363" s="340"/>
      <c r="AL363" s="340"/>
      <c r="AM363" s="340"/>
    </row>
    <row r="364" spans="1:39" ht="15.75">
      <c r="A364" s="340"/>
      <c r="B364" s="692"/>
      <c r="C364" s="692"/>
      <c r="D364" s="755"/>
      <c r="E364" s="755"/>
      <c r="F364" s="755"/>
      <c r="G364" s="755"/>
      <c r="H364" s="755"/>
      <c r="I364" s="755"/>
      <c r="J364" s="755"/>
      <c r="K364" s="755"/>
      <c r="L364" s="755"/>
      <c r="M364" s="755"/>
      <c r="N364" s="755"/>
      <c r="O364" s="755"/>
      <c r="P364" s="755"/>
      <c r="Q364" s="755"/>
      <c r="R364" s="755"/>
      <c r="S364" s="755"/>
      <c r="T364" s="755"/>
      <c r="U364" s="755"/>
      <c r="V364" s="755"/>
      <c r="W364" s="755"/>
      <c r="X364" s="755"/>
      <c r="Y364" s="755"/>
      <c r="Z364" s="755"/>
      <c r="AA364" s="755"/>
      <c r="AB364" s="755"/>
      <c r="AC364" s="755"/>
      <c r="AD364" s="755"/>
      <c r="AE364" s="340"/>
      <c r="AF364" s="340"/>
      <c r="AG364" s="340"/>
      <c r="AH364" s="340"/>
      <c r="AI364" s="340"/>
      <c r="AJ364" s="340"/>
      <c r="AK364" s="340"/>
      <c r="AL364" s="340"/>
      <c r="AM364" s="340"/>
    </row>
    <row r="365" spans="1:39" ht="15.75">
      <c r="A365" s="340"/>
      <c r="B365" s="692"/>
      <c r="C365" s="692"/>
      <c r="D365" s="755"/>
      <c r="E365" s="755"/>
      <c r="F365" s="755"/>
      <c r="G365" s="755"/>
      <c r="H365" s="755"/>
      <c r="I365" s="755"/>
      <c r="J365" s="755"/>
      <c r="K365" s="755"/>
      <c r="L365" s="755"/>
      <c r="M365" s="755"/>
      <c r="N365" s="755"/>
      <c r="O365" s="755"/>
      <c r="P365" s="755"/>
      <c r="Q365" s="755"/>
      <c r="R365" s="755"/>
      <c r="S365" s="755"/>
      <c r="T365" s="755"/>
      <c r="U365" s="755"/>
      <c r="V365" s="755"/>
      <c r="W365" s="755"/>
      <c r="X365" s="755"/>
      <c r="Y365" s="755"/>
      <c r="Z365" s="755"/>
      <c r="AA365" s="755"/>
      <c r="AB365" s="755"/>
      <c r="AC365" s="755"/>
      <c r="AD365" s="755"/>
      <c r="AE365" s="340"/>
      <c r="AF365" s="340"/>
      <c r="AG365" s="340"/>
      <c r="AH365" s="340"/>
      <c r="AI365" s="340"/>
      <c r="AJ365" s="340"/>
      <c r="AK365" s="340"/>
      <c r="AL365" s="340"/>
      <c r="AM365" s="340"/>
    </row>
    <row r="366" spans="1:39" ht="15.75">
      <c r="A366" s="340"/>
      <c r="B366" s="692"/>
      <c r="C366" s="692"/>
      <c r="D366" s="755"/>
      <c r="E366" s="755"/>
      <c r="F366" s="755"/>
      <c r="G366" s="755"/>
      <c r="H366" s="755"/>
      <c r="I366" s="755"/>
      <c r="J366" s="755"/>
      <c r="K366" s="755"/>
      <c r="L366" s="755"/>
      <c r="M366" s="755"/>
      <c r="N366" s="755"/>
      <c r="O366" s="755"/>
      <c r="P366" s="755"/>
      <c r="Q366" s="755"/>
      <c r="R366" s="755"/>
      <c r="S366" s="755"/>
      <c r="T366" s="755"/>
      <c r="U366" s="755"/>
      <c r="V366" s="755"/>
      <c r="W366" s="755"/>
      <c r="X366" s="755"/>
      <c r="Y366" s="755"/>
      <c r="Z366" s="755"/>
      <c r="AA366" s="755"/>
      <c r="AB366" s="755"/>
      <c r="AC366" s="755"/>
      <c r="AD366" s="755"/>
      <c r="AE366" s="340"/>
      <c r="AF366" s="340"/>
      <c r="AG366" s="340"/>
      <c r="AH366" s="340"/>
      <c r="AI366" s="340"/>
      <c r="AJ366" s="340"/>
      <c r="AK366" s="340"/>
      <c r="AL366" s="340"/>
      <c r="AM366" s="340"/>
    </row>
    <row r="367" spans="1:39" ht="15.75">
      <c r="A367" s="340"/>
      <c r="B367" s="692"/>
      <c r="C367" s="692"/>
      <c r="D367" s="755"/>
      <c r="E367" s="755"/>
      <c r="F367" s="755"/>
      <c r="G367" s="755"/>
      <c r="H367" s="755"/>
      <c r="I367" s="755"/>
      <c r="J367" s="755"/>
      <c r="K367" s="755"/>
      <c r="L367" s="755"/>
      <c r="M367" s="755"/>
      <c r="N367" s="755"/>
      <c r="O367" s="755"/>
      <c r="P367" s="755"/>
      <c r="Q367" s="755"/>
      <c r="R367" s="755"/>
      <c r="S367" s="755"/>
      <c r="T367" s="755"/>
      <c r="U367" s="755"/>
      <c r="V367" s="755"/>
      <c r="W367" s="755"/>
      <c r="X367" s="755"/>
      <c r="Y367" s="755"/>
      <c r="Z367" s="755"/>
      <c r="AA367" s="755"/>
      <c r="AB367" s="755"/>
      <c r="AC367" s="755"/>
      <c r="AD367" s="755"/>
      <c r="AE367" s="340"/>
      <c r="AF367" s="340"/>
      <c r="AG367" s="340"/>
      <c r="AH367" s="340"/>
      <c r="AI367" s="340"/>
      <c r="AJ367" s="340"/>
      <c r="AK367" s="340"/>
      <c r="AL367" s="340"/>
      <c r="AM367" s="340"/>
    </row>
    <row r="368" spans="1:39" ht="15.75">
      <c r="A368" s="340"/>
      <c r="B368" s="692"/>
      <c r="C368" s="692"/>
      <c r="D368" s="755"/>
      <c r="E368" s="755"/>
      <c r="F368" s="755"/>
      <c r="G368" s="755"/>
      <c r="H368" s="755"/>
      <c r="I368" s="755"/>
      <c r="J368" s="755"/>
      <c r="K368" s="755"/>
      <c r="L368" s="755"/>
      <c r="M368" s="755"/>
      <c r="N368" s="755"/>
      <c r="O368" s="755"/>
      <c r="P368" s="755"/>
      <c r="Q368" s="755"/>
      <c r="R368" s="755"/>
      <c r="S368" s="755"/>
      <c r="T368" s="755"/>
      <c r="U368" s="755"/>
      <c r="V368" s="755"/>
      <c r="W368" s="755"/>
      <c r="X368" s="755"/>
      <c r="Y368" s="755"/>
      <c r="Z368" s="755"/>
      <c r="AA368" s="755"/>
      <c r="AB368" s="755"/>
      <c r="AC368" s="755"/>
      <c r="AD368" s="755"/>
      <c r="AE368" s="340"/>
      <c r="AF368" s="340"/>
      <c r="AG368" s="340"/>
      <c r="AH368" s="340"/>
      <c r="AI368" s="340"/>
      <c r="AJ368" s="340"/>
      <c r="AK368" s="340"/>
      <c r="AL368" s="340"/>
      <c r="AM368" s="340"/>
    </row>
    <row r="369" spans="1:39" ht="15.75">
      <c r="A369" s="340"/>
      <c r="B369" s="692"/>
      <c r="C369" s="692"/>
      <c r="D369" s="755"/>
      <c r="E369" s="755"/>
      <c r="F369" s="755"/>
      <c r="G369" s="755"/>
      <c r="H369" s="755"/>
      <c r="I369" s="755"/>
      <c r="J369" s="755"/>
      <c r="K369" s="755"/>
      <c r="L369" s="755"/>
      <c r="M369" s="755"/>
      <c r="N369" s="755"/>
      <c r="O369" s="755"/>
      <c r="P369" s="755"/>
      <c r="Q369" s="755"/>
      <c r="R369" s="755"/>
      <c r="S369" s="755"/>
      <c r="T369" s="755"/>
      <c r="U369" s="755"/>
      <c r="V369" s="755"/>
      <c r="W369" s="755"/>
      <c r="X369" s="755"/>
      <c r="Y369" s="755"/>
      <c r="Z369" s="755"/>
      <c r="AA369" s="755"/>
      <c r="AB369" s="755"/>
      <c r="AC369" s="755"/>
      <c r="AD369" s="755"/>
      <c r="AE369" s="340"/>
      <c r="AF369" s="340"/>
      <c r="AG369" s="340"/>
      <c r="AH369" s="340"/>
      <c r="AI369" s="340"/>
      <c r="AJ369" s="340"/>
      <c r="AK369" s="340"/>
      <c r="AL369" s="340"/>
      <c r="AM369" s="340"/>
    </row>
    <row r="370" spans="1:39" ht="15.75">
      <c r="A370" s="340"/>
      <c r="B370" s="692"/>
      <c r="C370" s="692"/>
      <c r="D370" s="755"/>
      <c r="E370" s="755"/>
      <c r="F370" s="755"/>
      <c r="G370" s="755"/>
      <c r="H370" s="755"/>
      <c r="I370" s="755"/>
      <c r="J370" s="755"/>
      <c r="K370" s="755"/>
      <c r="L370" s="755"/>
      <c r="M370" s="755"/>
      <c r="N370" s="755"/>
      <c r="O370" s="755"/>
      <c r="P370" s="755"/>
      <c r="Q370" s="755"/>
      <c r="R370" s="755"/>
      <c r="S370" s="755"/>
      <c r="T370" s="755"/>
      <c r="U370" s="755"/>
      <c r="V370" s="755"/>
      <c r="W370" s="755"/>
      <c r="X370" s="755"/>
      <c r="Y370" s="755"/>
      <c r="Z370" s="755"/>
      <c r="AA370" s="755"/>
      <c r="AB370" s="755"/>
      <c r="AC370" s="755"/>
      <c r="AD370" s="755"/>
      <c r="AE370" s="340"/>
      <c r="AF370" s="340"/>
      <c r="AG370" s="340"/>
      <c r="AH370" s="340"/>
      <c r="AI370" s="340"/>
      <c r="AJ370" s="340"/>
      <c r="AK370" s="340"/>
      <c r="AL370" s="340"/>
      <c r="AM370" s="340"/>
    </row>
    <row r="371" spans="1:39" ht="15.75">
      <c r="A371" s="340"/>
      <c r="B371" s="692"/>
      <c r="C371" s="692"/>
      <c r="D371" s="755"/>
      <c r="E371" s="755"/>
      <c r="F371" s="755"/>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755"/>
      <c r="AE371" s="340"/>
      <c r="AF371" s="340"/>
      <c r="AG371" s="340"/>
      <c r="AH371" s="340"/>
      <c r="AI371" s="340"/>
      <c r="AJ371" s="340"/>
      <c r="AK371" s="340"/>
      <c r="AL371" s="340"/>
      <c r="AM371" s="340"/>
    </row>
    <row r="372" spans="1:39" ht="15.75">
      <c r="A372" s="340"/>
      <c r="B372" s="692"/>
      <c r="C372" s="692"/>
      <c r="D372" s="755"/>
      <c r="E372" s="755"/>
      <c r="F372" s="755"/>
      <c r="G372" s="755"/>
      <c r="H372" s="755"/>
      <c r="I372" s="755"/>
      <c r="J372" s="755"/>
      <c r="K372" s="755"/>
      <c r="L372" s="755"/>
      <c r="M372" s="755"/>
      <c r="N372" s="755"/>
      <c r="O372" s="755"/>
      <c r="P372" s="755"/>
      <c r="Q372" s="755"/>
      <c r="R372" s="755"/>
      <c r="S372" s="755"/>
      <c r="T372" s="755"/>
      <c r="U372" s="755"/>
      <c r="V372" s="755"/>
      <c r="W372" s="755"/>
      <c r="X372" s="755"/>
      <c r="Y372" s="755"/>
      <c r="Z372" s="755"/>
      <c r="AA372" s="755"/>
      <c r="AB372" s="755"/>
      <c r="AC372" s="755"/>
      <c r="AD372" s="755"/>
      <c r="AE372" s="340"/>
      <c r="AF372" s="340"/>
      <c r="AG372" s="340"/>
      <c r="AH372" s="340"/>
      <c r="AI372" s="340"/>
      <c r="AJ372" s="340"/>
      <c r="AK372" s="340"/>
      <c r="AL372" s="340"/>
      <c r="AM372" s="340"/>
    </row>
    <row r="373" spans="1:39" ht="15.75">
      <c r="A373" s="340"/>
      <c r="B373" s="692"/>
      <c r="C373" s="692"/>
      <c r="D373" s="755"/>
      <c r="E373" s="755"/>
      <c r="F373" s="755"/>
      <c r="G373" s="755"/>
      <c r="H373" s="755"/>
      <c r="I373" s="755"/>
      <c r="J373" s="755"/>
      <c r="K373" s="755"/>
      <c r="L373" s="755"/>
      <c r="M373" s="755"/>
      <c r="N373" s="755"/>
      <c r="O373" s="755"/>
      <c r="P373" s="755"/>
      <c r="Q373" s="755"/>
      <c r="R373" s="755"/>
      <c r="S373" s="755"/>
      <c r="T373" s="755"/>
      <c r="U373" s="755"/>
      <c r="V373" s="755"/>
      <c r="W373" s="755"/>
      <c r="X373" s="755"/>
      <c r="Y373" s="755"/>
      <c r="Z373" s="755"/>
      <c r="AA373" s="755"/>
      <c r="AB373" s="755"/>
      <c r="AC373" s="755"/>
      <c r="AD373" s="755"/>
      <c r="AE373" s="340"/>
      <c r="AF373" s="340"/>
      <c r="AG373" s="340"/>
      <c r="AH373" s="340"/>
      <c r="AI373" s="340"/>
      <c r="AJ373" s="340"/>
      <c r="AK373" s="340"/>
      <c r="AL373" s="340"/>
      <c r="AM373" s="340"/>
    </row>
    <row r="374" spans="1:39" ht="15.75">
      <c r="A374" s="340"/>
      <c r="B374" s="692"/>
      <c r="C374" s="692"/>
      <c r="D374" s="755"/>
      <c r="E374" s="755"/>
      <c r="F374" s="755"/>
      <c r="G374" s="755"/>
      <c r="H374" s="755"/>
      <c r="I374" s="755"/>
      <c r="J374" s="755"/>
      <c r="K374" s="755"/>
      <c r="L374" s="755"/>
      <c r="M374" s="755"/>
      <c r="N374" s="755"/>
      <c r="O374" s="755"/>
      <c r="P374" s="755"/>
      <c r="Q374" s="755"/>
      <c r="R374" s="755"/>
      <c r="S374" s="755"/>
      <c r="T374" s="755"/>
      <c r="U374" s="755"/>
      <c r="V374" s="755"/>
      <c r="W374" s="755"/>
      <c r="X374" s="755"/>
      <c r="Y374" s="755"/>
      <c r="Z374" s="755"/>
      <c r="AA374" s="755"/>
      <c r="AB374" s="755"/>
      <c r="AC374" s="755"/>
      <c r="AD374" s="755"/>
      <c r="AE374" s="340"/>
      <c r="AF374" s="340"/>
      <c r="AG374" s="340"/>
      <c r="AH374" s="340"/>
      <c r="AI374" s="340"/>
      <c r="AJ374" s="340"/>
      <c r="AK374" s="340"/>
      <c r="AL374" s="340"/>
      <c r="AM374" s="340"/>
    </row>
    <row r="375" spans="1:39" ht="15.75">
      <c r="A375" s="340"/>
      <c r="B375" s="692"/>
      <c r="C375" s="692"/>
      <c r="D375" s="755"/>
      <c r="E375" s="755"/>
      <c r="F375" s="755"/>
      <c r="G375" s="755"/>
      <c r="H375" s="755"/>
      <c r="I375" s="755"/>
      <c r="J375" s="755"/>
      <c r="K375" s="755"/>
      <c r="L375" s="755"/>
      <c r="M375" s="755"/>
      <c r="N375" s="755"/>
      <c r="O375" s="755"/>
      <c r="P375" s="755"/>
      <c r="Q375" s="755"/>
      <c r="R375" s="755"/>
      <c r="S375" s="755"/>
      <c r="T375" s="755"/>
      <c r="U375" s="755"/>
      <c r="V375" s="755"/>
      <c r="W375" s="755"/>
      <c r="X375" s="755"/>
      <c r="Y375" s="755"/>
      <c r="Z375" s="755"/>
      <c r="AA375" s="755"/>
      <c r="AB375" s="755"/>
      <c r="AC375" s="755"/>
      <c r="AD375" s="755"/>
      <c r="AE375" s="340"/>
      <c r="AF375" s="340"/>
      <c r="AG375" s="340"/>
      <c r="AH375" s="340"/>
      <c r="AI375" s="340"/>
      <c r="AJ375" s="340"/>
      <c r="AK375" s="340"/>
      <c r="AL375" s="340"/>
      <c r="AM375" s="340"/>
    </row>
    <row r="376" spans="1:39" ht="15.75">
      <c r="A376" s="340"/>
      <c r="B376" s="692"/>
      <c r="C376" s="692"/>
      <c r="D376" s="755"/>
      <c r="E376" s="755"/>
      <c r="F376" s="755"/>
      <c r="G376" s="755"/>
      <c r="H376" s="755"/>
      <c r="I376" s="755"/>
      <c r="J376" s="755"/>
      <c r="K376" s="755"/>
      <c r="L376" s="755"/>
      <c r="M376" s="755"/>
      <c r="N376" s="755"/>
      <c r="O376" s="755"/>
      <c r="P376" s="755"/>
      <c r="Q376" s="755"/>
      <c r="R376" s="755"/>
      <c r="S376" s="755"/>
      <c r="T376" s="755"/>
      <c r="U376" s="755"/>
      <c r="V376" s="755"/>
      <c r="W376" s="755"/>
      <c r="X376" s="755"/>
      <c r="Y376" s="755"/>
      <c r="Z376" s="755"/>
      <c r="AA376" s="755"/>
      <c r="AB376" s="755"/>
      <c r="AC376" s="755"/>
      <c r="AD376" s="755"/>
      <c r="AE376" s="340"/>
      <c r="AF376" s="340"/>
      <c r="AG376" s="340"/>
      <c r="AH376" s="340"/>
      <c r="AI376" s="340"/>
      <c r="AJ376" s="340"/>
      <c r="AK376" s="340"/>
      <c r="AL376" s="340"/>
      <c r="AM376" s="340"/>
    </row>
    <row r="377" spans="1:39" ht="15.75">
      <c r="A377" s="340"/>
      <c r="B377" s="692"/>
      <c r="C377" s="692"/>
      <c r="D377" s="755"/>
      <c r="E377" s="755"/>
      <c r="F377" s="755"/>
      <c r="G377" s="755"/>
      <c r="H377" s="755"/>
      <c r="I377" s="755"/>
      <c r="J377" s="755"/>
      <c r="K377" s="755"/>
      <c r="L377" s="755"/>
      <c r="M377" s="755"/>
      <c r="N377" s="755"/>
      <c r="O377" s="755"/>
      <c r="P377" s="755"/>
      <c r="Q377" s="755"/>
      <c r="R377" s="755"/>
      <c r="S377" s="755"/>
      <c r="T377" s="755"/>
      <c r="U377" s="755"/>
      <c r="V377" s="755"/>
      <c r="W377" s="755"/>
      <c r="X377" s="755"/>
      <c r="Y377" s="755"/>
      <c r="Z377" s="755"/>
      <c r="AA377" s="755"/>
      <c r="AB377" s="755"/>
      <c r="AC377" s="755"/>
      <c r="AD377" s="755"/>
      <c r="AE377" s="340"/>
      <c r="AF377" s="340"/>
      <c r="AG377" s="340"/>
      <c r="AH377" s="340"/>
      <c r="AI377" s="340"/>
      <c r="AJ377" s="340"/>
      <c r="AK377" s="340"/>
      <c r="AL377" s="340"/>
      <c r="AM377" s="340"/>
    </row>
    <row r="378" spans="1:39" ht="15.75">
      <c r="A378" s="340"/>
      <c r="B378" s="692"/>
      <c r="C378" s="692"/>
      <c r="D378" s="755"/>
      <c r="E378" s="755"/>
      <c r="F378" s="755"/>
      <c r="G378" s="755"/>
      <c r="H378" s="755"/>
      <c r="I378" s="755"/>
      <c r="J378" s="755"/>
      <c r="K378" s="755"/>
      <c r="L378" s="755"/>
      <c r="M378" s="755"/>
      <c r="N378" s="755"/>
      <c r="O378" s="755"/>
      <c r="P378" s="755"/>
      <c r="Q378" s="755"/>
      <c r="R378" s="755"/>
      <c r="S378" s="755"/>
      <c r="T378" s="755"/>
      <c r="U378" s="755"/>
      <c r="V378" s="755"/>
      <c r="W378" s="755"/>
      <c r="X378" s="755"/>
      <c r="Y378" s="755"/>
      <c r="Z378" s="755"/>
      <c r="AA378" s="755"/>
      <c r="AB378" s="755"/>
      <c r="AC378" s="755"/>
      <c r="AD378" s="755"/>
      <c r="AE378" s="340"/>
      <c r="AF378" s="340"/>
      <c r="AG378" s="340"/>
      <c r="AH378" s="340"/>
      <c r="AI378" s="340"/>
      <c r="AJ378" s="340"/>
      <c r="AK378" s="340"/>
      <c r="AL378" s="340"/>
      <c r="AM378" s="340"/>
    </row>
    <row r="379" spans="1:39" ht="15.75">
      <c r="A379" s="340"/>
      <c r="B379" s="692"/>
      <c r="C379" s="692"/>
      <c r="D379" s="755"/>
      <c r="E379" s="755"/>
      <c r="F379" s="755"/>
      <c r="G379" s="755"/>
      <c r="H379" s="755"/>
      <c r="I379" s="755"/>
      <c r="J379" s="755"/>
      <c r="K379" s="755"/>
      <c r="L379" s="755"/>
      <c r="M379" s="755"/>
      <c r="N379" s="755"/>
      <c r="O379" s="755"/>
      <c r="P379" s="755"/>
      <c r="Q379" s="755"/>
      <c r="R379" s="755"/>
      <c r="S379" s="755"/>
      <c r="T379" s="755"/>
      <c r="U379" s="755"/>
      <c r="V379" s="755"/>
      <c r="W379" s="755"/>
      <c r="X379" s="755"/>
      <c r="Y379" s="755"/>
      <c r="Z379" s="755"/>
      <c r="AA379" s="755"/>
      <c r="AB379" s="755"/>
      <c r="AC379" s="755"/>
      <c r="AD379" s="755"/>
      <c r="AE379" s="340"/>
      <c r="AF379" s="340"/>
      <c r="AG379" s="340"/>
      <c r="AH379" s="340"/>
      <c r="AI379" s="340"/>
      <c r="AJ379" s="340"/>
      <c r="AK379" s="340"/>
      <c r="AL379" s="340"/>
      <c r="AM379" s="340"/>
    </row>
    <row r="380" spans="1:39" ht="15.75">
      <c r="A380" s="340"/>
      <c r="B380" s="692"/>
      <c r="C380" s="692"/>
      <c r="D380" s="755"/>
      <c r="E380" s="755"/>
      <c r="F380" s="755"/>
      <c r="G380" s="755"/>
      <c r="H380" s="755"/>
      <c r="I380" s="755"/>
      <c r="J380" s="755"/>
      <c r="K380" s="755"/>
      <c r="L380" s="755"/>
      <c r="M380" s="755"/>
      <c r="N380" s="755"/>
      <c r="O380" s="755"/>
      <c r="P380" s="755"/>
      <c r="Q380" s="755"/>
      <c r="R380" s="755"/>
      <c r="S380" s="755"/>
      <c r="T380" s="755"/>
      <c r="U380" s="755"/>
      <c r="V380" s="755"/>
      <c r="W380" s="755"/>
      <c r="X380" s="755"/>
      <c r="Y380" s="755"/>
      <c r="Z380" s="755"/>
      <c r="AA380" s="755"/>
      <c r="AB380" s="755"/>
      <c r="AC380" s="755"/>
      <c r="AD380" s="755"/>
      <c r="AE380" s="340"/>
      <c r="AF380" s="340"/>
      <c r="AG380" s="340"/>
      <c r="AH380" s="340"/>
      <c r="AI380" s="340"/>
      <c r="AJ380" s="340"/>
      <c r="AK380" s="340"/>
      <c r="AL380" s="340"/>
      <c r="AM380" s="340"/>
    </row>
    <row r="381" spans="1:39" ht="15.75">
      <c r="A381" s="340"/>
      <c r="B381" s="692"/>
      <c r="C381" s="692"/>
      <c r="D381" s="755"/>
      <c r="E381" s="755"/>
      <c r="F381" s="755"/>
      <c r="G381" s="755"/>
      <c r="H381" s="755"/>
      <c r="I381" s="755"/>
      <c r="J381" s="755"/>
      <c r="K381" s="755"/>
      <c r="L381" s="755"/>
      <c r="M381" s="755"/>
      <c r="N381" s="755"/>
      <c r="O381" s="755"/>
      <c r="P381" s="755"/>
      <c r="Q381" s="755"/>
      <c r="R381" s="755"/>
      <c r="S381" s="755"/>
      <c r="T381" s="755"/>
      <c r="U381" s="755"/>
      <c r="V381" s="755"/>
      <c r="W381" s="755"/>
      <c r="X381" s="755"/>
      <c r="Y381" s="755"/>
      <c r="Z381" s="755"/>
      <c r="AA381" s="755"/>
      <c r="AB381" s="755"/>
      <c r="AC381" s="755"/>
      <c r="AD381" s="755"/>
      <c r="AE381" s="340"/>
      <c r="AF381" s="340"/>
      <c r="AG381" s="340"/>
      <c r="AH381" s="340"/>
      <c r="AI381" s="340"/>
      <c r="AJ381" s="340"/>
      <c r="AK381" s="340"/>
      <c r="AL381" s="340"/>
      <c r="AM381" s="340"/>
    </row>
    <row r="382" spans="1:39" ht="15.75">
      <c r="A382" s="340"/>
      <c r="B382" s="692"/>
      <c r="C382" s="692"/>
      <c r="D382" s="755"/>
      <c r="E382" s="755"/>
      <c r="F382" s="755"/>
      <c r="G382" s="755"/>
      <c r="H382" s="755"/>
      <c r="I382" s="755"/>
      <c r="J382" s="755"/>
      <c r="K382" s="755"/>
      <c r="L382" s="755"/>
      <c r="M382" s="755"/>
      <c r="N382" s="755"/>
      <c r="O382" s="755"/>
      <c r="P382" s="755"/>
      <c r="Q382" s="755"/>
      <c r="R382" s="755"/>
      <c r="S382" s="755"/>
      <c r="T382" s="755"/>
      <c r="U382" s="755"/>
      <c r="V382" s="755"/>
      <c r="W382" s="755"/>
      <c r="X382" s="755"/>
      <c r="Y382" s="755"/>
      <c r="Z382" s="755"/>
      <c r="AA382" s="755"/>
      <c r="AB382" s="755"/>
      <c r="AC382" s="755"/>
      <c r="AD382" s="755"/>
      <c r="AE382" s="340"/>
      <c r="AF382" s="340"/>
      <c r="AG382" s="340"/>
      <c r="AH382" s="340"/>
      <c r="AI382" s="340"/>
      <c r="AJ382" s="340"/>
      <c r="AK382" s="340"/>
      <c r="AL382" s="340"/>
      <c r="AM382" s="340"/>
    </row>
    <row r="383" spans="1:39" ht="15.75">
      <c r="A383" s="340"/>
      <c r="B383" s="692"/>
      <c r="C383" s="692"/>
      <c r="D383" s="755"/>
      <c r="E383" s="755"/>
      <c r="F383" s="755"/>
      <c r="G383" s="755"/>
      <c r="H383" s="755"/>
      <c r="I383" s="755"/>
      <c r="J383" s="755"/>
      <c r="K383" s="755"/>
      <c r="L383" s="755"/>
      <c r="M383" s="755"/>
      <c r="N383" s="755"/>
      <c r="O383" s="755"/>
      <c r="P383" s="755"/>
      <c r="Q383" s="755"/>
      <c r="R383" s="755"/>
      <c r="S383" s="755"/>
      <c r="T383" s="755"/>
      <c r="U383" s="755"/>
      <c r="V383" s="755"/>
      <c r="W383" s="755"/>
      <c r="X383" s="755"/>
      <c r="Y383" s="755"/>
      <c r="Z383" s="755"/>
      <c r="AA383" s="755"/>
      <c r="AB383" s="755"/>
      <c r="AC383" s="755"/>
      <c r="AD383" s="755"/>
      <c r="AE383" s="340"/>
      <c r="AF383" s="340"/>
      <c r="AG383" s="340"/>
      <c r="AH383" s="340"/>
      <c r="AI383" s="340"/>
      <c r="AJ383" s="340"/>
      <c r="AK383" s="340"/>
      <c r="AL383" s="340"/>
      <c r="AM383" s="340"/>
    </row>
    <row r="384" spans="1:39" ht="15.75">
      <c r="A384" s="340"/>
      <c r="B384" s="692"/>
      <c r="C384" s="692"/>
      <c r="D384" s="755"/>
      <c r="E384" s="755"/>
      <c r="F384" s="755"/>
      <c r="G384" s="755"/>
      <c r="H384" s="755"/>
      <c r="I384" s="755"/>
      <c r="J384" s="755"/>
      <c r="K384" s="755"/>
      <c r="L384" s="755"/>
      <c r="M384" s="755"/>
      <c r="N384" s="755"/>
      <c r="O384" s="755"/>
      <c r="P384" s="755"/>
      <c r="Q384" s="755"/>
      <c r="R384" s="755"/>
      <c r="S384" s="755"/>
      <c r="T384" s="755"/>
      <c r="U384" s="755"/>
      <c r="V384" s="755"/>
      <c r="W384" s="755"/>
      <c r="X384" s="755"/>
      <c r="Y384" s="755"/>
      <c r="Z384" s="755"/>
      <c r="AA384" s="755"/>
      <c r="AB384" s="755"/>
      <c r="AC384" s="755"/>
      <c r="AD384" s="755"/>
      <c r="AE384" s="340"/>
      <c r="AF384" s="340"/>
      <c r="AG384" s="340"/>
      <c r="AH384" s="340"/>
      <c r="AI384" s="340"/>
      <c r="AJ384" s="340"/>
      <c r="AK384" s="340"/>
      <c r="AL384" s="340"/>
      <c r="AM384" s="340"/>
    </row>
    <row r="385" spans="1:39" ht="15.75">
      <c r="A385" s="340"/>
      <c r="B385" s="692"/>
      <c r="C385" s="692"/>
      <c r="D385" s="755"/>
      <c r="E385" s="755"/>
      <c r="F385" s="755"/>
      <c r="G385" s="755"/>
      <c r="H385" s="755"/>
      <c r="I385" s="755"/>
      <c r="J385" s="755"/>
      <c r="K385" s="755"/>
      <c r="L385" s="755"/>
      <c r="M385" s="755"/>
      <c r="N385" s="755"/>
      <c r="O385" s="755"/>
      <c r="P385" s="755"/>
      <c r="Q385" s="755"/>
      <c r="R385" s="755"/>
      <c r="S385" s="755"/>
      <c r="T385" s="755"/>
      <c r="U385" s="755"/>
      <c r="V385" s="755"/>
      <c r="W385" s="755"/>
      <c r="X385" s="755"/>
      <c r="Y385" s="755"/>
      <c r="Z385" s="755"/>
      <c r="AA385" s="755"/>
      <c r="AB385" s="755"/>
      <c r="AC385" s="755"/>
      <c r="AD385" s="755"/>
      <c r="AE385" s="340"/>
      <c r="AF385" s="340"/>
      <c r="AG385" s="340"/>
      <c r="AH385" s="340"/>
      <c r="AI385" s="340"/>
      <c r="AJ385" s="340"/>
      <c r="AK385" s="340"/>
      <c r="AL385" s="340"/>
      <c r="AM385" s="340"/>
    </row>
    <row r="386" spans="1:39" ht="15.75">
      <c r="A386" s="340"/>
      <c r="B386" s="692"/>
      <c r="C386" s="692"/>
      <c r="D386" s="755"/>
      <c r="E386" s="755"/>
      <c r="F386" s="755"/>
      <c r="G386" s="755"/>
      <c r="H386" s="755"/>
      <c r="I386" s="755"/>
      <c r="J386" s="755"/>
      <c r="K386" s="755"/>
      <c r="L386" s="755"/>
      <c r="M386" s="755"/>
      <c r="N386" s="755"/>
      <c r="O386" s="755"/>
      <c r="P386" s="755"/>
      <c r="Q386" s="755"/>
      <c r="R386" s="755"/>
      <c r="S386" s="755"/>
      <c r="T386" s="755"/>
      <c r="U386" s="755"/>
      <c r="V386" s="755"/>
      <c r="W386" s="755"/>
      <c r="X386" s="755"/>
      <c r="Y386" s="755"/>
      <c r="Z386" s="755"/>
      <c r="AA386" s="755"/>
      <c r="AB386" s="755"/>
      <c r="AC386" s="755"/>
      <c r="AD386" s="755"/>
      <c r="AE386" s="340"/>
      <c r="AF386" s="340"/>
      <c r="AG386" s="340"/>
      <c r="AH386" s="340"/>
      <c r="AI386" s="340"/>
      <c r="AJ386" s="340"/>
      <c r="AK386" s="340"/>
      <c r="AL386" s="340"/>
      <c r="AM386" s="340"/>
    </row>
    <row r="387" spans="1:39" ht="15.75">
      <c r="A387" s="340"/>
      <c r="B387" s="692"/>
      <c r="C387" s="692"/>
      <c r="D387" s="755"/>
      <c r="E387" s="755"/>
      <c r="F387" s="756"/>
      <c r="G387" s="756"/>
      <c r="H387" s="756"/>
      <c r="I387" s="756"/>
      <c r="J387" s="756"/>
      <c r="K387" s="756"/>
      <c r="L387" s="756"/>
      <c r="M387" s="756"/>
      <c r="N387" s="756"/>
      <c r="O387" s="756"/>
      <c r="P387" s="756"/>
      <c r="Q387" s="756"/>
      <c r="R387" s="756"/>
      <c r="S387" s="756"/>
      <c r="T387" s="756"/>
      <c r="U387" s="756"/>
      <c r="V387" s="756"/>
      <c r="W387" s="756"/>
      <c r="X387" s="756"/>
      <c r="Y387" s="756"/>
      <c r="Z387" s="756"/>
      <c r="AA387" s="756"/>
      <c r="AB387" s="756"/>
      <c r="AC387" s="756"/>
      <c r="AD387" s="756"/>
      <c r="AE387" s="340"/>
      <c r="AF387" s="340"/>
      <c r="AG387" s="340"/>
      <c r="AH387" s="340"/>
      <c r="AI387" s="340"/>
      <c r="AJ387" s="340"/>
      <c r="AK387" s="340"/>
      <c r="AL387" s="340"/>
      <c r="AM387" s="340"/>
    </row>
    <row r="388" spans="1:39" ht="15.75">
      <c r="A388" s="340"/>
      <c r="B388" s="692"/>
      <c r="C388" s="692"/>
      <c r="D388" s="755"/>
      <c r="E388" s="755"/>
      <c r="F388" s="756"/>
      <c r="G388" s="756"/>
      <c r="H388" s="756"/>
      <c r="I388" s="756"/>
      <c r="J388" s="756"/>
      <c r="K388" s="756"/>
      <c r="L388" s="756"/>
      <c r="M388" s="756"/>
      <c r="N388" s="756"/>
      <c r="O388" s="756"/>
      <c r="P388" s="756"/>
      <c r="Q388" s="756"/>
      <c r="R388" s="756"/>
      <c r="S388" s="756"/>
      <c r="T388" s="756"/>
      <c r="U388" s="756"/>
      <c r="V388" s="756"/>
      <c r="W388" s="756"/>
      <c r="X388" s="756"/>
      <c r="Y388" s="756"/>
      <c r="Z388" s="756"/>
      <c r="AA388" s="756"/>
      <c r="AB388" s="756"/>
      <c r="AC388" s="756"/>
      <c r="AD388" s="756"/>
      <c r="AE388" s="340"/>
      <c r="AF388" s="340"/>
      <c r="AG388" s="340"/>
      <c r="AH388" s="340"/>
      <c r="AI388" s="340"/>
      <c r="AJ388" s="340"/>
      <c r="AK388" s="340"/>
      <c r="AL388" s="340"/>
      <c r="AM388" s="340"/>
    </row>
    <row r="389" spans="1:39" ht="15.75">
      <c r="A389" s="340"/>
      <c r="B389" s="692"/>
      <c r="C389" s="692"/>
      <c r="D389" s="755"/>
      <c r="E389" s="755"/>
      <c r="F389" s="756"/>
      <c r="G389" s="756"/>
      <c r="H389" s="756"/>
      <c r="I389" s="756"/>
      <c r="J389" s="756"/>
      <c r="K389" s="756"/>
      <c r="L389" s="756"/>
      <c r="M389" s="756"/>
      <c r="N389" s="756"/>
      <c r="O389" s="756"/>
      <c r="P389" s="756"/>
      <c r="Q389" s="756"/>
      <c r="R389" s="756"/>
      <c r="S389" s="756"/>
      <c r="T389" s="756"/>
      <c r="U389" s="756"/>
      <c r="V389" s="756"/>
      <c r="W389" s="756"/>
      <c r="X389" s="756"/>
      <c r="Y389" s="756"/>
      <c r="Z389" s="756"/>
      <c r="AA389" s="756"/>
      <c r="AB389" s="756"/>
      <c r="AC389" s="756"/>
      <c r="AD389" s="756"/>
      <c r="AE389" s="340"/>
      <c r="AF389" s="340"/>
      <c r="AG389" s="340"/>
      <c r="AH389" s="340"/>
      <c r="AI389" s="340"/>
      <c r="AJ389" s="340"/>
      <c r="AK389" s="340"/>
      <c r="AL389" s="340"/>
      <c r="AM389" s="340"/>
    </row>
    <row r="390" spans="1:39" ht="15.75">
      <c r="A390" s="340"/>
      <c r="B390" s="692"/>
      <c r="C390" s="692"/>
      <c r="D390" s="755"/>
      <c r="E390" s="755"/>
      <c r="F390" s="756"/>
      <c r="G390" s="756"/>
      <c r="H390" s="756"/>
      <c r="I390" s="756"/>
      <c r="J390" s="756"/>
      <c r="K390" s="756"/>
      <c r="L390" s="756"/>
      <c r="M390" s="756"/>
      <c r="N390" s="756"/>
      <c r="O390" s="756"/>
      <c r="P390" s="756"/>
      <c r="Q390" s="756"/>
      <c r="R390" s="756"/>
      <c r="S390" s="756"/>
      <c r="T390" s="756"/>
      <c r="U390" s="756"/>
      <c r="V390" s="756"/>
      <c r="W390" s="756"/>
      <c r="X390" s="756"/>
      <c r="Y390" s="756"/>
      <c r="Z390" s="756"/>
      <c r="AA390" s="756"/>
      <c r="AB390" s="756"/>
      <c r="AC390" s="756"/>
      <c r="AD390" s="756"/>
      <c r="AE390" s="340"/>
      <c r="AF390" s="340"/>
      <c r="AG390" s="340"/>
      <c r="AH390" s="340"/>
      <c r="AI390" s="340"/>
      <c r="AJ390" s="340"/>
      <c r="AK390" s="340"/>
      <c r="AL390" s="340"/>
      <c r="AM390" s="340"/>
    </row>
    <row r="391" spans="1:39" ht="15.75">
      <c r="A391" s="340"/>
      <c r="B391" s="692"/>
      <c r="C391" s="692"/>
      <c r="D391" s="755"/>
      <c r="E391" s="755"/>
      <c r="F391" s="756"/>
      <c r="G391" s="756"/>
      <c r="H391" s="756"/>
      <c r="I391" s="756"/>
      <c r="J391" s="756"/>
      <c r="K391" s="756"/>
      <c r="L391" s="756"/>
      <c r="M391" s="756"/>
      <c r="N391" s="756"/>
      <c r="O391" s="756"/>
      <c r="P391" s="756"/>
      <c r="Q391" s="756"/>
      <c r="R391" s="756"/>
      <c r="S391" s="756"/>
      <c r="T391" s="756"/>
      <c r="U391" s="756"/>
      <c r="V391" s="756"/>
      <c r="W391" s="756"/>
      <c r="X391" s="756"/>
      <c r="Y391" s="756"/>
      <c r="Z391" s="756"/>
      <c r="AA391" s="756"/>
      <c r="AB391" s="756"/>
      <c r="AC391" s="756"/>
      <c r="AD391" s="756"/>
      <c r="AE391" s="340"/>
      <c r="AF391" s="340"/>
      <c r="AG391" s="340"/>
      <c r="AH391" s="340"/>
      <c r="AI391" s="340"/>
      <c r="AJ391" s="340"/>
      <c r="AK391" s="340"/>
      <c r="AL391" s="340"/>
      <c r="AM391" s="340"/>
    </row>
    <row r="392" spans="1:39" ht="15.75">
      <c r="A392" s="340"/>
      <c r="B392" s="692"/>
      <c r="C392" s="692"/>
      <c r="D392" s="755"/>
      <c r="E392" s="755"/>
      <c r="F392" s="756"/>
      <c r="G392" s="756"/>
      <c r="H392" s="756"/>
      <c r="I392" s="756"/>
      <c r="J392" s="756"/>
      <c r="K392" s="756"/>
      <c r="L392" s="756"/>
      <c r="M392" s="756"/>
      <c r="N392" s="756"/>
      <c r="O392" s="756"/>
      <c r="P392" s="756"/>
      <c r="Q392" s="756"/>
      <c r="R392" s="756"/>
      <c r="S392" s="756"/>
      <c r="T392" s="756"/>
      <c r="U392" s="756"/>
      <c r="V392" s="756"/>
      <c r="W392" s="756"/>
      <c r="X392" s="756"/>
      <c r="Y392" s="756"/>
      <c r="Z392" s="756"/>
      <c r="AA392" s="756"/>
      <c r="AB392" s="756"/>
      <c r="AC392" s="756"/>
      <c r="AD392" s="756"/>
      <c r="AE392" s="340"/>
      <c r="AF392" s="340"/>
      <c r="AG392" s="340"/>
      <c r="AH392" s="340"/>
      <c r="AI392" s="340"/>
      <c r="AJ392" s="340"/>
      <c r="AK392" s="340"/>
      <c r="AL392" s="340"/>
      <c r="AM392" s="340"/>
    </row>
    <row r="393" spans="1:39" ht="15.75">
      <c r="A393" s="340"/>
      <c r="B393" s="692"/>
      <c r="C393" s="692"/>
      <c r="D393" s="755"/>
      <c r="E393" s="755"/>
      <c r="F393" s="756"/>
      <c r="G393" s="756"/>
      <c r="H393" s="756"/>
      <c r="I393" s="756"/>
      <c r="J393" s="756"/>
      <c r="K393" s="756"/>
      <c r="L393" s="756"/>
      <c r="M393" s="756"/>
      <c r="N393" s="756"/>
      <c r="O393" s="756"/>
      <c r="P393" s="756"/>
      <c r="Q393" s="756"/>
      <c r="R393" s="756"/>
      <c r="S393" s="756"/>
      <c r="T393" s="756"/>
      <c r="U393" s="756"/>
      <c r="V393" s="756"/>
      <c r="W393" s="756"/>
      <c r="X393" s="756"/>
      <c r="Y393" s="756"/>
      <c r="Z393" s="756"/>
      <c r="AA393" s="756"/>
      <c r="AB393" s="756"/>
      <c r="AC393" s="756"/>
      <c r="AD393" s="756"/>
      <c r="AE393" s="340"/>
      <c r="AF393" s="340"/>
      <c r="AG393" s="340"/>
      <c r="AH393" s="340"/>
      <c r="AI393" s="340"/>
      <c r="AJ393" s="340"/>
      <c r="AK393" s="340"/>
      <c r="AL393" s="340"/>
      <c r="AM393" s="340"/>
    </row>
    <row r="394" spans="1:39" ht="15.75">
      <c r="A394" s="340"/>
      <c r="B394" s="692"/>
      <c r="C394" s="692"/>
      <c r="D394" s="755"/>
      <c r="E394" s="755"/>
      <c r="F394" s="756"/>
      <c r="G394" s="756"/>
      <c r="H394" s="756"/>
      <c r="I394" s="756"/>
      <c r="J394" s="756"/>
      <c r="K394" s="756"/>
      <c r="L394" s="756"/>
      <c r="M394" s="756"/>
      <c r="N394" s="756"/>
      <c r="O394" s="756"/>
      <c r="P394" s="756"/>
      <c r="Q394" s="756"/>
      <c r="R394" s="756"/>
      <c r="S394" s="756"/>
      <c r="T394" s="756"/>
      <c r="U394" s="756"/>
      <c r="V394" s="756"/>
      <c r="W394" s="756"/>
      <c r="X394" s="756"/>
      <c r="Y394" s="756"/>
      <c r="Z394" s="756"/>
      <c r="AA394" s="756"/>
      <c r="AB394" s="756"/>
      <c r="AC394" s="756"/>
      <c r="AD394" s="756"/>
      <c r="AE394" s="340"/>
      <c r="AF394" s="340"/>
      <c r="AG394" s="340"/>
      <c r="AH394" s="340"/>
      <c r="AI394" s="340"/>
      <c r="AJ394" s="340"/>
      <c r="AK394" s="340"/>
      <c r="AL394" s="340"/>
      <c r="AM394" s="340"/>
    </row>
    <row r="395" spans="1:39" ht="15.75">
      <c r="A395" s="340"/>
      <c r="B395" s="692"/>
      <c r="C395" s="692"/>
      <c r="D395" s="755"/>
      <c r="E395" s="755"/>
      <c r="F395" s="755"/>
      <c r="G395" s="708"/>
      <c r="H395" s="708"/>
      <c r="I395" s="708"/>
      <c r="J395" s="708"/>
      <c r="K395" s="708"/>
      <c r="L395" s="708"/>
      <c r="M395" s="708"/>
      <c r="N395" s="708"/>
      <c r="O395" s="708"/>
      <c r="P395" s="708"/>
      <c r="Q395" s="708"/>
      <c r="R395" s="708"/>
      <c r="S395" s="708"/>
      <c r="T395" s="708"/>
      <c r="U395" s="708"/>
      <c r="V395" s="708"/>
      <c r="W395" s="708"/>
      <c r="X395" s="708"/>
      <c r="Y395" s="708"/>
      <c r="Z395" s="708"/>
      <c r="AA395" s="708"/>
      <c r="AB395" s="708"/>
      <c r="AC395" s="708"/>
      <c r="AD395" s="708"/>
      <c r="AE395" s="340"/>
      <c r="AF395" s="340"/>
      <c r="AG395" s="340"/>
      <c r="AH395" s="340"/>
      <c r="AI395" s="340"/>
      <c r="AJ395" s="340"/>
      <c r="AK395" s="340"/>
      <c r="AL395" s="340"/>
      <c r="AM395" s="340"/>
    </row>
    <row r="396" spans="1:39" ht="15.75">
      <c r="A396" s="340"/>
      <c r="B396" s="692"/>
      <c r="C396" s="692"/>
      <c r="D396" s="755"/>
      <c r="E396" s="755"/>
      <c r="F396" s="755"/>
      <c r="G396" s="755"/>
      <c r="H396" s="755"/>
      <c r="I396" s="755"/>
      <c r="J396" s="755"/>
      <c r="K396" s="755"/>
      <c r="L396" s="755"/>
      <c r="M396" s="755"/>
      <c r="N396" s="755"/>
      <c r="O396" s="755"/>
      <c r="P396" s="755"/>
      <c r="Q396" s="755"/>
      <c r="R396" s="755"/>
      <c r="S396" s="755"/>
      <c r="T396" s="755"/>
      <c r="U396" s="755"/>
      <c r="V396" s="755"/>
      <c r="W396" s="755"/>
      <c r="X396" s="755"/>
      <c r="Y396" s="755"/>
      <c r="Z396" s="755"/>
      <c r="AA396" s="755"/>
      <c r="AB396" s="755"/>
      <c r="AC396" s="755"/>
      <c r="AD396" s="755"/>
      <c r="AE396" s="340"/>
      <c r="AF396" s="340"/>
      <c r="AG396" s="340"/>
      <c r="AH396" s="340"/>
      <c r="AI396" s="340"/>
      <c r="AJ396" s="340"/>
      <c r="AK396" s="340"/>
      <c r="AL396" s="340"/>
      <c r="AM396" s="340"/>
    </row>
    <row r="397" spans="1:39" ht="15.75">
      <c r="A397" s="340"/>
      <c r="B397" s="692"/>
      <c r="C397" s="340"/>
      <c r="D397" s="755"/>
      <c r="E397" s="755"/>
      <c r="F397" s="755"/>
      <c r="G397" s="755"/>
      <c r="H397" s="755"/>
      <c r="I397" s="755"/>
      <c r="J397" s="755"/>
      <c r="K397" s="755"/>
      <c r="L397" s="755"/>
      <c r="M397" s="755"/>
      <c r="N397" s="755"/>
      <c r="O397" s="755"/>
      <c r="P397" s="755"/>
      <c r="Q397" s="755"/>
      <c r="R397" s="755"/>
      <c r="S397" s="755"/>
      <c r="T397" s="755"/>
      <c r="U397" s="755"/>
      <c r="V397" s="755"/>
      <c r="W397" s="755"/>
      <c r="X397" s="755"/>
      <c r="Y397" s="755"/>
      <c r="Z397" s="755"/>
      <c r="AA397" s="755"/>
      <c r="AB397" s="755"/>
      <c r="AC397" s="755"/>
      <c r="AD397" s="755"/>
      <c r="AE397" s="340"/>
      <c r="AF397" s="340"/>
      <c r="AG397" s="340"/>
      <c r="AH397" s="340"/>
      <c r="AI397" s="340"/>
      <c r="AJ397" s="340"/>
      <c r="AK397" s="340"/>
      <c r="AL397" s="340"/>
      <c r="AM397" s="340"/>
    </row>
    <row r="398" spans="1:39" ht="15.75">
      <c r="A398" s="340"/>
      <c r="B398" s="692"/>
      <c r="C398" s="340"/>
      <c r="D398" s="755"/>
      <c r="E398" s="755"/>
      <c r="F398" s="755"/>
      <c r="G398" s="755"/>
      <c r="H398" s="755"/>
      <c r="I398" s="755"/>
      <c r="J398" s="755"/>
      <c r="K398" s="755"/>
      <c r="L398" s="755"/>
      <c r="M398" s="755"/>
      <c r="N398" s="755"/>
      <c r="O398" s="755"/>
      <c r="P398" s="755"/>
      <c r="Q398" s="755"/>
      <c r="R398" s="755"/>
      <c r="S398" s="755"/>
      <c r="T398" s="755"/>
      <c r="U398" s="755"/>
      <c r="V398" s="755"/>
      <c r="W398" s="755"/>
      <c r="X398" s="755"/>
      <c r="Y398" s="755"/>
      <c r="Z398" s="755"/>
      <c r="AA398" s="755"/>
      <c r="AB398" s="755"/>
      <c r="AC398" s="755"/>
      <c r="AD398" s="755"/>
      <c r="AE398" s="340"/>
      <c r="AF398" s="340"/>
      <c r="AG398" s="340"/>
      <c r="AH398" s="340"/>
      <c r="AI398" s="340"/>
      <c r="AJ398" s="340"/>
      <c r="AK398" s="340"/>
      <c r="AL398" s="340"/>
      <c r="AM398" s="340"/>
    </row>
    <row r="399" spans="1:39" ht="15.75">
      <c r="A399" s="340"/>
      <c r="B399" s="692"/>
      <c r="C399" s="755"/>
      <c r="D399" s="755"/>
      <c r="E399" s="755"/>
      <c r="F399" s="755"/>
      <c r="G399" s="755"/>
      <c r="H399" s="755"/>
      <c r="I399" s="755"/>
      <c r="J399" s="755"/>
      <c r="K399" s="755"/>
      <c r="L399" s="755"/>
      <c r="M399" s="755"/>
      <c r="N399" s="755"/>
      <c r="O399" s="755"/>
      <c r="P399" s="755"/>
      <c r="Q399" s="755"/>
      <c r="R399" s="755"/>
      <c r="S399" s="755"/>
      <c r="T399" s="755"/>
      <c r="U399" s="755"/>
      <c r="V399" s="755"/>
      <c r="W399" s="755"/>
      <c r="X399" s="755"/>
      <c r="Y399" s="755"/>
      <c r="Z399" s="755"/>
      <c r="AA399" s="755"/>
      <c r="AB399" s="755"/>
      <c r="AC399" s="755"/>
      <c r="AD399" s="755"/>
      <c r="AE399" s="340"/>
      <c r="AF399" s="340"/>
      <c r="AG399" s="340"/>
      <c r="AH399" s="340"/>
      <c r="AI399" s="340"/>
      <c r="AJ399" s="340"/>
      <c r="AK399" s="340"/>
      <c r="AL399" s="340"/>
      <c r="AM399" s="340"/>
    </row>
    <row r="400" spans="1:39" ht="15.75">
      <c r="A400" s="340"/>
      <c r="B400" s="692"/>
      <c r="C400" s="755"/>
      <c r="D400" s="755"/>
      <c r="E400" s="755"/>
      <c r="F400" s="755"/>
      <c r="G400" s="755"/>
      <c r="H400" s="755"/>
      <c r="I400" s="755"/>
      <c r="J400" s="755"/>
      <c r="K400" s="755"/>
      <c r="L400" s="755"/>
      <c r="M400" s="755"/>
      <c r="N400" s="755"/>
      <c r="O400" s="755"/>
      <c r="P400" s="755"/>
      <c r="Q400" s="755"/>
      <c r="R400" s="755"/>
      <c r="S400" s="755"/>
      <c r="T400" s="755"/>
      <c r="U400" s="755"/>
      <c r="V400" s="755"/>
      <c r="W400" s="755"/>
      <c r="X400" s="755"/>
      <c r="Y400" s="755"/>
      <c r="Z400" s="755"/>
      <c r="AA400" s="755"/>
      <c r="AB400" s="755"/>
      <c r="AC400" s="755"/>
      <c r="AD400" s="755"/>
      <c r="AE400" s="340"/>
      <c r="AF400" s="340"/>
      <c r="AG400" s="340"/>
      <c r="AH400" s="340"/>
      <c r="AI400" s="340"/>
      <c r="AJ400" s="340"/>
      <c r="AK400" s="340"/>
      <c r="AL400" s="340"/>
      <c r="AM400" s="340"/>
    </row>
    <row r="401" spans="1:39" ht="15.75">
      <c r="A401" s="340"/>
      <c r="B401" s="692"/>
      <c r="C401" s="755"/>
      <c r="D401" s="755"/>
      <c r="E401" s="755"/>
      <c r="F401" s="755"/>
      <c r="G401" s="755"/>
      <c r="H401" s="755"/>
      <c r="I401" s="755"/>
      <c r="J401" s="755"/>
      <c r="K401" s="755"/>
      <c r="L401" s="755"/>
      <c r="M401" s="755"/>
      <c r="N401" s="755"/>
      <c r="O401" s="755"/>
      <c r="P401" s="755"/>
      <c r="Q401" s="755"/>
      <c r="R401" s="755"/>
      <c r="S401" s="755"/>
      <c r="T401" s="755"/>
      <c r="U401" s="755"/>
      <c r="V401" s="755"/>
      <c r="W401" s="755"/>
      <c r="X401" s="755"/>
      <c r="Y401" s="755"/>
      <c r="Z401" s="755"/>
      <c r="AA401" s="755"/>
      <c r="AB401" s="755"/>
      <c r="AC401" s="755"/>
      <c r="AD401" s="755"/>
      <c r="AE401" s="340"/>
      <c r="AF401" s="340"/>
      <c r="AG401" s="340"/>
      <c r="AH401" s="340"/>
      <c r="AI401" s="340"/>
      <c r="AJ401" s="340"/>
      <c r="AK401" s="340"/>
      <c r="AL401" s="340"/>
      <c r="AM401" s="340"/>
    </row>
    <row r="402" spans="1:39" ht="15.75">
      <c r="A402" s="340"/>
      <c r="B402" s="692"/>
      <c r="C402" s="340"/>
      <c r="D402" s="755"/>
      <c r="E402" s="755"/>
      <c r="F402" s="755"/>
      <c r="G402" s="755"/>
      <c r="H402" s="755"/>
      <c r="I402" s="755"/>
      <c r="J402" s="755"/>
      <c r="K402" s="755"/>
      <c r="L402" s="755"/>
      <c r="M402" s="755"/>
      <c r="N402" s="755"/>
      <c r="O402" s="755"/>
      <c r="P402" s="755"/>
      <c r="Q402" s="755"/>
      <c r="R402" s="755"/>
      <c r="S402" s="755"/>
      <c r="T402" s="755"/>
      <c r="U402" s="755"/>
      <c r="V402" s="755"/>
      <c r="W402" s="755"/>
      <c r="X402" s="755"/>
      <c r="Y402" s="755"/>
      <c r="Z402" s="755"/>
      <c r="AA402" s="755"/>
      <c r="AB402" s="755"/>
      <c r="AC402" s="755"/>
      <c r="AD402" s="755"/>
      <c r="AE402" s="340"/>
      <c r="AF402" s="340"/>
      <c r="AG402" s="340"/>
      <c r="AH402" s="340"/>
      <c r="AI402" s="340"/>
      <c r="AJ402" s="340"/>
      <c r="AK402" s="340"/>
      <c r="AL402" s="340"/>
      <c r="AM402" s="340"/>
    </row>
    <row r="403" spans="1:39" ht="15.75">
      <c r="A403" s="340"/>
      <c r="B403" s="692"/>
      <c r="C403" s="692"/>
      <c r="D403" s="755"/>
      <c r="E403" s="755"/>
      <c r="F403" s="755"/>
      <c r="G403" s="755"/>
      <c r="H403" s="755"/>
      <c r="I403" s="755"/>
      <c r="J403" s="755"/>
      <c r="K403" s="755"/>
      <c r="L403" s="755"/>
      <c r="M403" s="755"/>
      <c r="N403" s="755"/>
      <c r="O403" s="755"/>
      <c r="P403" s="755"/>
      <c r="Q403" s="755"/>
      <c r="R403" s="755"/>
      <c r="S403" s="755"/>
      <c r="T403" s="755"/>
      <c r="U403" s="755"/>
      <c r="V403" s="755"/>
      <c r="W403" s="755"/>
      <c r="X403" s="755"/>
      <c r="Y403" s="755"/>
      <c r="Z403" s="755"/>
      <c r="AA403" s="755"/>
      <c r="AB403" s="755"/>
      <c r="AC403" s="755"/>
      <c r="AD403" s="755"/>
      <c r="AE403" s="340"/>
      <c r="AF403" s="340"/>
      <c r="AG403" s="340"/>
      <c r="AH403" s="340"/>
      <c r="AI403" s="340"/>
      <c r="AJ403" s="340"/>
      <c r="AK403" s="340"/>
      <c r="AL403" s="340"/>
      <c r="AM403" s="340"/>
    </row>
    <row r="404" spans="1:39" ht="15.75">
      <c r="A404" s="340"/>
      <c r="B404" s="692"/>
      <c r="C404" s="692"/>
      <c r="D404" s="692"/>
      <c r="E404" s="692"/>
      <c r="F404" s="755"/>
      <c r="G404" s="755"/>
      <c r="H404" s="755"/>
      <c r="I404" s="755"/>
      <c r="J404" s="755"/>
      <c r="K404" s="755"/>
      <c r="L404" s="755"/>
      <c r="M404" s="755"/>
      <c r="N404" s="755"/>
      <c r="O404" s="755"/>
      <c r="P404" s="755"/>
      <c r="Q404" s="755"/>
      <c r="R404" s="755"/>
      <c r="S404" s="755"/>
      <c r="T404" s="755"/>
      <c r="U404" s="755"/>
      <c r="V404" s="755"/>
      <c r="W404" s="755"/>
      <c r="X404" s="755"/>
      <c r="Y404" s="755"/>
      <c r="Z404" s="755"/>
      <c r="AA404" s="755"/>
      <c r="AB404" s="755"/>
      <c r="AC404" s="755"/>
      <c r="AD404" s="755"/>
      <c r="AE404" s="340"/>
      <c r="AF404" s="340"/>
      <c r="AG404" s="340"/>
      <c r="AH404" s="340"/>
      <c r="AI404" s="340"/>
      <c r="AJ404" s="340"/>
      <c r="AK404" s="340"/>
      <c r="AL404" s="340"/>
      <c r="AM404" s="340"/>
    </row>
    <row r="405" spans="1:39" ht="15.75">
      <c r="A405" s="340"/>
      <c r="B405" s="692"/>
      <c r="C405" s="692"/>
      <c r="D405" s="757"/>
      <c r="E405" s="757"/>
      <c r="F405" s="757"/>
      <c r="G405" s="757"/>
      <c r="H405" s="757"/>
      <c r="I405" s="757"/>
      <c r="J405" s="757"/>
      <c r="K405" s="755"/>
      <c r="L405" s="755"/>
      <c r="M405" s="755"/>
      <c r="N405" s="755"/>
      <c r="O405" s="755"/>
      <c r="P405" s="755"/>
      <c r="Q405" s="755"/>
      <c r="R405" s="755"/>
      <c r="S405" s="755"/>
      <c r="T405" s="755"/>
      <c r="U405" s="755"/>
      <c r="V405" s="755"/>
      <c r="W405" s="755"/>
      <c r="X405" s="755"/>
      <c r="Y405" s="755"/>
      <c r="Z405" s="755"/>
      <c r="AA405" s="755"/>
      <c r="AB405" s="755"/>
      <c r="AC405" s="755"/>
      <c r="AD405" s="755"/>
      <c r="AE405" s="340"/>
      <c r="AF405" s="340"/>
      <c r="AG405" s="340"/>
      <c r="AH405" s="340"/>
      <c r="AI405" s="340"/>
      <c r="AJ405" s="340"/>
      <c r="AK405" s="340"/>
      <c r="AL405" s="340"/>
      <c r="AM405" s="340"/>
    </row>
    <row r="406" spans="1:39" ht="15.75">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c r="AA406" s="340"/>
      <c r="AB406" s="340"/>
      <c r="AC406" s="340"/>
      <c r="AD406" s="340"/>
      <c r="AE406" s="340"/>
      <c r="AF406" s="340"/>
      <c r="AG406" s="340"/>
      <c r="AH406" s="340"/>
      <c r="AI406" s="340"/>
      <c r="AJ406" s="340"/>
      <c r="AK406" s="340"/>
      <c r="AL406" s="340"/>
      <c r="AM406" s="340"/>
    </row>
    <row r="407" spans="1:39" ht="15.75">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c r="AA407" s="340"/>
      <c r="AB407" s="340"/>
      <c r="AC407" s="340"/>
      <c r="AD407" s="340"/>
      <c r="AE407" s="340"/>
      <c r="AF407" s="340"/>
      <c r="AG407" s="340"/>
      <c r="AH407" s="340"/>
      <c r="AI407" s="340"/>
      <c r="AJ407" s="340"/>
      <c r="AK407" s="340"/>
      <c r="AL407" s="340"/>
      <c r="AM407" s="340"/>
    </row>
    <row r="408" spans="1:39" ht="15.75">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c r="AA408" s="340"/>
      <c r="AB408" s="340"/>
      <c r="AC408" s="340"/>
      <c r="AD408" s="340"/>
      <c r="AE408" s="340"/>
      <c r="AF408" s="340"/>
      <c r="AG408" s="340"/>
      <c r="AH408" s="340"/>
      <c r="AI408" s="340"/>
      <c r="AJ408" s="340"/>
      <c r="AK408" s="340"/>
      <c r="AL408" s="340"/>
      <c r="AM408" s="340"/>
    </row>
    <row r="409" spans="1:39" ht="15.75">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c r="AA409" s="340"/>
      <c r="AB409" s="340"/>
      <c r="AC409" s="340"/>
      <c r="AD409" s="340"/>
      <c r="AE409" s="340"/>
      <c r="AF409" s="340"/>
      <c r="AG409" s="340"/>
      <c r="AH409" s="340"/>
      <c r="AI409" s="340"/>
      <c r="AJ409" s="340"/>
      <c r="AK409" s="340"/>
      <c r="AL409" s="340"/>
      <c r="AM409" s="340"/>
    </row>
    <row r="410" spans="1:39" ht="15.75">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c r="AA410" s="340"/>
      <c r="AB410" s="340"/>
      <c r="AC410" s="340"/>
      <c r="AD410" s="340"/>
      <c r="AE410" s="340"/>
      <c r="AF410" s="340"/>
      <c r="AG410" s="340"/>
      <c r="AH410" s="340"/>
      <c r="AI410" s="340"/>
      <c r="AJ410" s="340"/>
      <c r="AK410" s="340"/>
      <c r="AL410" s="340"/>
      <c r="AM410" s="340"/>
    </row>
    <row r="411" spans="1:39" ht="15.75">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c r="AA411" s="340"/>
      <c r="AB411" s="340"/>
      <c r="AC411" s="340"/>
      <c r="AD411" s="340"/>
      <c r="AE411" s="340"/>
      <c r="AF411" s="340"/>
      <c r="AG411" s="340"/>
      <c r="AH411" s="340"/>
      <c r="AI411" s="340"/>
      <c r="AJ411" s="340"/>
      <c r="AK411" s="340"/>
      <c r="AL411" s="340"/>
      <c r="AM411" s="340"/>
    </row>
    <row r="412" spans="1:39" ht="15.75">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c r="AA412" s="340"/>
      <c r="AB412" s="340"/>
      <c r="AC412" s="340"/>
      <c r="AD412" s="340"/>
      <c r="AE412" s="340"/>
      <c r="AF412" s="340"/>
      <c r="AG412" s="340"/>
      <c r="AH412" s="340"/>
      <c r="AI412" s="340"/>
      <c r="AJ412" s="340"/>
      <c r="AK412" s="340"/>
      <c r="AL412" s="340"/>
      <c r="AM412" s="340"/>
    </row>
    <row r="413" spans="1:39" ht="15.75">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c r="AA413" s="340"/>
      <c r="AB413" s="340"/>
      <c r="AC413" s="340"/>
      <c r="AD413" s="340"/>
      <c r="AE413" s="340"/>
      <c r="AF413" s="340"/>
      <c r="AG413" s="340"/>
      <c r="AH413" s="340"/>
      <c r="AI413" s="340"/>
      <c r="AJ413" s="340"/>
      <c r="AK413" s="340"/>
      <c r="AL413" s="340"/>
      <c r="AM413" s="340"/>
    </row>
    <row r="414" spans="1:39" ht="15.75">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c r="AA414" s="340"/>
      <c r="AB414" s="340"/>
      <c r="AC414" s="340"/>
      <c r="AD414" s="340"/>
      <c r="AE414" s="340"/>
      <c r="AF414" s="340"/>
      <c r="AG414" s="340"/>
      <c r="AH414" s="340"/>
      <c r="AI414" s="340"/>
      <c r="AJ414" s="340"/>
      <c r="AK414" s="340"/>
      <c r="AL414" s="340"/>
      <c r="AM414" s="340"/>
    </row>
    <row r="415" spans="1:39" ht="15.75">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c r="AA415" s="340"/>
      <c r="AB415" s="340"/>
      <c r="AC415" s="340"/>
      <c r="AD415" s="340"/>
      <c r="AE415" s="340"/>
      <c r="AF415" s="340"/>
      <c r="AG415" s="340"/>
      <c r="AH415" s="340"/>
      <c r="AI415" s="340"/>
      <c r="AJ415" s="340"/>
      <c r="AK415" s="340"/>
      <c r="AL415" s="340"/>
      <c r="AM415" s="340"/>
    </row>
    <row r="416" spans="1:39" ht="15.75">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c r="AA416" s="340"/>
      <c r="AB416" s="340"/>
      <c r="AC416" s="340"/>
      <c r="AD416" s="340"/>
      <c r="AE416" s="340"/>
      <c r="AF416" s="340"/>
      <c r="AG416" s="340"/>
      <c r="AH416" s="340"/>
      <c r="AI416" s="340"/>
      <c r="AJ416" s="340"/>
      <c r="AK416" s="340"/>
      <c r="AL416" s="340"/>
      <c r="AM416" s="340"/>
    </row>
    <row r="417" spans="1:39" ht="15.75">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c r="AA417" s="340"/>
      <c r="AB417" s="340"/>
      <c r="AC417" s="340"/>
      <c r="AD417" s="340"/>
      <c r="AE417" s="340"/>
      <c r="AF417" s="340"/>
      <c r="AG417" s="340"/>
      <c r="AH417" s="340"/>
      <c r="AI417" s="340"/>
      <c r="AJ417" s="340"/>
      <c r="AK417" s="340"/>
      <c r="AL417" s="340"/>
      <c r="AM417" s="340"/>
    </row>
    <row r="418" spans="1:39" ht="15.75">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c r="AA418" s="340"/>
      <c r="AB418" s="340"/>
      <c r="AC418" s="340"/>
      <c r="AD418" s="340"/>
      <c r="AE418" s="340"/>
      <c r="AF418" s="340"/>
      <c r="AG418" s="340"/>
      <c r="AH418" s="340"/>
      <c r="AI418" s="340"/>
      <c r="AJ418" s="340"/>
      <c r="AK418" s="340"/>
      <c r="AL418" s="340"/>
      <c r="AM418" s="340"/>
    </row>
    <row r="419" spans="1:39" ht="15.75">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340"/>
      <c r="AL419" s="340"/>
      <c r="AM419" s="340"/>
    </row>
    <row r="420" spans="1:39" ht="15.75">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c r="AA420" s="340"/>
      <c r="AB420" s="340"/>
      <c r="AC420" s="340"/>
      <c r="AD420" s="340"/>
      <c r="AE420" s="340"/>
      <c r="AF420" s="340"/>
      <c r="AG420" s="340"/>
      <c r="AH420" s="340"/>
      <c r="AI420" s="340"/>
      <c r="AJ420" s="340"/>
      <c r="AK420" s="340"/>
      <c r="AL420" s="340"/>
      <c r="AM420" s="340"/>
    </row>
    <row r="421" spans="1:39" ht="15.75">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c r="AA421" s="340"/>
      <c r="AB421" s="340"/>
      <c r="AC421" s="340"/>
      <c r="AD421" s="340"/>
      <c r="AE421" s="340"/>
      <c r="AF421" s="340"/>
      <c r="AG421" s="340"/>
      <c r="AH421" s="340"/>
      <c r="AI421" s="340"/>
      <c r="AJ421" s="340"/>
      <c r="AK421" s="340"/>
      <c r="AL421" s="340"/>
      <c r="AM421" s="340"/>
    </row>
    <row r="422" spans="1:39" ht="15.75">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c r="AA422" s="340"/>
      <c r="AB422" s="340"/>
      <c r="AC422" s="340"/>
      <c r="AD422" s="340"/>
      <c r="AE422" s="340"/>
      <c r="AF422" s="340"/>
      <c r="AG422" s="340"/>
      <c r="AH422" s="340"/>
      <c r="AI422" s="340"/>
      <c r="AJ422" s="340"/>
      <c r="AK422" s="340"/>
      <c r="AL422" s="340"/>
      <c r="AM422" s="340"/>
    </row>
    <row r="423" spans="1:39" ht="15.75">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c r="AA423" s="340"/>
      <c r="AB423" s="340"/>
      <c r="AC423" s="340"/>
      <c r="AD423" s="340"/>
      <c r="AE423" s="340"/>
      <c r="AF423" s="340"/>
      <c r="AG423" s="340"/>
      <c r="AH423" s="340"/>
      <c r="AI423" s="340"/>
      <c r="AJ423" s="340"/>
      <c r="AK423" s="340"/>
      <c r="AL423" s="340"/>
      <c r="AM423" s="340"/>
    </row>
    <row r="424" spans="1:39" ht="15.75">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c r="AA424" s="340"/>
      <c r="AB424" s="340"/>
      <c r="AC424" s="340"/>
      <c r="AD424" s="340"/>
      <c r="AE424" s="340"/>
      <c r="AF424" s="340"/>
      <c r="AG424" s="340"/>
      <c r="AH424" s="340"/>
      <c r="AI424" s="340"/>
      <c r="AJ424" s="340"/>
      <c r="AK424" s="340"/>
      <c r="AL424" s="340"/>
      <c r="AM424" s="340"/>
    </row>
    <row r="425" spans="1:39" ht="15.75">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0"/>
      <c r="AD425" s="340"/>
      <c r="AE425" s="340"/>
      <c r="AF425" s="340"/>
      <c r="AG425" s="340"/>
      <c r="AH425" s="340"/>
      <c r="AI425" s="340"/>
      <c r="AJ425" s="340"/>
      <c r="AK425" s="340"/>
      <c r="AL425" s="340"/>
      <c r="AM425" s="340"/>
    </row>
    <row r="426" spans="1:39" ht="15.75">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c r="AA426" s="340"/>
      <c r="AB426" s="340"/>
      <c r="AC426" s="340"/>
      <c r="AD426" s="340"/>
      <c r="AE426" s="340"/>
      <c r="AF426" s="340"/>
      <c r="AG426" s="340"/>
      <c r="AH426" s="340"/>
      <c r="AI426" s="340"/>
      <c r="AJ426" s="340"/>
      <c r="AK426" s="340"/>
      <c r="AL426" s="340"/>
      <c r="AM426" s="340"/>
    </row>
    <row r="427" spans="1:39" ht="15.75">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c r="AA427" s="340"/>
      <c r="AB427" s="340"/>
      <c r="AC427" s="340"/>
      <c r="AD427" s="340"/>
      <c r="AE427" s="340"/>
      <c r="AF427" s="340"/>
      <c r="AG427" s="340"/>
      <c r="AH427" s="340"/>
      <c r="AI427" s="340"/>
      <c r="AJ427" s="340"/>
      <c r="AK427" s="340"/>
      <c r="AL427" s="340"/>
      <c r="AM427" s="340"/>
    </row>
    <row r="428" spans="1:39" ht="15.75">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c r="AA428" s="340"/>
      <c r="AB428" s="340"/>
      <c r="AC428" s="340"/>
      <c r="AD428" s="340"/>
      <c r="AE428" s="340"/>
      <c r="AF428" s="340"/>
      <c r="AG428" s="340"/>
      <c r="AH428" s="340"/>
      <c r="AI428" s="340"/>
      <c r="AJ428" s="340"/>
      <c r="AK428" s="340"/>
      <c r="AL428" s="340"/>
      <c r="AM428" s="340"/>
    </row>
    <row r="429" spans="1:39" ht="15.75">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340"/>
      <c r="AE429" s="340"/>
      <c r="AF429" s="340"/>
      <c r="AG429" s="340"/>
      <c r="AH429" s="340"/>
      <c r="AI429" s="340"/>
      <c r="AJ429" s="340"/>
      <c r="AK429" s="340"/>
      <c r="AL429" s="340"/>
      <c r="AM429" s="340"/>
    </row>
    <row r="430" spans="1:39" ht="15.75">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c r="AA430" s="340"/>
      <c r="AB430" s="340"/>
      <c r="AC430" s="340"/>
      <c r="AD430" s="340"/>
      <c r="AE430" s="340"/>
      <c r="AF430" s="340"/>
      <c r="AG430" s="340"/>
      <c r="AH430" s="340"/>
      <c r="AI430" s="340"/>
      <c r="AJ430" s="340"/>
      <c r="AK430" s="340"/>
      <c r="AL430" s="340"/>
      <c r="AM430" s="340"/>
    </row>
    <row r="431" spans="1:39" ht="15.75">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c r="AA431" s="340"/>
      <c r="AB431" s="340"/>
      <c r="AC431" s="340"/>
      <c r="AD431" s="340"/>
      <c r="AE431" s="340"/>
      <c r="AF431" s="340"/>
      <c r="AG431" s="340"/>
      <c r="AH431" s="340"/>
      <c r="AI431" s="340"/>
      <c r="AJ431" s="340"/>
      <c r="AK431" s="340"/>
      <c r="AL431" s="340"/>
      <c r="AM431" s="340"/>
    </row>
    <row r="432" spans="1:39" ht="15.75">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c r="AA432" s="340"/>
      <c r="AB432" s="340"/>
      <c r="AC432" s="340"/>
      <c r="AD432" s="340"/>
      <c r="AE432" s="340"/>
      <c r="AF432" s="340"/>
      <c r="AG432" s="340"/>
      <c r="AH432" s="340"/>
      <c r="AI432" s="340"/>
      <c r="AJ432" s="340"/>
      <c r="AK432" s="340"/>
      <c r="AL432" s="340"/>
      <c r="AM432" s="340"/>
    </row>
    <row r="433" spans="1:39" ht="15.75">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c r="AA433" s="340"/>
      <c r="AB433" s="340"/>
      <c r="AC433" s="340"/>
      <c r="AD433" s="340"/>
      <c r="AE433" s="340"/>
      <c r="AF433" s="340"/>
      <c r="AG433" s="340"/>
      <c r="AH433" s="340"/>
      <c r="AI433" s="340"/>
      <c r="AJ433" s="340"/>
      <c r="AK433" s="340"/>
      <c r="AL433" s="340"/>
      <c r="AM433" s="340"/>
    </row>
    <row r="434" spans="1:39" ht="15.75">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c r="AA434" s="340"/>
      <c r="AB434" s="340"/>
      <c r="AC434" s="340"/>
      <c r="AD434" s="340"/>
      <c r="AE434" s="340"/>
      <c r="AF434" s="340"/>
      <c r="AG434" s="340"/>
      <c r="AH434" s="340"/>
      <c r="AI434" s="340"/>
      <c r="AJ434" s="340"/>
      <c r="AK434" s="340"/>
      <c r="AL434" s="340"/>
      <c r="AM434" s="340"/>
    </row>
    <row r="435" spans="1:39" ht="15.75">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c r="AA435" s="340"/>
      <c r="AB435" s="340"/>
      <c r="AC435" s="340"/>
      <c r="AD435" s="340"/>
      <c r="AE435" s="340"/>
      <c r="AF435" s="340"/>
      <c r="AG435" s="340"/>
      <c r="AH435" s="340"/>
      <c r="AI435" s="340"/>
      <c r="AJ435" s="340"/>
      <c r="AK435" s="340"/>
      <c r="AL435" s="340"/>
      <c r="AM435" s="340"/>
    </row>
    <row r="436" spans="1:39" ht="15.75">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c r="AA436" s="340"/>
      <c r="AB436" s="340"/>
      <c r="AC436" s="340"/>
      <c r="AD436" s="340"/>
      <c r="AE436" s="340"/>
      <c r="AF436" s="340"/>
      <c r="AG436" s="340"/>
      <c r="AH436" s="340"/>
      <c r="AI436" s="340"/>
      <c r="AJ436" s="340"/>
      <c r="AK436" s="340"/>
      <c r="AL436" s="340"/>
      <c r="AM436" s="340"/>
    </row>
    <row r="437" spans="1:39" ht="15.75">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c r="AA437" s="340"/>
      <c r="AB437" s="340"/>
      <c r="AC437" s="340"/>
      <c r="AD437" s="340"/>
      <c r="AE437" s="340"/>
      <c r="AF437" s="340"/>
      <c r="AG437" s="340"/>
      <c r="AH437" s="340"/>
      <c r="AI437" s="340"/>
      <c r="AJ437" s="340"/>
      <c r="AK437" s="340"/>
      <c r="AL437" s="340"/>
      <c r="AM437" s="340"/>
    </row>
    <row r="438" spans="1:39" ht="15.75">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c r="AA438" s="340"/>
      <c r="AB438" s="340"/>
      <c r="AC438" s="340"/>
      <c r="AD438" s="340"/>
      <c r="AE438" s="340"/>
      <c r="AF438" s="340"/>
      <c r="AG438" s="340"/>
      <c r="AH438" s="340"/>
      <c r="AI438" s="340"/>
      <c r="AJ438" s="340"/>
      <c r="AK438" s="340"/>
      <c r="AL438" s="340"/>
      <c r="AM438" s="340"/>
    </row>
    <row r="439" spans="1:39" ht="15.75">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c r="AA439" s="340"/>
      <c r="AB439" s="340"/>
      <c r="AC439" s="340"/>
      <c r="AD439" s="340"/>
      <c r="AE439" s="340"/>
      <c r="AF439" s="340"/>
      <c r="AG439" s="340"/>
      <c r="AH439" s="340"/>
      <c r="AI439" s="340"/>
      <c r="AJ439" s="340"/>
      <c r="AK439" s="340"/>
      <c r="AL439" s="340"/>
      <c r="AM439" s="340"/>
    </row>
    <row r="440" spans="1:39" ht="15.75">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c r="AA440" s="340"/>
      <c r="AB440" s="340"/>
      <c r="AC440" s="340"/>
      <c r="AD440" s="340"/>
      <c r="AE440" s="340"/>
      <c r="AF440" s="340"/>
      <c r="AG440" s="340"/>
      <c r="AH440" s="340"/>
      <c r="AI440" s="340"/>
      <c r="AJ440" s="340"/>
      <c r="AK440" s="340"/>
      <c r="AL440" s="340"/>
      <c r="AM440" s="340"/>
    </row>
    <row r="441" spans="1:39" ht="15.75">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c r="AA441" s="340"/>
      <c r="AB441" s="340"/>
      <c r="AC441" s="340"/>
      <c r="AD441" s="340"/>
      <c r="AE441" s="340"/>
      <c r="AF441" s="340"/>
      <c r="AG441" s="340"/>
      <c r="AH441" s="340"/>
      <c r="AI441" s="340"/>
      <c r="AJ441" s="340"/>
      <c r="AK441" s="340"/>
      <c r="AL441" s="340"/>
      <c r="AM441" s="340"/>
    </row>
    <row r="442" spans="1:39" ht="15.75">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c r="AA442" s="340"/>
      <c r="AB442" s="340"/>
      <c r="AC442" s="340"/>
      <c r="AD442" s="340"/>
      <c r="AE442" s="340"/>
      <c r="AF442" s="340"/>
      <c r="AG442" s="340"/>
      <c r="AH442" s="340"/>
      <c r="AI442" s="340"/>
      <c r="AJ442" s="340"/>
      <c r="AK442" s="340"/>
      <c r="AL442" s="340"/>
      <c r="AM442" s="340"/>
    </row>
    <row r="443" spans="1:39" ht="15.75">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c r="AA443" s="340"/>
      <c r="AB443" s="340"/>
      <c r="AC443" s="340"/>
      <c r="AD443" s="340"/>
      <c r="AE443" s="340"/>
      <c r="AF443" s="340"/>
      <c r="AG443" s="340"/>
      <c r="AH443" s="340"/>
      <c r="AI443" s="340"/>
      <c r="AJ443" s="340"/>
      <c r="AK443" s="340"/>
      <c r="AL443" s="340"/>
      <c r="AM443" s="340"/>
    </row>
    <row r="444" spans="1:39" ht="15.75">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c r="AA444" s="340"/>
      <c r="AB444" s="340"/>
      <c r="AC444" s="340"/>
      <c r="AD444" s="340"/>
      <c r="AE444" s="340"/>
      <c r="AF444" s="340"/>
      <c r="AG444" s="340"/>
      <c r="AH444" s="340"/>
      <c r="AI444" s="340"/>
      <c r="AJ444" s="340"/>
      <c r="AK444" s="340"/>
      <c r="AL444" s="340"/>
      <c r="AM444" s="340"/>
    </row>
    <row r="445" spans="1:39" ht="15.75">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c r="AA445" s="340"/>
      <c r="AB445" s="340"/>
      <c r="AC445" s="340"/>
      <c r="AD445" s="340"/>
      <c r="AE445" s="340"/>
      <c r="AF445" s="340"/>
      <c r="AG445" s="340"/>
      <c r="AH445" s="340"/>
      <c r="AI445" s="340"/>
      <c r="AJ445" s="340"/>
      <c r="AK445" s="340"/>
      <c r="AL445" s="340"/>
      <c r="AM445" s="340"/>
    </row>
    <row r="446" spans="1:39" ht="15.75">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c r="AA446" s="340"/>
      <c r="AB446" s="340"/>
      <c r="AC446" s="340"/>
      <c r="AD446" s="340"/>
      <c r="AE446" s="340"/>
      <c r="AF446" s="340"/>
      <c r="AG446" s="340"/>
      <c r="AH446" s="340"/>
      <c r="AI446" s="340"/>
      <c r="AJ446" s="340"/>
      <c r="AK446" s="340"/>
      <c r="AL446" s="340"/>
      <c r="AM446" s="340"/>
    </row>
    <row r="447" spans="1:39" ht="15.75">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c r="AA447" s="340"/>
      <c r="AB447" s="340"/>
      <c r="AC447" s="340"/>
      <c r="AD447" s="340"/>
      <c r="AE447" s="340"/>
      <c r="AF447" s="340"/>
      <c r="AG447" s="340"/>
      <c r="AH447" s="340"/>
      <c r="AI447" s="340"/>
      <c r="AJ447" s="340"/>
      <c r="AK447" s="340"/>
      <c r="AL447" s="340"/>
      <c r="AM447" s="340"/>
    </row>
    <row r="448" spans="1:39" ht="15.75">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c r="AA448" s="340"/>
      <c r="AB448" s="340"/>
      <c r="AC448" s="340"/>
      <c r="AD448" s="340"/>
      <c r="AE448" s="340"/>
      <c r="AF448" s="340"/>
      <c r="AG448" s="340"/>
      <c r="AH448" s="340"/>
      <c r="AI448" s="340"/>
      <c r="AJ448" s="340"/>
      <c r="AK448" s="340"/>
      <c r="AL448" s="340"/>
      <c r="AM448" s="340"/>
    </row>
    <row r="449" spans="1:39" ht="15.75">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c r="AA449" s="340"/>
      <c r="AB449" s="340"/>
      <c r="AC449" s="340"/>
      <c r="AD449" s="340"/>
      <c r="AE449" s="340"/>
      <c r="AF449" s="340"/>
      <c r="AG449" s="340"/>
      <c r="AH449" s="340"/>
      <c r="AI449" s="340"/>
      <c r="AJ449" s="340"/>
      <c r="AK449" s="340"/>
      <c r="AL449" s="340"/>
      <c r="AM449" s="340"/>
    </row>
    <row r="450" spans="1:39" ht="15.75">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c r="AA450" s="340"/>
      <c r="AB450" s="340"/>
      <c r="AC450" s="340"/>
      <c r="AD450" s="340"/>
      <c r="AE450" s="340"/>
      <c r="AF450" s="340"/>
      <c r="AG450" s="340"/>
      <c r="AH450" s="340"/>
      <c r="AI450" s="340"/>
      <c r="AJ450" s="340"/>
      <c r="AK450" s="340"/>
      <c r="AL450" s="340"/>
      <c r="AM450" s="340"/>
    </row>
    <row r="451" spans="1:39" ht="15.75">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c r="AA451" s="340"/>
      <c r="AB451" s="340"/>
      <c r="AC451" s="340"/>
      <c r="AD451" s="340"/>
      <c r="AE451" s="340"/>
      <c r="AF451" s="340"/>
      <c r="AG451" s="340"/>
      <c r="AH451" s="340"/>
      <c r="AI451" s="340"/>
      <c r="AJ451" s="340"/>
      <c r="AK451" s="340"/>
      <c r="AL451" s="340"/>
      <c r="AM451" s="340"/>
    </row>
    <row r="452" spans="1:39" ht="15.75">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c r="AA452" s="340"/>
      <c r="AB452" s="340"/>
      <c r="AC452" s="340"/>
      <c r="AD452" s="340"/>
      <c r="AE452" s="340"/>
      <c r="AF452" s="340"/>
      <c r="AG452" s="340"/>
      <c r="AH452" s="340"/>
      <c r="AI452" s="340"/>
      <c r="AJ452" s="340"/>
      <c r="AK452" s="340"/>
      <c r="AL452" s="340"/>
      <c r="AM452" s="340"/>
    </row>
    <row r="453" spans="1:39" ht="15.75">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c r="AA453" s="340"/>
      <c r="AB453" s="340"/>
      <c r="AC453" s="340"/>
      <c r="AD453" s="340"/>
      <c r="AE453" s="340"/>
      <c r="AF453" s="340"/>
      <c r="AG453" s="340"/>
      <c r="AH453" s="340"/>
      <c r="AI453" s="340"/>
      <c r="AJ453" s="340"/>
      <c r="AK453" s="340"/>
      <c r="AL453" s="340"/>
      <c r="AM453" s="340"/>
    </row>
    <row r="454" spans="1:39" ht="15.75">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c r="AA454" s="340"/>
      <c r="AB454" s="340"/>
      <c r="AC454" s="340"/>
      <c r="AD454" s="340"/>
      <c r="AE454" s="340"/>
      <c r="AF454" s="340"/>
      <c r="AG454" s="340"/>
      <c r="AH454" s="340"/>
      <c r="AI454" s="340"/>
      <c r="AJ454" s="340"/>
      <c r="AK454" s="340"/>
      <c r="AL454" s="340"/>
      <c r="AM454" s="340"/>
    </row>
    <row r="455" spans="1:39" ht="15.75">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c r="AA455" s="340"/>
      <c r="AB455" s="340"/>
      <c r="AC455" s="340"/>
      <c r="AD455" s="340"/>
      <c r="AE455" s="340"/>
      <c r="AF455" s="340"/>
      <c r="AG455" s="340"/>
      <c r="AH455" s="340"/>
      <c r="AI455" s="340"/>
      <c r="AJ455" s="340"/>
      <c r="AK455" s="340"/>
      <c r="AL455" s="340"/>
      <c r="AM455" s="340"/>
    </row>
    <row r="456" spans="1:39" ht="15.75">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c r="AA456" s="340"/>
      <c r="AB456" s="340"/>
      <c r="AC456" s="340"/>
      <c r="AD456" s="340"/>
      <c r="AE456" s="340"/>
      <c r="AF456" s="340"/>
      <c r="AG456" s="340"/>
      <c r="AH456" s="340"/>
      <c r="AI456" s="340"/>
      <c r="AJ456" s="340"/>
      <c r="AK456" s="340"/>
      <c r="AL456" s="340"/>
      <c r="AM456" s="340"/>
    </row>
    <row r="457" spans="1:39" ht="15.75">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c r="AA457" s="340"/>
      <c r="AB457" s="340"/>
      <c r="AC457" s="340"/>
      <c r="AD457" s="340"/>
      <c r="AE457" s="340"/>
      <c r="AF457" s="340"/>
      <c r="AG457" s="340"/>
      <c r="AH457" s="340"/>
      <c r="AI457" s="340"/>
      <c r="AJ457" s="340"/>
      <c r="AK457" s="340"/>
      <c r="AL457" s="340"/>
      <c r="AM457" s="340"/>
    </row>
    <row r="458" spans="1:39" ht="15.75">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c r="AA458" s="340"/>
      <c r="AB458" s="340"/>
      <c r="AC458" s="340"/>
      <c r="AD458" s="340"/>
      <c r="AE458" s="340"/>
      <c r="AF458" s="340"/>
      <c r="AG458" s="340"/>
      <c r="AH458" s="340"/>
      <c r="AI458" s="340"/>
      <c r="AJ458" s="340"/>
      <c r="AK458" s="340"/>
      <c r="AL458" s="340"/>
      <c r="AM458" s="340"/>
    </row>
    <row r="459" spans="1:39" ht="15.75">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c r="AA459" s="340"/>
      <c r="AB459" s="340"/>
      <c r="AC459" s="340"/>
      <c r="AD459" s="340"/>
      <c r="AE459" s="340"/>
      <c r="AF459" s="340"/>
      <c r="AG459" s="340"/>
      <c r="AH459" s="340"/>
      <c r="AI459" s="340"/>
      <c r="AJ459" s="340"/>
      <c r="AK459" s="340"/>
      <c r="AL459" s="340"/>
      <c r="AM459" s="340"/>
    </row>
    <row r="460" spans="1:39" ht="15.75">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c r="AA460" s="340"/>
      <c r="AB460" s="340"/>
      <c r="AC460" s="340"/>
      <c r="AD460" s="340"/>
      <c r="AE460" s="340"/>
      <c r="AF460" s="340"/>
      <c r="AG460" s="340"/>
      <c r="AH460" s="340"/>
      <c r="AI460" s="340"/>
      <c r="AJ460" s="340"/>
      <c r="AK460" s="340"/>
      <c r="AL460" s="340"/>
      <c r="AM460" s="340"/>
    </row>
    <row r="461" spans="1:39" ht="15.75">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c r="AA461" s="340"/>
      <c r="AB461" s="340"/>
      <c r="AC461" s="340"/>
      <c r="AD461" s="340"/>
      <c r="AE461" s="340"/>
      <c r="AF461" s="340"/>
      <c r="AG461" s="340"/>
      <c r="AH461" s="340"/>
      <c r="AI461" s="340"/>
      <c r="AJ461" s="340"/>
      <c r="AK461" s="340"/>
      <c r="AL461" s="340"/>
      <c r="AM461" s="340"/>
    </row>
    <row r="462" spans="1:39" ht="15.75">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c r="AA462" s="340"/>
      <c r="AB462" s="340"/>
      <c r="AC462" s="340"/>
      <c r="AD462" s="340"/>
      <c r="AE462" s="340"/>
      <c r="AF462" s="340"/>
      <c r="AG462" s="340"/>
      <c r="AH462" s="340"/>
      <c r="AI462" s="340"/>
      <c r="AJ462" s="340"/>
      <c r="AK462" s="340"/>
      <c r="AL462" s="340"/>
      <c r="AM462" s="340"/>
    </row>
    <row r="463" spans="1:39" ht="15.75">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340"/>
      <c r="AE463" s="340"/>
      <c r="AF463" s="340"/>
      <c r="AG463" s="340"/>
      <c r="AH463" s="340"/>
      <c r="AI463" s="340"/>
      <c r="AJ463" s="340"/>
      <c r="AK463" s="340"/>
      <c r="AL463" s="340"/>
      <c r="AM463" s="340"/>
    </row>
    <row r="464" spans="1:39" ht="15.75">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c r="AA464" s="340"/>
      <c r="AB464" s="340"/>
      <c r="AC464" s="340"/>
      <c r="AD464" s="340"/>
      <c r="AE464" s="340"/>
      <c r="AF464" s="340"/>
      <c r="AG464" s="340"/>
      <c r="AH464" s="340"/>
      <c r="AI464" s="340"/>
      <c r="AJ464" s="340"/>
      <c r="AK464" s="340"/>
      <c r="AL464" s="340"/>
      <c r="AM464" s="340"/>
    </row>
    <row r="465" spans="1:39" ht="15.75">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c r="AA465" s="340"/>
      <c r="AB465" s="340"/>
      <c r="AC465" s="340"/>
      <c r="AD465" s="340"/>
      <c r="AE465" s="340"/>
      <c r="AF465" s="340"/>
      <c r="AG465" s="340"/>
      <c r="AH465" s="340"/>
      <c r="AI465" s="340"/>
      <c r="AJ465" s="340"/>
      <c r="AK465" s="340"/>
      <c r="AL465" s="340"/>
      <c r="AM465" s="340"/>
    </row>
    <row r="466" spans="1:39" ht="15.75">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c r="AA466" s="340"/>
      <c r="AB466" s="340"/>
      <c r="AC466" s="340"/>
      <c r="AD466" s="340"/>
      <c r="AE466" s="340"/>
      <c r="AF466" s="340"/>
      <c r="AG466" s="340"/>
      <c r="AH466" s="340"/>
      <c r="AI466" s="340"/>
      <c r="AJ466" s="340"/>
      <c r="AK466" s="340"/>
      <c r="AL466" s="340"/>
      <c r="AM466" s="340"/>
    </row>
    <row r="467" spans="1:39" ht="15.75">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c r="AA467" s="340"/>
      <c r="AB467" s="340"/>
      <c r="AC467" s="340"/>
      <c r="AD467" s="340"/>
      <c r="AE467" s="340"/>
      <c r="AF467" s="340"/>
      <c r="AG467" s="340"/>
      <c r="AH467" s="340"/>
      <c r="AI467" s="340"/>
      <c r="AJ467" s="340"/>
      <c r="AK467" s="340"/>
      <c r="AL467" s="340"/>
      <c r="AM467" s="340"/>
    </row>
    <row r="468" spans="1:39" ht="15.75">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c r="AA468" s="340"/>
      <c r="AB468" s="340"/>
      <c r="AC468" s="340"/>
      <c r="AD468" s="340"/>
      <c r="AE468" s="340"/>
      <c r="AF468" s="340"/>
      <c r="AG468" s="340"/>
      <c r="AH468" s="340"/>
      <c r="AI468" s="340"/>
      <c r="AJ468" s="340"/>
      <c r="AK468" s="340"/>
      <c r="AL468" s="340"/>
      <c r="AM468" s="340"/>
    </row>
  </sheetData>
  <pageMargins left="0.70866141732283472" right="0.70866141732283472" top="0.74803149606299213" bottom="0.74803149606299213" header="0.31496062992125984" footer="0.31496062992125984"/>
  <pageSetup paperSize="9" scale="14"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119"/>
  <sheetViews>
    <sheetView zoomScale="72" zoomScaleNormal="72" workbookViewId="0">
      <pane xSplit="2" ySplit="2" topLeftCell="G83" activePane="bottomRight" state="frozen"/>
      <selection pane="topRight" activeCell="C1" sqref="C1"/>
      <selection pane="bottomLeft" activeCell="A3" sqref="A3"/>
      <selection pane="bottomRight" activeCell="V114" sqref="V114"/>
    </sheetView>
  </sheetViews>
  <sheetFormatPr defaultColWidth="9.140625" defaultRowHeight="15"/>
  <cols>
    <col min="1" max="1" width="3.7109375" style="203" customWidth="1"/>
    <col min="2" max="2" width="43.85546875" style="203" customWidth="1"/>
    <col min="3" max="5" width="9.140625" style="203" customWidth="1"/>
    <col min="6" max="6" width="10.140625" style="203" customWidth="1"/>
    <col min="7" max="8" width="9.140625" style="203" customWidth="1"/>
    <col min="9" max="9" width="9.85546875" style="203" bestFit="1" customWidth="1"/>
    <col min="10" max="11" width="9.140625" style="203" customWidth="1"/>
    <col min="12" max="16384" width="9.140625" style="203"/>
  </cols>
  <sheetData>
    <row r="1" spans="2:25">
      <c r="H1" s="392"/>
    </row>
    <row r="2" spans="2:25">
      <c r="B2" s="317" t="s">
        <v>195</v>
      </c>
      <c r="C2" s="317"/>
      <c r="D2" s="317">
        <v>2009</v>
      </c>
      <c r="E2" s="317">
        <f>D2+1</f>
        <v>2010</v>
      </c>
      <c r="F2" s="317">
        <f t="shared" ref="F2:O2" si="0">E2+1</f>
        <v>2011</v>
      </c>
      <c r="G2" s="317">
        <f t="shared" si="0"/>
        <v>2012</v>
      </c>
      <c r="H2" s="317">
        <f t="shared" si="0"/>
        <v>2013</v>
      </c>
      <c r="I2" s="317">
        <f t="shared" si="0"/>
        <v>2014</v>
      </c>
      <c r="J2" s="317">
        <f t="shared" si="0"/>
        <v>2015</v>
      </c>
      <c r="K2" s="317">
        <f t="shared" si="0"/>
        <v>2016</v>
      </c>
      <c r="L2" s="317">
        <f t="shared" si="0"/>
        <v>2017</v>
      </c>
      <c r="M2" s="317">
        <f t="shared" si="0"/>
        <v>2018</v>
      </c>
      <c r="N2" s="317">
        <f t="shared" si="0"/>
        <v>2019</v>
      </c>
      <c r="O2" s="317">
        <f t="shared" si="0"/>
        <v>2020</v>
      </c>
      <c r="P2" s="317">
        <f t="shared" ref="P2" si="1">O2+1</f>
        <v>2021</v>
      </c>
      <c r="Q2" s="317">
        <f t="shared" ref="Q2" si="2">P2+1</f>
        <v>2022</v>
      </c>
      <c r="R2" s="317">
        <f t="shared" ref="R2" si="3">Q2+1</f>
        <v>2023</v>
      </c>
      <c r="S2" s="317">
        <f t="shared" ref="S2" si="4">R2+1</f>
        <v>2024</v>
      </c>
      <c r="T2" s="317">
        <f t="shared" ref="T2" si="5">S2+1</f>
        <v>2025</v>
      </c>
      <c r="U2" s="317">
        <f t="shared" ref="U2" si="6">T2+1</f>
        <v>2026</v>
      </c>
      <c r="V2" s="317">
        <f t="shared" ref="V2" si="7">U2+1</f>
        <v>2027</v>
      </c>
      <c r="W2" s="317">
        <f t="shared" ref="W2" si="8">V2+1</f>
        <v>2028</v>
      </c>
      <c r="X2" s="317">
        <f t="shared" ref="X2" si="9">W2+1</f>
        <v>2029</v>
      </c>
      <c r="Y2" s="317">
        <f t="shared" ref="Y2" si="10">X2+1</f>
        <v>2030</v>
      </c>
    </row>
    <row r="3" spans="2:25">
      <c r="B3" s="203" t="s">
        <v>169</v>
      </c>
      <c r="D3" s="468">
        <v>4599</v>
      </c>
      <c r="E3" s="468">
        <v>5214</v>
      </c>
      <c r="F3" s="468">
        <v>5720</v>
      </c>
      <c r="G3" s="468">
        <v>6210</v>
      </c>
      <c r="H3" s="468">
        <v>6573</v>
      </c>
      <c r="I3" s="468">
        <v>7174</v>
      </c>
      <c r="J3" s="468">
        <v>7487</v>
      </c>
      <c r="K3" s="468">
        <v>7868</v>
      </c>
      <c r="L3" s="468">
        <v>8135</v>
      </c>
      <c r="M3" s="468">
        <v>8428</v>
      </c>
      <c r="N3" s="468">
        <f>Quarts!AX7</f>
        <v>8836.6749999999993</v>
      </c>
      <c r="O3" s="468">
        <v>8955</v>
      </c>
      <c r="P3" s="468">
        <v>9568.6</v>
      </c>
      <c r="Q3" s="468">
        <v>11560.218000000001</v>
      </c>
      <c r="R3" s="468">
        <v>15437.906999999999</v>
      </c>
      <c r="S3" s="392">
        <f t="shared" ref="S3" si="11">(R3+S5)</f>
        <v>16937.906999999999</v>
      </c>
      <c r="T3" s="392">
        <f t="shared" ref="T3" si="12">(S3+T5)</f>
        <v>17937.906999999999</v>
      </c>
      <c r="U3" s="392">
        <f t="shared" ref="U3" si="13">(T3+U5)</f>
        <v>18187.906999999999</v>
      </c>
      <c r="V3" s="392">
        <f t="shared" ref="V3" si="14">(U3+V5)</f>
        <v>18437.906999999999</v>
      </c>
      <c r="W3" s="392">
        <f t="shared" ref="W3" si="15">(V3+W5)</f>
        <v>18687.906999999999</v>
      </c>
      <c r="X3" s="392">
        <f t="shared" ref="X3" si="16">(W3+X5)</f>
        <v>18937.906999999999</v>
      </c>
      <c r="Y3" s="392">
        <f t="shared" ref="Y3" si="17">(X3+Y5)</f>
        <v>19187.906999999999</v>
      </c>
    </row>
    <row r="4" spans="2:25">
      <c r="B4" s="203" t="s">
        <v>2</v>
      </c>
      <c r="D4" s="392"/>
      <c r="E4" s="392"/>
      <c r="F4" s="392"/>
      <c r="G4" s="337">
        <f>G3/F3-1</f>
        <v>8.5664335664335622E-2</v>
      </c>
      <c r="H4" s="337">
        <f t="shared" ref="H4:O4" si="18">H3/G3-1</f>
        <v>5.8454106280193319E-2</v>
      </c>
      <c r="I4" s="337">
        <f t="shared" si="18"/>
        <v>9.1434656929864522E-2</v>
      </c>
      <c r="J4" s="337">
        <f t="shared" si="18"/>
        <v>4.362977418455527E-2</v>
      </c>
      <c r="K4" s="337">
        <f t="shared" si="18"/>
        <v>5.0888206224121824E-2</v>
      </c>
      <c r="L4" s="337">
        <f t="shared" si="18"/>
        <v>3.3934926283680777E-2</v>
      </c>
      <c r="M4" s="337">
        <f t="shared" si="18"/>
        <v>3.6017209588199206E-2</v>
      </c>
      <c r="N4" s="337">
        <f t="shared" si="18"/>
        <v>4.849015187470318E-2</v>
      </c>
      <c r="O4" s="337">
        <f t="shared" si="18"/>
        <v>1.3390217474332999E-2</v>
      </c>
      <c r="P4" s="337">
        <f t="shared" ref="P4" si="19">P3/O3-1</f>
        <v>6.8520379676158649E-2</v>
      </c>
      <c r="Q4" s="337">
        <f t="shared" ref="Q4" si="20">Q3/P3-1</f>
        <v>0.20814100286353288</v>
      </c>
      <c r="R4" s="337">
        <f t="shared" ref="R4" si="21">R3/Q3-1</f>
        <v>0.33543389925691702</v>
      </c>
      <c r="S4" s="337">
        <f t="shared" ref="S4" si="22">S3/R3-1</f>
        <v>9.716343024996843E-2</v>
      </c>
      <c r="T4" s="337">
        <f t="shared" ref="T4" si="23">T3/S3-1</f>
        <v>5.9039171722928829E-2</v>
      </c>
      <c r="U4" s="337">
        <f t="shared" ref="U4" si="24">U3/T3-1</f>
        <v>1.3936966001663498E-2</v>
      </c>
      <c r="V4" s="337">
        <f t="shared" ref="V4" si="25">V3/U3-1</f>
        <v>1.3745396872768323E-2</v>
      </c>
      <c r="W4" s="337">
        <f t="shared" ref="W4" si="26">W3/V3-1</f>
        <v>1.3559022724217051E-2</v>
      </c>
      <c r="X4" s="337">
        <f t="shared" ref="X4" si="27">X3/W3-1</f>
        <v>1.337763506635592E-2</v>
      </c>
      <c r="Y4" s="337">
        <f t="shared" ref="Y4" si="28">Y3/X3-1</f>
        <v>1.320103641864967E-2</v>
      </c>
    </row>
    <row r="5" spans="2:25">
      <c r="B5" s="203" t="s">
        <v>186</v>
      </c>
      <c r="D5" s="392"/>
      <c r="E5" s="392">
        <f>E3-D3</f>
        <v>615</v>
      </c>
      <c r="F5" s="392">
        <f t="shared" ref="F5:R5" si="29">F3-E3</f>
        <v>506</v>
      </c>
      <c r="G5" s="392">
        <f t="shared" si="29"/>
        <v>490</v>
      </c>
      <c r="H5" s="392">
        <f t="shared" si="29"/>
        <v>363</v>
      </c>
      <c r="I5" s="392">
        <f t="shared" si="29"/>
        <v>601</v>
      </c>
      <c r="J5" s="392">
        <f t="shared" si="29"/>
        <v>313</v>
      </c>
      <c r="K5" s="392">
        <f t="shared" si="29"/>
        <v>381</v>
      </c>
      <c r="L5" s="392">
        <f t="shared" si="29"/>
        <v>267</v>
      </c>
      <c r="M5" s="392">
        <f t="shared" si="29"/>
        <v>293</v>
      </c>
      <c r="N5" s="392">
        <f t="shared" si="29"/>
        <v>408.67499999999927</v>
      </c>
      <c r="O5" s="392">
        <f t="shared" si="29"/>
        <v>118.32500000000073</v>
      </c>
      <c r="P5" s="392">
        <f t="shared" si="29"/>
        <v>613.60000000000036</v>
      </c>
      <c r="Q5" s="392">
        <f t="shared" si="29"/>
        <v>1991.6180000000004</v>
      </c>
      <c r="R5" s="392">
        <f t="shared" si="29"/>
        <v>3877.6889999999985</v>
      </c>
      <c r="S5" s="468">
        <v>1500</v>
      </c>
      <c r="T5" s="468">
        <v>1000</v>
      </c>
      <c r="U5" s="468">
        <v>250</v>
      </c>
      <c r="V5" s="468">
        <v>250</v>
      </c>
      <c r="W5" s="468">
        <v>250</v>
      </c>
      <c r="X5" s="468">
        <v>250</v>
      </c>
      <c r="Y5" s="468">
        <v>250</v>
      </c>
    </row>
    <row r="6" spans="2:25">
      <c r="B6" s="203" t="s">
        <v>179</v>
      </c>
      <c r="D6" s="468">
        <v>27925</v>
      </c>
      <c r="E6" s="468">
        <v>28625</v>
      </c>
      <c r="F6" s="468">
        <v>29325</v>
      </c>
      <c r="G6" s="468">
        <v>29475</v>
      </c>
      <c r="H6" s="468">
        <v>29625</v>
      </c>
      <c r="I6" s="468">
        <v>30000</v>
      </c>
      <c r="J6" s="468">
        <f t="shared" ref="J6:R6" si="30">I6+125</f>
        <v>30125</v>
      </c>
      <c r="K6" s="468">
        <f t="shared" si="30"/>
        <v>30250</v>
      </c>
      <c r="L6" s="468">
        <f t="shared" si="30"/>
        <v>30375</v>
      </c>
      <c r="M6" s="468">
        <f t="shared" si="30"/>
        <v>30500</v>
      </c>
      <c r="N6" s="468">
        <f t="shared" si="30"/>
        <v>30625</v>
      </c>
      <c r="O6" s="468">
        <f t="shared" si="30"/>
        <v>30750</v>
      </c>
      <c r="P6" s="468">
        <f t="shared" si="30"/>
        <v>30875</v>
      </c>
      <c r="Q6" s="468">
        <f t="shared" si="30"/>
        <v>31000</v>
      </c>
      <c r="R6" s="468">
        <f t="shared" si="30"/>
        <v>31125</v>
      </c>
      <c r="S6" s="469">
        <f t="shared" ref="S6" si="31">R6*1.015</f>
        <v>31591.874999999996</v>
      </c>
      <c r="T6" s="469">
        <f t="shared" ref="T6" si="32">S6*1.015</f>
        <v>32065.753124999992</v>
      </c>
      <c r="U6" s="469">
        <f t="shared" ref="U6" si="33">T6*1.015</f>
        <v>32546.739421874991</v>
      </c>
      <c r="V6" s="469">
        <f t="shared" ref="V6" si="34">U6*1.015</f>
        <v>33034.94051320311</v>
      </c>
      <c r="W6" s="469">
        <f t="shared" ref="W6" si="35">V6*1.015</f>
        <v>33530.464620901155</v>
      </c>
      <c r="X6" s="469">
        <f t="shared" ref="X6" si="36">W6*1.015</f>
        <v>34033.421590214668</v>
      </c>
      <c r="Y6" s="469">
        <f t="shared" ref="Y6" si="37">X6*1.015</f>
        <v>34543.922914067887</v>
      </c>
    </row>
    <row r="7" spans="2:25">
      <c r="B7" s="203" t="s">
        <v>178</v>
      </c>
      <c r="D7" s="337">
        <f>D3/D6</f>
        <v>0.16469113697403759</v>
      </c>
      <c r="E7" s="337">
        <f t="shared" ref="E7:I7" si="38">E3/E6</f>
        <v>0.18214847161572054</v>
      </c>
      <c r="F7" s="337">
        <f t="shared" si="38"/>
        <v>0.19505541346973573</v>
      </c>
      <c r="G7" s="337">
        <f t="shared" si="38"/>
        <v>0.21068702290076335</v>
      </c>
      <c r="H7" s="337">
        <f t="shared" si="38"/>
        <v>0.221873417721519</v>
      </c>
      <c r="I7" s="337">
        <f t="shared" si="38"/>
        <v>0.23913333333333334</v>
      </c>
      <c r="J7" s="337">
        <f t="shared" ref="J7" si="39">J3/J6</f>
        <v>0.24853112033195021</v>
      </c>
      <c r="K7" s="337">
        <f t="shared" ref="K7" si="40">K3/K6</f>
        <v>0.26009917355371903</v>
      </c>
      <c r="L7" s="337">
        <f t="shared" ref="L7" si="41">L3/L6</f>
        <v>0.26781893004115226</v>
      </c>
      <c r="M7" s="337">
        <f t="shared" ref="M7:N7" si="42">M3/M6</f>
        <v>0.27632786885245902</v>
      </c>
      <c r="N7" s="337">
        <f t="shared" si="42"/>
        <v>0.28854448979591835</v>
      </c>
      <c r="O7" s="337">
        <f t="shared" ref="O7" si="43">O3/O6</f>
        <v>0.29121951219512193</v>
      </c>
      <c r="P7" s="337">
        <f t="shared" ref="P7:T7" si="44">P3/P6</f>
        <v>0.30991417004048583</v>
      </c>
      <c r="Q7" s="337">
        <f t="shared" si="44"/>
        <v>0.37291025806451616</v>
      </c>
      <c r="R7" s="337">
        <f t="shared" si="44"/>
        <v>0.49599701204819274</v>
      </c>
      <c r="S7" s="337">
        <f t="shared" si="44"/>
        <v>0.53614756958869969</v>
      </c>
      <c r="T7" s="337">
        <f t="shared" si="44"/>
        <v>0.55941012612657925</v>
      </c>
      <c r="U7" s="337">
        <f t="shared" ref="U7:Y7" si="45">U3/U6</f>
        <v>0.55882424239940065</v>
      </c>
      <c r="V7" s="337">
        <f t="shared" si="45"/>
        <v>0.55813350088010305</v>
      </c>
      <c r="W7" s="337">
        <f t="shared" si="45"/>
        <v>0.5573411287701312</v>
      </c>
      <c r="X7" s="337">
        <f t="shared" si="45"/>
        <v>0.55645028078649161</v>
      </c>
      <c r="Y7" s="337">
        <f t="shared" si="45"/>
        <v>0.55546404059933197</v>
      </c>
    </row>
    <row r="8" spans="2:25">
      <c r="D8" s="337"/>
      <c r="E8" s="337"/>
      <c r="F8" s="337"/>
      <c r="G8" s="337"/>
      <c r="H8" s="337"/>
    </row>
    <row r="9" spans="2:25">
      <c r="B9" s="203" t="s">
        <v>180</v>
      </c>
      <c r="D9" s="392"/>
      <c r="E9" s="392"/>
      <c r="F9" s="468">
        <v>17550.526167973338</v>
      </c>
      <c r="G9" s="468">
        <v>18570.771940864415</v>
      </c>
      <c r="H9" s="468">
        <v>19884.072664359861</v>
      </c>
      <c r="I9" s="468">
        <v>21184.072664359861</v>
      </c>
      <c r="J9" s="468">
        <v>22484.072664359861</v>
      </c>
      <c r="K9" s="468">
        <v>23784.072664359861</v>
      </c>
      <c r="L9" s="468">
        <v>24134.072664359861</v>
      </c>
      <c r="M9" s="468">
        <v>24384.072664359861</v>
      </c>
      <c r="N9" s="468">
        <v>24634.072664359861</v>
      </c>
      <c r="O9" s="468">
        <v>24884.072664359861</v>
      </c>
      <c r="P9" s="468">
        <f>O9*1.005</f>
        <v>25008.493027681656</v>
      </c>
      <c r="Q9" s="468">
        <f t="shared" ref="Q9:T9" si="46">P9*1.005</f>
        <v>25133.535492820061</v>
      </c>
      <c r="R9" s="468">
        <f t="shared" si="46"/>
        <v>25259.20317028416</v>
      </c>
      <c r="S9" s="468">
        <f t="shared" si="46"/>
        <v>25385.499186135577</v>
      </c>
      <c r="T9" s="468">
        <f t="shared" si="46"/>
        <v>25512.426682066252</v>
      </c>
      <c r="U9" s="468">
        <f t="shared" ref="U9" si="47">T9*1.005</f>
        <v>25639.988815476579</v>
      </c>
      <c r="V9" s="468">
        <f t="shared" ref="V9" si="48">U9*1.005</f>
        <v>25768.188759553959</v>
      </c>
      <c r="W9" s="468">
        <f t="shared" ref="W9" si="49">V9*1.005</f>
        <v>25897.029703351727</v>
      </c>
      <c r="X9" s="468">
        <f t="shared" ref="X9" si="50">W9*1.005</f>
        <v>26026.514851868484</v>
      </c>
      <c r="Y9" s="468">
        <f t="shared" ref="Y9" si="51">X9*1.005</f>
        <v>26156.647426127824</v>
      </c>
    </row>
    <row r="10" spans="2:25">
      <c r="B10" s="203" t="s">
        <v>181</v>
      </c>
      <c r="D10" s="337"/>
      <c r="E10" s="337"/>
      <c r="F10" s="338">
        <f>F3/F9</f>
        <v>0.32591615460726225</v>
      </c>
      <c r="G10" s="338">
        <f>G3/G9</f>
        <v>0.3343964386496549</v>
      </c>
      <c r="H10" s="338">
        <f>H3/H9</f>
        <v>0.33056608225846112</v>
      </c>
      <c r="I10" s="338">
        <f t="shared" ref="I10:O10" si="52">I3/I9</f>
        <v>0.33865065106529568</v>
      </c>
      <c r="J10" s="338">
        <f t="shared" si="52"/>
        <v>0.33299127394601669</v>
      </c>
      <c r="K10" s="338">
        <f t="shared" si="52"/>
        <v>0.33080961831192607</v>
      </c>
      <c r="L10" s="338">
        <f t="shared" si="52"/>
        <v>0.33707530896819626</v>
      </c>
      <c r="M10" s="338">
        <f t="shared" si="52"/>
        <v>0.34563545294541775</v>
      </c>
      <c r="N10" s="338">
        <f t="shared" si="52"/>
        <v>0.3587175827724477</v>
      </c>
      <c r="O10" s="338">
        <f t="shared" si="52"/>
        <v>0.35986874499148092</v>
      </c>
      <c r="P10" s="338">
        <f t="shared" ref="P10:T10" si="53">P3/P9</f>
        <v>0.38261401794216909</v>
      </c>
      <c r="Q10" s="338">
        <f t="shared" si="53"/>
        <v>0.4599519237276597</v>
      </c>
      <c r="R10" s="338">
        <f t="shared" si="53"/>
        <v>0.61117949350681466</v>
      </c>
      <c r="S10" s="338">
        <f t="shared" si="53"/>
        <v>0.66722765133768669</v>
      </c>
      <c r="T10" s="338">
        <f t="shared" si="53"/>
        <v>0.70310469574457612</v>
      </c>
      <c r="U10" s="338">
        <f t="shared" ref="U10:Y10" si="54">U3/U9</f>
        <v>0.70935705670127203</v>
      </c>
      <c r="V10" s="338">
        <f t="shared" si="54"/>
        <v>0.71552980196032823</v>
      </c>
      <c r="W10" s="338">
        <f t="shared" si="54"/>
        <v>0.721623568960162</v>
      </c>
      <c r="X10" s="338">
        <f t="shared" si="54"/>
        <v>0.72763899076715677</v>
      </c>
      <c r="Y10" s="338">
        <f t="shared" si="54"/>
        <v>0.73357669610338661</v>
      </c>
    </row>
    <row r="12" spans="2:25">
      <c r="B12" s="203" t="s">
        <v>170</v>
      </c>
      <c r="D12" s="392">
        <v>1593</v>
      </c>
      <c r="E12" s="392">
        <v>1757</v>
      </c>
      <c r="F12" s="468">
        <v>1944</v>
      </c>
      <c r="G12" s="468">
        <v>2100</v>
      </c>
      <c r="H12" s="468">
        <v>2143</v>
      </c>
      <c r="I12" s="468">
        <v>2406</v>
      </c>
      <c r="J12" s="468">
        <v>2834</v>
      </c>
      <c r="K12" s="468">
        <v>2971</v>
      </c>
      <c r="L12" s="468">
        <v>3040</v>
      </c>
      <c r="M12" s="468">
        <v>3202</v>
      </c>
      <c r="N12" s="468">
        <f>Quarts!AX11</f>
        <v>3224.7979999999998</v>
      </c>
      <c r="O12" s="468">
        <v>3413</v>
      </c>
      <c r="P12" s="468">
        <v>3539.82</v>
      </c>
      <c r="Q12" s="468">
        <v>3675.6149999999998</v>
      </c>
      <c r="R12" s="468">
        <v>3914.09</v>
      </c>
      <c r="S12" s="392">
        <f t="shared" ref="S12" si="55">R12+S13</f>
        <v>4064.09</v>
      </c>
      <c r="T12" s="392">
        <f t="shared" ref="T12" si="56">S12+T13</f>
        <v>4214.09</v>
      </c>
      <c r="U12" s="392">
        <f t="shared" ref="U12" si="57">T12+U13</f>
        <v>4354.09</v>
      </c>
      <c r="V12" s="392">
        <f t="shared" ref="V12" si="58">U12+V13</f>
        <v>4484.09</v>
      </c>
      <c r="W12" s="392">
        <f t="shared" ref="W12" si="59">V12+W13</f>
        <v>4604.09</v>
      </c>
      <c r="X12" s="392">
        <f t="shared" ref="X12" si="60">W12+X13</f>
        <v>4714.09</v>
      </c>
      <c r="Y12" s="392">
        <f t="shared" ref="Y12" si="61">X12+Y13</f>
        <v>4814.09</v>
      </c>
    </row>
    <row r="13" spans="2:25">
      <c r="B13" s="203" t="s">
        <v>304</v>
      </c>
      <c r="D13" s="392"/>
      <c r="E13" s="392">
        <f>E12-D12</f>
        <v>164</v>
      </c>
      <c r="F13" s="392">
        <f t="shared" ref="F13:R13" si="62">F12-E12</f>
        <v>187</v>
      </c>
      <c r="G13" s="392">
        <f t="shared" si="62"/>
        <v>156</v>
      </c>
      <c r="H13" s="392">
        <f t="shared" si="62"/>
        <v>43</v>
      </c>
      <c r="I13" s="392">
        <f t="shared" si="62"/>
        <v>263</v>
      </c>
      <c r="J13" s="392">
        <f t="shared" si="62"/>
        <v>428</v>
      </c>
      <c r="K13" s="392">
        <f t="shared" si="62"/>
        <v>137</v>
      </c>
      <c r="L13" s="392">
        <f>L12-K12</f>
        <v>69</v>
      </c>
      <c r="M13" s="392">
        <f>M12-L12</f>
        <v>162</v>
      </c>
      <c r="N13" s="392">
        <f>N12-M12</f>
        <v>22.797999999999774</v>
      </c>
      <c r="O13" s="392">
        <f t="shared" si="62"/>
        <v>188.20200000000023</v>
      </c>
      <c r="P13" s="392">
        <f t="shared" si="62"/>
        <v>126.82000000000016</v>
      </c>
      <c r="Q13" s="392">
        <f t="shared" si="62"/>
        <v>135.79499999999962</v>
      </c>
      <c r="R13" s="392">
        <f t="shared" si="62"/>
        <v>238.47500000000036</v>
      </c>
      <c r="S13" s="470">
        <v>150</v>
      </c>
      <c r="T13" s="470">
        <v>150</v>
      </c>
      <c r="U13" s="470">
        <f t="shared" ref="U13:Y13" si="63">T13-10</f>
        <v>140</v>
      </c>
      <c r="V13" s="470">
        <f t="shared" si="63"/>
        <v>130</v>
      </c>
      <c r="W13" s="470">
        <f t="shared" si="63"/>
        <v>120</v>
      </c>
      <c r="X13" s="470">
        <f t="shared" si="63"/>
        <v>110</v>
      </c>
      <c r="Y13" s="470">
        <f t="shared" si="63"/>
        <v>100</v>
      </c>
    </row>
    <row r="14" spans="2:25">
      <c r="B14" s="203" t="s">
        <v>728</v>
      </c>
      <c r="D14" s="392"/>
      <c r="E14" s="392"/>
      <c r="F14" s="392"/>
      <c r="G14" s="338">
        <f>G12/F12-1</f>
        <v>8.0246913580246826E-2</v>
      </c>
      <c r="H14" s="338">
        <f t="shared" ref="H14:T14" si="64">H12/G12-1</f>
        <v>2.0476190476190537E-2</v>
      </c>
      <c r="I14" s="338">
        <f t="shared" si="64"/>
        <v>0.12272515165655618</v>
      </c>
      <c r="J14" s="338">
        <f t="shared" si="64"/>
        <v>0.17788861180382387</v>
      </c>
      <c r="K14" s="338">
        <f t="shared" si="64"/>
        <v>4.8341566690190518E-2</v>
      </c>
      <c r="L14" s="338">
        <f t="shared" si="64"/>
        <v>2.322450353416361E-2</v>
      </c>
      <c r="M14" s="338">
        <f t="shared" si="64"/>
        <v>5.3289473684210442E-2</v>
      </c>
      <c r="N14" s="338">
        <f t="shared" si="64"/>
        <v>7.1199250468456654E-3</v>
      </c>
      <c r="O14" s="338">
        <f t="shared" si="64"/>
        <v>5.8360864773545629E-2</v>
      </c>
      <c r="P14" s="338">
        <f t="shared" si="64"/>
        <v>3.7157925578669815E-2</v>
      </c>
      <c r="Q14" s="338">
        <f t="shared" si="64"/>
        <v>3.8362120107801934E-2</v>
      </c>
      <c r="R14" s="338">
        <f t="shared" si="64"/>
        <v>6.4880298943170267E-2</v>
      </c>
      <c r="S14" s="338">
        <f t="shared" si="64"/>
        <v>3.8323084037413579E-2</v>
      </c>
      <c r="T14" s="338">
        <f t="shared" si="64"/>
        <v>3.6908631452551521E-2</v>
      </c>
      <c r="U14" s="338">
        <f t="shared" ref="U14" si="65">U12/T12-1</f>
        <v>3.3221881829766264E-2</v>
      </c>
      <c r="V14" s="338">
        <f t="shared" ref="V14" si="66">V12/U12-1</f>
        <v>2.9856985041650574E-2</v>
      </c>
      <c r="W14" s="338">
        <f t="shared" ref="W14" si="67">W12/V12-1</f>
        <v>2.6761282668278374E-2</v>
      </c>
      <c r="X14" s="338">
        <f t="shared" ref="X14" si="68">X12/W12-1</f>
        <v>2.3891800551248954E-2</v>
      </c>
      <c r="Y14" s="338">
        <f t="shared" ref="Y14" si="69">Y12/X12-1</f>
        <v>2.1213001873108039E-2</v>
      </c>
    </row>
    <row r="15" spans="2:25">
      <c r="D15" s="392"/>
      <c r="E15" s="392"/>
      <c r="F15" s="392"/>
      <c r="G15" s="338"/>
      <c r="H15" s="338"/>
      <c r="I15" s="338"/>
      <c r="J15" s="338"/>
      <c r="K15" s="338"/>
      <c r="L15" s="338"/>
      <c r="M15" s="338"/>
      <c r="N15" s="338"/>
      <c r="O15" s="338"/>
      <c r="P15" s="338"/>
      <c r="Q15" s="338"/>
      <c r="R15" s="338"/>
      <c r="S15" s="338"/>
      <c r="T15" s="338"/>
      <c r="U15" s="338"/>
      <c r="V15" s="338"/>
      <c r="W15" s="338"/>
      <c r="X15" s="338"/>
      <c r="Y15" s="338"/>
    </row>
    <row r="16" spans="2:25">
      <c r="B16" s="366" t="s">
        <v>171</v>
      </c>
      <c r="D16" s="392"/>
      <c r="E16" s="392"/>
      <c r="F16" s="392">
        <v>976</v>
      </c>
      <c r="G16" s="392">
        <v>1171</v>
      </c>
      <c r="H16" s="392">
        <v>1324</v>
      </c>
      <c r="I16" s="392"/>
      <c r="J16" s="392"/>
      <c r="K16" s="392"/>
      <c r="L16" s="392"/>
      <c r="M16" s="392"/>
      <c r="N16" s="392"/>
      <c r="O16" s="392"/>
      <c r="P16" s="392"/>
      <c r="Q16" s="392"/>
      <c r="R16" s="392"/>
      <c r="S16" s="392"/>
      <c r="T16" s="392"/>
      <c r="U16" s="392"/>
      <c r="V16" s="392"/>
      <c r="W16" s="392"/>
      <c r="X16" s="392"/>
      <c r="Y16" s="392"/>
    </row>
    <row r="17" spans="2:25">
      <c r="B17" s="203" t="s">
        <v>182</v>
      </c>
      <c r="D17" s="468">
        <v>8050</v>
      </c>
      <c r="E17" s="468">
        <v>10073</v>
      </c>
      <c r="F17" s="468">
        <v>11498</v>
      </c>
      <c r="G17" s="468">
        <v>13019</v>
      </c>
      <c r="H17" s="468">
        <v>14733</v>
      </c>
      <c r="I17" s="468">
        <v>15998.597468354432</v>
      </c>
      <c r="J17" s="468">
        <v>16976.944936708864</v>
      </c>
      <c r="K17" s="468">
        <v>17964.292405063294</v>
      </c>
      <c r="L17" s="468">
        <v>18658.389873417724</v>
      </c>
      <c r="M17" s="468">
        <v>19054.737341772154</v>
      </c>
      <c r="N17" s="468">
        <v>19454.084810126587</v>
      </c>
      <c r="O17" s="468">
        <f>N17</f>
        <v>19454.084810126587</v>
      </c>
      <c r="P17" s="468">
        <f>O17*0.99</f>
        <v>19259.54396202532</v>
      </c>
      <c r="Q17" s="468">
        <f t="shared" ref="Q17:T17" si="70">P17*0.99</f>
        <v>19066.948522405066</v>
      </c>
      <c r="R17" s="468">
        <f t="shared" si="70"/>
        <v>18876.279037181015</v>
      </c>
      <c r="S17" s="468">
        <f t="shared" si="70"/>
        <v>18687.516246809206</v>
      </c>
      <c r="T17" s="468">
        <f t="shared" si="70"/>
        <v>18500.641084341114</v>
      </c>
      <c r="U17" s="468">
        <f t="shared" ref="U17" si="71">T17*0.99</f>
        <v>18315.634673497701</v>
      </c>
      <c r="V17" s="468">
        <f t="shared" ref="V17" si="72">U17*0.99</f>
        <v>18132.478326762724</v>
      </c>
      <c r="W17" s="468">
        <f t="shared" ref="W17" si="73">V17*0.99</f>
        <v>17951.153543495097</v>
      </c>
      <c r="X17" s="468">
        <f t="shared" ref="X17" si="74">W17*0.99</f>
        <v>17771.642008060146</v>
      </c>
      <c r="Y17" s="468">
        <f t="shared" ref="Y17" si="75">X17*0.99</f>
        <v>17593.925587979546</v>
      </c>
    </row>
    <row r="18" spans="2:25">
      <c r="B18" s="203" t="s">
        <v>183</v>
      </c>
      <c r="D18" s="338">
        <f>D12/D17</f>
        <v>0.19788819875776398</v>
      </c>
      <c r="E18" s="338">
        <f t="shared" ref="E18:H18" si="76">E12/E17</f>
        <v>0.17442668519805421</v>
      </c>
      <c r="F18" s="338">
        <f t="shared" si="76"/>
        <v>0.16907288224038963</v>
      </c>
      <c r="G18" s="338">
        <f t="shared" si="76"/>
        <v>0.16130271142176819</v>
      </c>
      <c r="H18" s="338">
        <f t="shared" si="76"/>
        <v>0.14545577954252359</v>
      </c>
      <c r="I18" s="338">
        <f t="shared" ref="I18:J18" si="77">I12/I17</f>
        <v>0.15038818276159016</v>
      </c>
      <c r="J18" s="338">
        <f t="shared" si="77"/>
        <v>0.16693227259470614</v>
      </c>
      <c r="K18" s="338">
        <f t="shared" ref="K18:L18" si="78">K12/K17</f>
        <v>0.16538363621617594</v>
      </c>
      <c r="L18" s="338">
        <f t="shared" si="78"/>
        <v>0.16292938568783119</v>
      </c>
      <c r="M18" s="338">
        <f t="shared" ref="M18:N18" si="79">M12/M17</f>
        <v>0.16804220087466204</v>
      </c>
      <c r="N18" s="338">
        <f t="shared" si="79"/>
        <v>0.16576456983066973</v>
      </c>
      <c r="O18" s="338">
        <f t="shared" ref="O18:P18" si="80">O12/O17</f>
        <v>0.17543873347480238</v>
      </c>
      <c r="P18" s="338">
        <f t="shared" si="80"/>
        <v>0.18379562916856082</v>
      </c>
      <c r="Q18" s="338">
        <f t="shared" ref="Q18:Y18" si="81">Q12/Q17</f>
        <v>0.19277416077779211</v>
      </c>
      <c r="R18" s="338">
        <f t="shared" si="81"/>
        <v>0.20735495551270103</v>
      </c>
      <c r="S18" s="338">
        <f t="shared" si="81"/>
        <v>0.217476198887261</v>
      </c>
      <c r="T18" s="338">
        <f t="shared" si="81"/>
        <v>0.22778075531484113</v>
      </c>
      <c r="U18" s="338">
        <f t="shared" si="81"/>
        <v>0.23772531378889467</v>
      </c>
      <c r="V18" s="338">
        <f t="shared" si="81"/>
        <v>0.24729603527950642</v>
      </c>
      <c r="W18" s="338">
        <f t="shared" si="81"/>
        <v>0.25647878220440989</v>
      </c>
      <c r="X18" s="338">
        <f t="shared" si="81"/>
        <v>0.26525911324693424</v>
      </c>
      <c r="Y18" s="338">
        <f t="shared" si="81"/>
        <v>0.27362227809404083</v>
      </c>
    </row>
    <row r="19" spans="2:25">
      <c r="B19" s="203" t="s">
        <v>2</v>
      </c>
      <c r="D19" s="338"/>
      <c r="E19" s="338">
        <f t="shared" ref="E19:G19" si="82">E18-D18</f>
        <v>-2.3461513559709768E-2</v>
      </c>
      <c r="F19" s="338">
        <f t="shared" si="82"/>
        <v>-5.3538029576645774E-3</v>
      </c>
      <c r="G19" s="338">
        <f t="shared" si="82"/>
        <v>-7.7701708186214413E-3</v>
      </c>
      <c r="H19" s="338">
        <f t="shared" ref="H19:P19" si="83">H18-G18</f>
        <v>-1.5846931879244602E-2</v>
      </c>
      <c r="I19" s="338">
        <f t="shared" si="83"/>
        <v>4.9324032190665723E-3</v>
      </c>
      <c r="J19" s="338">
        <f t="shared" si="83"/>
        <v>1.6544089833115977E-2</v>
      </c>
      <c r="K19" s="338">
        <f t="shared" si="83"/>
        <v>-1.5486363785301993E-3</v>
      </c>
      <c r="L19" s="338">
        <f t="shared" si="83"/>
        <v>-2.454250528344748E-3</v>
      </c>
      <c r="M19" s="338">
        <f t="shared" si="83"/>
        <v>5.1128151868308491E-3</v>
      </c>
      <c r="N19" s="338">
        <f t="shared" si="83"/>
        <v>-2.277631043992312E-3</v>
      </c>
      <c r="O19" s="338">
        <f t="shared" si="83"/>
        <v>9.6741636441326495E-3</v>
      </c>
      <c r="P19" s="338">
        <f t="shared" si="83"/>
        <v>8.3568956937584427E-3</v>
      </c>
      <c r="Q19" s="338">
        <f t="shared" ref="Q19" si="84">Q18-P18</f>
        <v>8.9785316092312883E-3</v>
      </c>
      <c r="R19" s="338">
        <f t="shared" ref="R19" si="85">R18-Q18</f>
        <v>1.458079473490892E-2</v>
      </c>
      <c r="S19" s="338">
        <f t="shared" ref="S19" si="86">S18-R18</f>
        <v>1.0121243374559968E-2</v>
      </c>
      <c r="T19" s="338">
        <f t="shared" ref="T19" si="87">T18-S18</f>
        <v>1.030455642758013E-2</v>
      </c>
      <c r="U19" s="338">
        <f t="shared" ref="U19" si="88">U18-T18</f>
        <v>9.9445584740535387E-3</v>
      </c>
      <c r="V19" s="338">
        <f t="shared" ref="V19" si="89">V18-U18</f>
        <v>9.5707214906117499E-3</v>
      </c>
      <c r="W19" s="338">
        <f t="shared" ref="W19" si="90">W18-V18</f>
        <v>9.1827469249034788E-3</v>
      </c>
      <c r="X19" s="338">
        <f t="shared" ref="X19" si="91">X18-W18</f>
        <v>8.7803310425243475E-3</v>
      </c>
      <c r="Y19" s="338">
        <f t="shared" ref="Y19" si="92">Y18-X18</f>
        <v>8.3631648471065856E-3</v>
      </c>
    </row>
    <row r="21" spans="2:25">
      <c r="B21" s="203" t="s">
        <v>174</v>
      </c>
      <c r="D21" s="392">
        <v>516</v>
      </c>
      <c r="E21" s="392">
        <v>594</v>
      </c>
      <c r="F21" s="468">
        <v>683</v>
      </c>
      <c r="G21" s="468">
        <v>835</v>
      </c>
      <c r="H21" s="468">
        <v>951</v>
      </c>
      <c r="I21" s="468">
        <v>1331</v>
      </c>
      <c r="J21" s="468">
        <v>1831</v>
      </c>
      <c r="K21" s="468">
        <v>2228</v>
      </c>
      <c r="L21" s="468">
        <v>2625</v>
      </c>
      <c r="M21" s="468">
        <v>2942</v>
      </c>
      <c r="N21" s="468">
        <f>Quarts!AX18</f>
        <v>3097.6280000000002</v>
      </c>
      <c r="O21" s="468">
        <v>3510</v>
      </c>
      <c r="P21" s="468">
        <v>3833.893</v>
      </c>
      <c r="Q21" s="468">
        <v>4137.8599999999997</v>
      </c>
      <c r="R21" s="468">
        <v>4721.5519999999997</v>
      </c>
      <c r="S21" s="392">
        <f t="shared" ref="S21" si="93">R21+S22</f>
        <v>5281.5519999999997</v>
      </c>
      <c r="T21" s="392">
        <f t="shared" ref="T21" si="94">S21+T22</f>
        <v>5731.5519999999997</v>
      </c>
      <c r="U21" s="392">
        <f t="shared" ref="U21" si="95">T21+U22</f>
        <v>6031.5519999999997</v>
      </c>
      <c r="V21" s="392">
        <f t="shared" ref="V21" si="96">U21+V22</f>
        <v>6231.5519999999997</v>
      </c>
      <c r="W21" s="392">
        <f t="shared" ref="W21" si="97">V21+W22</f>
        <v>6381.5519999999997</v>
      </c>
      <c r="X21" s="392">
        <f t="shared" ref="X21" si="98">W21+X22</f>
        <v>6531.5519999999997</v>
      </c>
      <c r="Y21" s="392">
        <f t="shared" ref="Y21" si="99">X21+Y22</f>
        <v>6681.5519999999997</v>
      </c>
    </row>
    <row r="22" spans="2:25">
      <c r="B22" s="203" t="s">
        <v>239</v>
      </c>
      <c r="D22" s="392"/>
      <c r="E22" s="392">
        <f>E21-D21</f>
        <v>78</v>
      </c>
      <c r="F22" s="392">
        <f t="shared" ref="F22" si="100">F21-E21</f>
        <v>89</v>
      </c>
      <c r="G22" s="392">
        <f t="shared" ref="G22" si="101">G21-F21</f>
        <v>152</v>
      </c>
      <c r="H22" s="392">
        <f t="shared" ref="H22" si="102">H21-G21</f>
        <v>116</v>
      </c>
      <c r="I22" s="392">
        <f t="shared" ref="I22" si="103">I21-H21</f>
        <v>380</v>
      </c>
      <c r="J22" s="392">
        <f>J21-I21</f>
        <v>500</v>
      </c>
      <c r="K22" s="392">
        <f t="shared" ref="K22:L22" si="104">K21-J21</f>
        <v>397</v>
      </c>
      <c r="L22" s="392">
        <f t="shared" si="104"/>
        <v>397</v>
      </c>
      <c r="M22" s="392">
        <f t="shared" ref="M22:N22" si="105">M21-L21</f>
        <v>317</v>
      </c>
      <c r="N22" s="392">
        <f t="shared" si="105"/>
        <v>155.62800000000016</v>
      </c>
      <c r="O22" s="392">
        <f t="shared" ref="O22" si="106">O21-N21</f>
        <v>412.37199999999984</v>
      </c>
      <c r="P22" s="392">
        <f t="shared" ref="P22:R22" si="107">P21-O21</f>
        <v>323.89300000000003</v>
      </c>
      <c r="Q22" s="392">
        <f t="shared" si="107"/>
        <v>303.96699999999964</v>
      </c>
      <c r="R22" s="392">
        <f t="shared" si="107"/>
        <v>583.69200000000001</v>
      </c>
      <c r="S22" s="470">
        <v>560</v>
      </c>
      <c r="T22" s="470">
        <v>450</v>
      </c>
      <c r="U22" s="470">
        <v>300</v>
      </c>
      <c r="V22" s="470">
        <v>200</v>
      </c>
      <c r="W22" s="470">
        <v>150</v>
      </c>
      <c r="X22" s="470">
        <v>150</v>
      </c>
      <c r="Y22" s="470">
        <v>150</v>
      </c>
    </row>
    <row r="23" spans="2:25">
      <c r="B23" s="203" t="s">
        <v>728</v>
      </c>
      <c r="D23" s="392"/>
      <c r="E23" s="392"/>
      <c r="F23" s="392"/>
      <c r="G23" s="338">
        <f>G21/F21-1</f>
        <v>0.2225475841874085</v>
      </c>
      <c r="H23" s="338">
        <f t="shared" ref="H23:T23" si="108">H21/G21-1</f>
        <v>0.13892215568862265</v>
      </c>
      <c r="I23" s="338">
        <f t="shared" si="108"/>
        <v>0.39957939011566768</v>
      </c>
      <c r="J23" s="338">
        <f t="shared" si="108"/>
        <v>0.37565740045078888</v>
      </c>
      <c r="K23" s="338">
        <f t="shared" si="108"/>
        <v>0.21682140906608405</v>
      </c>
      <c r="L23" s="338">
        <f t="shared" si="108"/>
        <v>0.17818671454219026</v>
      </c>
      <c r="M23" s="338">
        <f t="shared" si="108"/>
        <v>0.12076190476190485</v>
      </c>
      <c r="N23" s="338">
        <f t="shared" si="108"/>
        <v>5.2898708361658775E-2</v>
      </c>
      <c r="O23" s="338">
        <f t="shared" si="108"/>
        <v>0.13312508797053746</v>
      </c>
      <c r="P23" s="338">
        <f t="shared" si="108"/>
        <v>9.2277207977208064E-2</v>
      </c>
      <c r="Q23" s="338">
        <f t="shared" si="108"/>
        <v>7.9284163642542982E-2</v>
      </c>
      <c r="R23" s="338">
        <f t="shared" si="108"/>
        <v>0.14106132155268658</v>
      </c>
      <c r="S23" s="338">
        <f t="shared" si="108"/>
        <v>0.11860506884177058</v>
      </c>
      <c r="T23" s="338">
        <f t="shared" si="108"/>
        <v>8.5202228435883987E-2</v>
      </c>
      <c r="U23" s="338">
        <f t="shared" ref="U23" si="109">U21/T21-1</f>
        <v>5.2341843884518457E-2</v>
      </c>
      <c r="V23" s="338">
        <f t="shared" ref="V23" si="110">V21/U21-1</f>
        <v>3.3158961408274346E-2</v>
      </c>
      <c r="W23" s="338">
        <f t="shared" ref="W23" si="111">W21/V21-1</f>
        <v>2.4071050036973185E-2</v>
      </c>
      <c r="X23" s="338">
        <f t="shared" ref="X23" si="112">X21/W21-1</f>
        <v>2.3505253894350542E-2</v>
      </c>
      <c r="Y23" s="338">
        <f t="shared" ref="Y23" si="113">Y21/X21-1</f>
        <v>2.2965445272425278E-2</v>
      </c>
    </row>
    <row r="24" spans="2:25">
      <c r="D24" s="392"/>
      <c r="E24" s="392"/>
      <c r="F24" s="392"/>
      <c r="G24" s="338"/>
      <c r="H24" s="338"/>
      <c r="I24" s="338"/>
      <c r="J24" s="338"/>
      <c r="K24" s="338"/>
      <c r="L24" s="338"/>
      <c r="M24" s="338"/>
      <c r="N24" s="338"/>
      <c r="O24" s="338"/>
      <c r="P24" s="338"/>
      <c r="Q24" s="338"/>
      <c r="R24" s="338"/>
      <c r="S24" s="338"/>
      <c r="T24" s="338"/>
      <c r="U24" s="338"/>
      <c r="V24" s="338"/>
      <c r="W24" s="338"/>
      <c r="X24" s="338"/>
      <c r="Y24" s="338"/>
    </row>
    <row r="25" spans="2:25">
      <c r="D25" s="392"/>
      <c r="E25" s="392"/>
      <c r="F25" s="392"/>
      <c r="G25" s="392"/>
      <c r="H25" s="392"/>
      <c r="I25" s="392"/>
      <c r="J25" s="392"/>
      <c r="K25" s="392"/>
      <c r="L25" s="392"/>
      <c r="M25" s="392"/>
      <c r="N25" s="392"/>
      <c r="O25" s="392"/>
      <c r="P25" s="392"/>
      <c r="Q25" s="392"/>
      <c r="R25" s="392"/>
      <c r="S25" s="392"/>
      <c r="T25" s="392"/>
      <c r="U25" s="392"/>
      <c r="V25" s="392"/>
      <c r="W25" s="392"/>
      <c r="X25" s="392"/>
      <c r="Y25" s="392"/>
    </row>
    <row r="26" spans="2:25">
      <c r="B26" s="203" t="s">
        <v>184</v>
      </c>
      <c r="D26" s="468">
        <v>9713</v>
      </c>
      <c r="E26" s="468">
        <v>11570</v>
      </c>
      <c r="F26" s="468">
        <v>12586</v>
      </c>
      <c r="G26" s="468">
        <v>13303.556999999999</v>
      </c>
      <c r="H26" s="468">
        <v>14304</v>
      </c>
      <c r="I26" s="468">
        <v>14104</v>
      </c>
      <c r="J26" s="468">
        <v>14354</v>
      </c>
      <c r="K26" s="468">
        <v>15699</v>
      </c>
      <c r="L26" s="468">
        <v>16738</v>
      </c>
      <c r="M26" s="468">
        <v>18360</v>
      </c>
      <c r="N26" s="468">
        <v>19403.324640287767</v>
      </c>
      <c r="O26" s="468">
        <v>20379.149280575537</v>
      </c>
      <c r="P26" s="468">
        <v>21438.317023381296</v>
      </c>
      <c r="Q26" s="468">
        <v>22515.900106115107</v>
      </c>
      <c r="R26" s="468">
        <v>23612.16591880126</v>
      </c>
      <c r="S26" s="468">
        <v>24727.385357730524</v>
      </c>
      <c r="T26" s="468">
        <v>25861.832868846494</v>
      </c>
      <c r="U26" s="468">
        <v>25861.832868846494</v>
      </c>
      <c r="V26" s="468">
        <v>25861.832868846494</v>
      </c>
      <c r="W26" s="468">
        <v>25861.832868846494</v>
      </c>
      <c r="X26" s="468">
        <v>25861.832868846494</v>
      </c>
      <c r="Y26" s="468">
        <v>25861.832868846494</v>
      </c>
    </row>
    <row r="27" spans="2:25">
      <c r="B27" s="203" t="s">
        <v>181</v>
      </c>
      <c r="D27" s="338">
        <f>D21/D26</f>
        <v>5.3124678266241121E-2</v>
      </c>
      <c r="E27" s="338">
        <f t="shared" ref="E27:H27" si="114">E21/E26</f>
        <v>5.1339671564390663E-2</v>
      </c>
      <c r="F27" s="338">
        <f t="shared" si="114"/>
        <v>5.4266645479103766E-2</v>
      </c>
      <c r="G27" s="338">
        <f t="shared" si="114"/>
        <v>6.2765168743968258E-2</v>
      </c>
      <c r="H27" s="338">
        <f t="shared" si="114"/>
        <v>6.6484899328859065E-2</v>
      </c>
      <c r="I27" s="338">
        <f t="shared" ref="I27:J27" si="115">I21/I26</f>
        <v>9.4370391378332391E-2</v>
      </c>
      <c r="J27" s="338">
        <f t="shared" si="115"/>
        <v>0.12756026194788908</v>
      </c>
      <c r="K27" s="338">
        <f t="shared" ref="K27:L27" si="116">K21/K26</f>
        <v>0.14191986750748456</v>
      </c>
      <c r="L27" s="338">
        <f t="shared" si="116"/>
        <v>0.15682877285219263</v>
      </c>
      <c r="M27" s="338">
        <f t="shared" ref="M27:N27" si="117">M21/M26</f>
        <v>0.16023965141612201</v>
      </c>
      <c r="N27" s="338">
        <f t="shared" si="117"/>
        <v>0.15964418765474306</v>
      </c>
      <c r="O27" s="338">
        <f t="shared" ref="O27:P27" si="118">O21/O26</f>
        <v>0.17223486376566119</v>
      </c>
      <c r="P27" s="338">
        <f t="shared" si="118"/>
        <v>0.17883367410877621</v>
      </c>
      <c r="Q27" s="338">
        <f t="shared" ref="Q27:Y27" si="119">Q21/Q26</f>
        <v>0.18377502034112311</v>
      </c>
      <c r="R27" s="338">
        <f t="shared" si="119"/>
        <v>0.19996268094323569</v>
      </c>
      <c r="S27" s="338">
        <f t="shared" si="119"/>
        <v>0.21359120358225936</v>
      </c>
      <c r="T27" s="338">
        <f t="shared" si="119"/>
        <v>0.22162203387000862</v>
      </c>
      <c r="U27" s="338">
        <f t="shared" si="119"/>
        <v>0.23322213976820208</v>
      </c>
      <c r="V27" s="338">
        <f t="shared" si="119"/>
        <v>0.24095554370033107</v>
      </c>
      <c r="W27" s="338">
        <f t="shared" si="119"/>
        <v>0.24675559664942781</v>
      </c>
      <c r="X27" s="338">
        <f t="shared" si="119"/>
        <v>0.25255564959852456</v>
      </c>
      <c r="Y27" s="338">
        <f t="shared" si="119"/>
        <v>0.2583557025476213</v>
      </c>
    </row>
    <row r="28" spans="2:25">
      <c r="B28" s="203" t="s">
        <v>2</v>
      </c>
      <c r="D28" s="338"/>
      <c r="E28" s="338">
        <f t="shared" ref="E28" si="120">E27-D27</f>
        <v>-1.7850067018504584E-3</v>
      </c>
      <c r="F28" s="338">
        <f t="shared" ref="F28" si="121">F27-E27</f>
        <v>2.9269739147131033E-3</v>
      </c>
      <c r="G28" s="338">
        <f t="shared" ref="G28" si="122">G27-F27</f>
        <v>8.4985232648644923E-3</v>
      </c>
      <c r="H28" s="338">
        <f t="shared" ref="H28:P28" si="123">H27-G27</f>
        <v>3.7197305848908069E-3</v>
      </c>
      <c r="I28" s="338">
        <f t="shared" si="123"/>
        <v>2.7885492049473326E-2</v>
      </c>
      <c r="J28" s="338">
        <f t="shared" si="123"/>
        <v>3.318987056955669E-2</v>
      </c>
      <c r="K28" s="338">
        <f t="shared" si="123"/>
        <v>1.4359605559595479E-2</v>
      </c>
      <c r="L28" s="338">
        <f t="shared" si="123"/>
        <v>1.4908905344708068E-2</v>
      </c>
      <c r="M28" s="338">
        <f t="shared" si="123"/>
        <v>3.4108785639293815E-3</v>
      </c>
      <c r="N28" s="338">
        <f t="shared" si="123"/>
        <v>-5.9546376137895041E-4</v>
      </c>
      <c r="O28" s="338">
        <f t="shared" si="123"/>
        <v>1.2590676110918131E-2</v>
      </c>
      <c r="P28" s="338">
        <f t="shared" si="123"/>
        <v>6.5988103431150191E-3</v>
      </c>
      <c r="Q28" s="338">
        <f t="shared" ref="Q28" si="124">Q27-P27</f>
        <v>4.9413462323469048E-3</v>
      </c>
      <c r="R28" s="338">
        <f t="shared" ref="R28" si="125">R27-Q27</f>
        <v>1.6187660602112575E-2</v>
      </c>
      <c r="S28" s="338">
        <f t="shared" ref="S28" si="126">S27-R27</f>
        <v>1.3628522639023671E-2</v>
      </c>
      <c r="T28" s="338">
        <f t="shared" ref="T28" si="127">T27-S27</f>
        <v>8.0308302877492577E-3</v>
      </c>
      <c r="U28" s="338">
        <f t="shared" ref="U28" si="128">U27-T27</f>
        <v>1.1600105898193463E-2</v>
      </c>
      <c r="V28" s="338">
        <f t="shared" ref="V28" si="129">V27-U27</f>
        <v>7.7334039321289849E-3</v>
      </c>
      <c r="W28" s="338">
        <f t="shared" ref="W28" si="130">W27-V27</f>
        <v>5.8000529490967456E-3</v>
      </c>
      <c r="X28" s="338">
        <f t="shared" ref="X28" si="131">X27-W27</f>
        <v>5.8000529490967456E-3</v>
      </c>
      <c r="Y28" s="338">
        <f t="shared" ref="Y28" si="132">Y27-X27</f>
        <v>5.8000529490967456E-3</v>
      </c>
    </row>
    <row r="30" spans="2:25">
      <c r="B30" s="203" t="s">
        <v>173</v>
      </c>
      <c r="D30" s="392">
        <v>415</v>
      </c>
      <c r="E30" s="392">
        <v>463</v>
      </c>
      <c r="F30" s="468">
        <v>495</v>
      </c>
      <c r="G30" s="468">
        <v>556</v>
      </c>
      <c r="H30" s="468">
        <v>578</v>
      </c>
      <c r="I30" s="468">
        <v>721</v>
      </c>
      <c r="J30" s="468">
        <v>896</v>
      </c>
      <c r="K30" s="468">
        <v>1176</v>
      </c>
      <c r="L30" s="468">
        <v>1467</v>
      </c>
      <c r="M30" s="468">
        <v>1813</v>
      </c>
      <c r="N30" s="468">
        <f>Quarts!AX23</f>
        <v>2130.538</v>
      </c>
      <c r="O30" s="468">
        <v>2627</v>
      </c>
      <c r="P30" s="468">
        <v>3031.1190000000001</v>
      </c>
      <c r="Q30" s="468">
        <v>3404.125</v>
      </c>
      <c r="R30" s="468">
        <v>4082.0549999999998</v>
      </c>
      <c r="S30" s="392">
        <f t="shared" ref="S30:Y30" si="133">R30+S31</f>
        <v>4682.0550000000003</v>
      </c>
      <c r="T30" s="392">
        <f t="shared" si="133"/>
        <v>5082.0550000000003</v>
      </c>
      <c r="U30" s="392">
        <f t="shared" si="133"/>
        <v>5182.0550000000003</v>
      </c>
      <c r="V30" s="392">
        <f t="shared" si="133"/>
        <v>5282.0550000000003</v>
      </c>
      <c r="W30" s="392">
        <f t="shared" si="133"/>
        <v>5332.0550000000003</v>
      </c>
      <c r="X30" s="392">
        <f t="shared" si="133"/>
        <v>5382.0550000000003</v>
      </c>
      <c r="Y30" s="392">
        <f t="shared" si="133"/>
        <v>5432.0550000000003</v>
      </c>
    </row>
    <row r="31" spans="2:25">
      <c r="B31" s="203" t="s">
        <v>239</v>
      </c>
      <c r="D31" s="392"/>
      <c r="E31" s="392">
        <f>E30-D30</f>
        <v>48</v>
      </c>
      <c r="F31" s="392">
        <f t="shared" ref="F31:R31" si="134">F30-E30</f>
        <v>32</v>
      </c>
      <c r="G31" s="392">
        <f t="shared" si="134"/>
        <v>61</v>
      </c>
      <c r="H31" s="392">
        <f t="shared" si="134"/>
        <v>22</v>
      </c>
      <c r="I31" s="392">
        <f t="shared" si="134"/>
        <v>143</v>
      </c>
      <c r="J31" s="392">
        <f t="shared" si="134"/>
        <v>175</v>
      </c>
      <c r="K31" s="392">
        <f t="shared" si="134"/>
        <v>280</v>
      </c>
      <c r="L31" s="392">
        <f t="shared" si="134"/>
        <v>291</v>
      </c>
      <c r="M31" s="392">
        <f>M30-L30</f>
        <v>346</v>
      </c>
      <c r="N31" s="392">
        <f>N30-M30</f>
        <v>317.53800000000001</v>
      </c>
      <c r="O31" s="392">
        <f t="shared" si="134"/>
        <v>496.46199999999999</v>
      </c>
      <c r="P31" s="392">
        <f t="shared" si="134"/>
        <v>404.11900000000014</v>
      </c>
      <c r="Q31" s="392">
        <f t="shared" si="134"/>
        <v>373.00599999999986</v>
      </c>
      <c r="R31" s="392">
        <f t="shared" si="134"/>
        <v>677.92999999999984</v>
      </c>
      <c r="S31" s="470">
        <v>600</v>
      </c>
      <c r="T31" s="470">
        <v>400</v>
      </c>
      <c r="U31" s="470">
        <v>100</v>
      </c>
      <c r="V31" s="470">
        <v>100</v>
      </c>
      <c r="W31" s="470">
        <v>50</v>
      </c>
      <c r="X31" s="470">
        <v>50</v>
      </c>
      <c r="Y31" s="470">
        <v>50</v>
      </c>
    </row>
    <row r="32" spans="2:25">
      <c r="B32" s="203" t="s">
        <v>728</v>
      </c>
      <c r="D32" s="392"/>
      <c r="E32" s="392"/>
      <c r="F32" s="392"/>
      <c r="G32" s="338">
        <f>G30/F30-1</f>
        <v>0.12323232323232314</v>
      </c>
      <c r="H32" s="338">
        <f t="shared" ref="H32:T32" si="135">H30/G30-1</f>
        <v>3.9568345323740983E-2</v>
      </c>
      <c r="I32" s="338">
        <f t="shared" si="135"/>
        <v>0.24740484429065734</v>
      </c>
      <c r="J32" s="338">
        <f t="shared" si="135"/>
        <v>0.24271844660194164</v>
      </c>
      <c r="K32" s="338">
        <f t="shared" si="135"/>
        <v>0.3125</v>
      </c>
      <c r="L32" s="338">
        <f t="shared" si="135"/>
        <v>0.24744897959183665</v>
      </c>
      <c r="M32" s="338">
        <f t="shared" si="135"/>
        <v>0.23585548738922979</v>
      </c>
      <c r="N32" s="338">
        <f t="shared" si="135"/>
        <v>0.17514506343077763</v>
      </c>
      <c r="O32" s="338">
        <f t="shared" si="135"/>
        <v>0.23302189400048245</v>
      </c>
      <c r="P32" s="338">
        <f t="shared" si="135"/>
        <v>0.15383288922725558</v>
      </c>
      <c r="Q32" s="338">
        <f t="shared" si="135"/>
        <v>0.12305884394509081</v>
      </c>
      <c r="R32" s="338">
        <f t="shared" si="135"/>
        <v>0.1991495611941394</v>
      </c>
      <c r="S32" s="338">
        <f t="shared" si="135"/>
        <v>0.14698479074877735</v>
      </c>
      <c r="T32" s="338">
        <f t="shared" si="135"/>
        <v>8.5432571808746305E-2</v>
      </c>
      <c r="U32" s="338">
        <f t="shared" ref="U32" si="136">U30/T30-1</f>
        <v>1.9677079449159862E-2</v>
      </c>
      <c r="V32" s="338">
        <f t="shared" ref="V32" si="137">V30/U30-1</f>
        <v>1.9297363690659486E-2</v>
      </c>
      <c r="W32" s="338">
        <f t="shared" ref="W32" si="138">W30/V30-1</f>
        <v>9.4660127545056483E-3</v>
      </c>
      <c r="X32" s="338">
        <f t="shared" ref="X32" si="139">X30/W30-1</f>
        <v>9.3772476090363543E-3</v>
      </c>
      <c r="Y32" s="338">
        <f t="shared" ref="Y32" si="140">Y30/X30-1</f>
        <v>9.2901317433582431E-3</v>
      </c>
    </row>
    <row r="33" spans="2:25">
      <c r="D33" s="392"/>
      <c r="E33" s="392"/>
      <c r="F33" s="392"/>
      <c r="G33" s="338"/>
      <c r="H33" s="338"/>
      <c r="I33" s="338"/>
      <c r="J33" s="338"/>
      <c r="K33" s="338"/>
      <c r="L33" s="338"/>
      <c r="M33" s="338"/>
      <c r="N33" s="338"/>
      <c r="O33" s="338"/>
      <c r="P33" s="338"/>
      <c r="Q33" s="338"/>
      <c r="R33" s="338"/>
      <c r="S33" s="338"/>
      <c r="T33" s="338"/>
      <c r="U33" s="338"/>
      <c r="V33" s="338"/>
      <c r="W33" s="338"/>
      <c r="X33" s="338"/>
      <c r="Y33" s="338"/>
    </row>
    <row r="34" spans="2:25">
      <c r="D34" s="392"/>
      <c r="E34" s="392"/>
      <c r="F34" s="392"/>
      <c r="G34" s="392"/>
      <c r="H34" s="392"/>
      <c r="I34" s="392"/>
      <c r="J34" s="392"/>
      <c r="K34" s="392"/>
      <c r="L34" s="392"/>
      <c r="M34" s="392"/>
      <c r="N34" s="392"/>
      <c r="O34" s="392"/>
      <c r="P34" s="392"/>
      <c r="Q34" s="392"/>
      <c r="R34" s="392"/>
      <c r="S34" s="392"/>
      <c r="T34" s="392"/>
      <c r="U34" s="392"/>
      <c r="V34" s="392"/>
      <c r="W34" s="392"/>
      <c r="X34" s="392"/>
      <c r="Y34" s="392"/>
    </row>
    <row r="35" spans="2:25">
      <c r="B35" s="203" t="s">
        <v>185</v>
      </c>
      <c r="D35" s="468">
        <v>19504</v>
      </c>
      <c r="E35" s="468">
        <v>19891</v>
      </c>
      <c r="F35" s="468">
        <v>19683</v>
      </c>
      <c r="G35" s="468">
        <v>20589</v>
      </c>
      <c r="H35" s="468">
        <v>20590</v>
      </c>
      <c r="I35" s="468">
        <v>20487.05</v>
      </c>
      <c r="J35" s="468">
        <v>20384.614750000001</v>
      </c>
      <c r="K35" s="468">
        <v>20282.69167625</v>
      </c>
      <c r="L35" s="468">
        <v>20181.278217868752</v>
      </c>
      <c r="M35" s="468">
        <v>20080.371826779407</v>
      </c>
      <c r="N35" s="468">
        <v>19979.969967645509</v>
      </c>
      <c r="O35" s="468">
        <v>19880.070117807281</v>
      </c>
      <c r="P35" s="468">
        <f>O35*0.99</f>
        <v>19681.269416629209</v>
      </c>
      <c r="Q35" s="468">
        <f t="shared" ref="Q35:T35" si="141">P35*0.99</f>
        <v>19484.456722462917</v>
      </c>
      <c r="R35" s="468">
        <f t="shared" si="141"/>
        <v>19289.612155238287</v>
      </c>
      <c r="S35" s="468">
        <f t="shared" si="141"/>
        <v>19096.716033685905</v>
      </c>
      <c r="T35" s="468">
        <f t="shared" si="141"/>
        <v>18905.748873349046</v>
      </c>
      <c r="U35" s="468">
        <f t="shared" ref="U35" si="142">T35*0.99</f>
        <v>18716.691384615555</v>
      </c>
      <c r="V35" s="468">
        <f t="shared" ref="V35" si="143">U35*0.99</f>
        <v>18529.5244707694</v>
      </c>
      <c r="W35" s="468">
        <f t="shared" ref="W35" si="144">V35*0.99</f>
        <v>18344.229226061707</v>
      </c>
      <c r="X35" s="468">
        <f t="shared" ref="X35" si="145">W35*0.99</f>
        <v>18160.78693380109</v>
      </c>
      <c r="Y35" s="468">
        <f t="shared" ref="Y35" si="146">X35*0.99</f>
        <v>17979.179064463078</v>
      </c>
    </row>
    <row r="36" spans="2:25">
      <c r="B36" s="203" t="s">
        <v>181</v>
      </c>
      <c r="D36" s="338">
        <f>D30/D35</f>
        <v>2.1277686628383922E-2</v>
      </c>
      <c r="E36" s="338">
        <f t="shared" ref="E36:H36" si="147">E30/E35</f>
        <v>2.3276858880900909E-2</v>
      </c>
      <c r="F36" s="338">
        <f t="shared" si="147"/>
        <v>2.5148605395518976E-2</v>
      </c>
      <c r="G36" s="338">
        <f t="shared" si="147"/>
        <v>2.700471125358201E-2</v>
      </c>
      <c r="H36" s="338">
        <f t="shared" si="147"/>
        <v>2.8071879553181155E-2</v>
      </c>
      <c r="I36" s="338">
        <f t="shared" ref="I36:J36" si="148">I30/I35</f>
        <v>3.5192963359780935E-2</v>
      </c>
      <c r="J36" s="338">
        <f t="shared" si="148"/>
        <v>4.3954718349533684E-2</v>
      </c>
      <c r="K36" s="338">
        <f t="shared" ref="K36:L36" si="149">K30/K35</f>
        <v>5.798047018468639E-2</v>
      </c>
      <c r="L36" s="338">
        <f t="shared" si="149"/>
        <v>7.2691134038333619E-2</v>
      </c>
      <c r="M36" s="338">
        <f t="shared" ref="M36:N36" si="150">M30/M35</f>
        <v>9.0287172749568462E-2</v>
      </c>
      <c r="N36" s="338">
        <f t="shared" si="150"/>
        <v>0.10663369381686152</v>
      </c>
      <c r="O36" s="338">
        <f t="shared" ref="O36:Y36" si="151">O30/O35</f>
        <v>0.13214239106968256</v>
      </c>
      <c r="P36" s="338">
        <f t="shared" si="151"/>
        <v>0.15401034028013103</v>
      </c>
      <c r="Q36" s="338">
        <f t="shared" si="151"/>
        <v>0.17470977243494343</v>
      </c>
      <c r="R36" s="338">
        <f t="shared" si="151"/>
        <v>0.21161934035524282</v>
      </c>
      <c r="S36" s="338">
        <f t="shared" si="151"/>
        <v>0.24517592405631561</v>
      </c>
      <c r="T36" s="338">
        <f t="shared" si="151"/>
        <v>0.2688100341353864</v>
      </c>
      <c r="U36" s="338">
        <f t="shared" si="151"/>
        <v>0.27686811165030284</v>
      </c>
      <c r="V36" s="338">
        <f t="shared" si="151"/>
        <v>0.28506155181329779</v>
      </c>
      <c r="W36" s="338">
        <f t="shared" si="151"/>
        <v>0.29066661424099149</v>
      </c>
      <c r="X36" s="338">
        <f t="shared" si="151"/>
        <v>0.29635582530748439</v>
      </c>
      <c r="Y36" s="338">
        <f t="shared" si="151"/>
        <v>0.30213031309848742</v>
      </c>
    </row>
    <row r="37" spans="2:25">
      <c r="B37" s="203" t="s">
        <v>2</v>
      </c>
      <c r="D37" s="338"/>
      <c r="E37" s="338">
        <f t="shared" ref="E37" si="152">E36-D36</f>
        <v>1.9991722525169869E-3</v>
      </c>
      <c r="F37" s="338">
        <f t="shared" ref="F37" si="153">F36-E36</f>
        <v>1.8717465146180674E-3</v>
      </c>
      <c r="G37" s="338">
        <f t="shared" ref="G37" si="154">G36-F36</f>
        <v>1.8561058580630341E-3</v>
      </c>
      <c r="H37" s="338">
        <f t="shared" ref="H37:P37" si="155">H36-G36</f>
        <v>1.0671682995991444E-3</v>
      </c>
      <c r="I37" s="338">
        <f t="shared" si="155"/>
        <v>7.1210838065997803E-3</v>
      </c>
      <c r="J37" s="338">
        <f t="shared" si="155"/>
        <v>8.7617549897527486E-3</v>
      </c>
      <c r="K37" s="338">
        <f t="shared" si="155"/>
        <v>1.4025751835152707E-2</v>
      </c>
      <c r="L37" s="338">
        <f t="shared" si="155"/>
        <v>1.4710663853647228E-2</v>
      </c>
      <c r="M37" s="338">
        <f t="shared" si="155"/>
        <v>1.7596038711234843E-2</v>
      </c>
      <c r="N37" s="338">
        <f t="shared" si="155"/>
        <v>1.6346521067293063E-2</v>
      </c>
      <c r="O37" s="338">
        <f t="shared" si="155"/>
        <v>2.5508697252821039E-2</v>
      </c>
      <c r="P37" s="338">
        <f t="shared" si="155"/>
        <v>2.1867949210448462E-2</v>
      </c>
      <c r="Q37" s="338">
        <f t="shared" ref="Q37" si="156">Q36-P36</f>
        <v>2.0699432154812403E-2</v>
      </c>
      <c r="R37" s="338">
        <f t="shared" ref="R37" si="157">R36-Q36</f>
        <v>3.6909567920299396E-2</v>
      </c>
      <c r="S37" s="338">
        <f t="shared" ref="S37" si="158">S36-R36</f>
        <v>3.3556583701072784E-2</v>
      </c>
      <c r="T37" s="338">
        <f t="shared" ref="T37" si="159">T36-S36</f>
        <v>2.3634110079070791E-2</v>
      </c>
      <c r="U37" s="338">
        <f t="shared" ref="U37" si="160">U36-T36</f>
        <v>8.0580775149164396E-3</v>
      </c>
      <c r="V37" s="338">
        <f t="shared" ref="V37" si="161">V36-U36</f>
        <v>8.1934401629949472E-3</v>
      </c>
      <c r="W37" s="338">
        <f t="shared" ref="W37" si="162">W36-V36</f>
        <v>5.6050624276937078E-3</v>
      </c>
      <c r="X37" s="338">
        <f t="shared" ref="X37" si="163">X36-W36</f>
        <v>5.6892110664928941E-3</v>
      </c>
      <c r="Y37" s="338">
        <f t="shared" ref="Y37" si="164">Y36-X36</f>
        <v>5.7744877910030357E-3</v>
      </c>
    </row>
    <row r="39" spans="2:25">
      <c r="B39" s="348" t="s">
        <v>192</v>
      </c>
      <c r="C39" s="348"/>
      <c r="D39" s="471">
        <f>D12+D21+D30</f>
        <v>2524</v>
      </c>
      <c r="E39" s="471">
        <f>E12+E21+E30</f>
        <v>2814</v>
      </c>
      <c r="F39" s="471">
        <f>F12+F21+F30</f>
        <v>3122</v>
      </c>
      <c r="G39" s="471">
        <f t="shared" ref="G39:O39" si="165">G12+G21+G30</f>
        <v>3491</v>
      </c>
      <c r="H39" s="471">
        <f t="shared" si="165"/>
        <v>3672</v>
      </c>
      <c r="I39" s="471">
        <f>I12+I21+I30</f>
        <v>4458</v>
      </c>
      <c r="J39" s="471">
        <f t="shared" si="165"/>
        <v>5561</v>
      </c>
      <c r="K39" s="471">
        <f t="shared" si="165"/>
        <v>6375</v>
      </c>
      <c r="L39" s="471">
        <f t="shared" si="165"/>
        <v>7132</v>
      </c>
      <c r="M39" s="471">
        <f t="shared" si="165"/>
        <v>7957</v>
      </c>
      <c r="N39" s="471">
        <f t="shared" si="165"/>
        <v>8452.9639999999999</v>
      </c>
      <c r="O39" s="471">
        <f t="shared" si="165"/>
        <v>9550</v>
      </c>
      <c r="P39" s="471">
        <f t="shared" ref="P39:T39" si="166">P12+P21+P30</f>
        <v>10404.832</v>
      </c>
      <c r="Q39" s="471">
        <f t="shared" si="166"/>
        <v>11217.599999999999</v>
      </c>
      <c r="R39" s="471">
        <f t="shared" si="166"/>
        <v>12717.697</v>
      </c>
      <c r="S39" s="471">
        <f t="shared" si="166"/>
        <v>14027.697</v>
      </c>
      <c r="T39" s="471">
        <f t="shared" si="166"/>
        <v>15027.697</v>
      </c>
      <c r="U39" s="471">
        <f t="shared" ref="U39:Y39" si="167">U12+U21+U30</f>
        <v>15567.697</v>
      </c>
      <c r="V39" s="471">
        <f t="shared" si="167"/>
        <v>15997.697</v>
      </c>
      <c r="W39" s="471">
        <f t="shared" si="167"/>
        <v>16317.697</v>
      </c>
      <c r="X39" s="471">
        <f t="shared" si="167"/>
        <v>16627.697</v>
      </c>
      <c r="Y39" s="471">
        <f t="shared" si="167"/>
        <v>16927.697</v>
      </c>
    </row>
    <row r="40" spans="2:25">
      <c r="B40" s="203" t="s">
        <v>241</v>
      </c>
      <c r="D40" s="392"/>
      <c r="E40" s="392">
        <f>E39-D39</f>
        <v>290</v>
      </c>
      <c r="F40" s="392">
        <f t="shared" ref="F40:T40" si="168">F39-E39</f>
        <v>308</v>
      </c>
      <c r="G40" s="392">
        <f t="shared" si="168"/>
        <v>369</v>
      </c>
      <c r="H40" s="392">
        <f t="shared" si="168"/>
        <v>181</v>
      </c>
      <c r="I40" s="392">
        <f t="shared" si="168"/>
        <v>786</v>
      </c>
      <c r="J40" s="392">
        <f t="shared" si="168"/>
        <v>1103</v>
      </c>
      <c r="K40" s="392">
        <f t="shared" si="168"/>
        <v>814</v>
      </c>
      <c r="L40" s="392">
        <f t="shared" si="168"/>
        <v>757</v>
      </c>
      <c r="M40" s="392">
        <f t="shared" si="168"/>
        <v>825</v>
      </c>
      <c r="N40" s="392">
        <f t="shared" si="168"/>
        <v>495.96399999999994</v>
      </c>
      <c r="O40" s="392">
        <f t="shared" si="168"/>
        <v>1097.0360000000001</v>
      </c>
      <c r="P40" s="392">
        <f t="shared" si="168"/>
        <v>854.83200000000033</v>
      </c>
      <c r="Q40" s="392">
        <f t="shared" si="168"/>
        <v>812.76799999999821</v>
      </c>
      <c r="R40" s="392">
        <f t="shared" si="168"/>
        <v>1500.0970000000016</v>
      </c>
      <c r="S40" s="392">
        <f t="shared" si="168"/>
        <v>1310</v>
      </c>
      <c r="T40" s="392">
        <f t="shared" si="168"/>
        <v>1000</v>
      </c>
      <c r="U40" s="392">
        <f t="shared" ref="U40" si="169">U39-T39</f>
        <v>540</v>
      </c>
      <c r="V40" s="392">
        <f t="shared" ref="V40" si="170">V39-U39</f>
        <v>430</v>
      </c>
      <c r="W40" s="392">
        <f t="shared" ref="W40" si="171">W39-V39</f>
        <v>320</v>
      </c>
      <c r="X40" s="392">
        <f t="shared" ref="X40" si="172">X39-W39</f>
        <v>310</v>
      </c>
      <c r="Y40" s="392">
        <f t="shared" ref="Y40" si="173">Y39-X39</f>
        <v>300</v>
      </c>
    </row>
    <row r="41" spans="2:25">
      <c r="I41" s="203" t="s">
        <v>5</v>
      </c>
    </row>
    <row r="42" spans="2:25">
      <c r="B42" s="203" t="s">
        <v>175</v>
      </c>
      <c r="F42" s="351">
        <v>2000</v>
      </c>
      <c r="G42" s="351">
        <v>2193</v>
      </c>
      <c r="H42" s="351">
        <v>2250</v>
      </c>
      <c r="I42" s="351">
        <v>2560</v>
      </c>
      <c r="J42" s="351">
        <v>3050</v>
      </c>
      <c r="K42" s="351">
        <v>3303</v>
      </c>
      <c r="L42" s="351">
        <v>3405</v>
      </c>
      <c r="M42" s="351">
        <v>3593</v>
      </c>
      <c r="N42" s="343">
        <f>Quarts!AX33</f>
        <v>3628</v>
      </c>
      <c r="O42" s="343">
        <v>3933</v>
      </c>
      <c r="P42" s="343">
        <v>4153.0469999999996</v>
      </c>
      <c r="Q42" s="343">
        <v>4397.9939999999997</v>
      </c>
      <c r="R42" s="343">
        <v>4945.826</v>
      </c>
      <c r="S42" s="336">
        <f t="shared" ref="S42:T42" si="174">(S30+S21+S12)/S47</f>
        <v>5566.5464285714288</v>
      </c>
      <c r="T42" s="336">
        <f t="shared" si="174"/>
        <v>5963.3718253968254</v>
      </c>
      <c r="U42" s="336">
        <f t="shared" ref="U42:Y42" si="175">(U30+U21+U12)/U47</f>
        <v>6177.6575396825401</v>
      </c>
      <c r="V42" s="336">
        <f t="shared" si="175"/>
        <v>6348.2924603174606</v>
      </c>
      <c r="W42" s="336">
        <f t="shared" si="175"/>
        <v>6475.2765873015869</v>
      </c>
      <c r="X42" s="336">
        <f t="shared" si="175"/>
        <v>6598.2924603174606</v>
      </c>
      <c r="Y42" s="336">
        <f t="shared" si="175"/>
        <v>6717.340079365079</v>
      </c>
    </row>
    <row r="43" spans="2:25">
      <c r="B43" s="203" t="s">
        <v>313</v>
      </c>
      <c r="F43" s="337">
        <f>F42/F3</f>
        <v>0.34965034965034963</v>
      </c>
      <c r="G43" s="337">
        <f t="shared" ref="G43:T43" si="176">G42/G3</f>
        <v>0.35314009661835749</v>
      </c>
      <c r="H43" s="337">
        <f t="shared" si="176"/>
        <v>0.34230944774075767</v>
      </c>
      <c r="I43" s="337">
        <f t="shared" ref="I43:J43" si="177">I42/I3</f>
        <v>0.35684415946473375</v>
      </c>
      <c r="J43" s="337">
        <f t="shared" si="177"/>
        <v>0.40737277948443967</v>
      </c>
      <c r="K43" s="337">
        <f t="shared" ref="K43:L43" si="178">K42/K3</f>
        <v>0.41980172852058972</v>
      </c>
      <c r="L43" s="337">
        <f t="shared" si="178"/>
        <v>0.41856177012907192</v>
      </c>
      <c r="M43" s="337">
        <f t="shared" ref="M43:N43" si="179">M42/M3</f>
        <v>0.42631703844328428</v>
      </c>
      <c r="N43" s="337">
        <f t="shared" si="179"/>
        <v>0.41056166487960688</v>
      </c>
      <c r="O43" s="337">
        <f t="shared" ref="O43:P43" si="180">O42/O3</f>
        <v>0.43919597989949749</v>
      </c>
      <c r="P43" s="337">
        <f t="shared" si="180"/>
        <v>0.43402869803315003</v>
      </c>
      <c r="Q43" s="337">
        <f t="shared" si="176"/>
        <v>0.38044213353069978</v>
      </c>
      <c r="R43" s="337">
        <f t="shared" si="176"/>
        <v>0.32036894638632041</v>
      </c>
      <c r="S43" s="337">
        <f t="shared" si="176"/>
        <v>0.32864429050008537</v>
      </c>
      <c r="T43" s="337">
        <f t="shared" si="176"/>
        <v>0.33244524154333199</v>
      </c>
      <c r="U43" s="337">
        <f t="shared" ref="U43:Y43" si="181">U42/U3</f>
        <v>0.33965741850794268</v>
      </c>
      <c r="V43" s="337">
        <f t="shared" si="181"/>
        <v>0.34430656691768002</v>
      </c>
      <c r="W43" s="337">
        <f t="shared" si="181"/>
        <v>0.34649554855455922</v>
      </c>
      <c r="X43" s="337">
        <f t="shared" si="181"/>
        <v>0.34841719627820861</v>
      </c>
      <c r="Y43" s="337">
        <f t="shared" si="181"/>
        <v>0.35008195940104769</v>
      </c>
    </row>
    <row r="44" spans="2:25" ht="15.75" thickBot="1">
      <c r="B44" s="203" t="s">
        <v>187</v>
      </c>
      <c r="G44" s="203">
        <f>G42-F42</f>
        <v>193</v>
      </c>
      <c r="H44" s="203">
        <f t="shared" ref="H44:P44" si="182">H42-G42</f>
        <v>57</v>
      </c>
      <c r="I44" s="203">
        <f t="shared" si="182"/>
        <v>310</v>
      </c>
      <c r="J44" s="203">
        <f t="shared" si="182"/>
        <v>490</v>
      </c>
      <c r="K44" s="203">
        <f t="shared" si="182"/>
        <v>253</v>
      </c>
      <c r="L44" s="203">
        <f t="shared" si="182"/>
        <v>102</v>
      </c>
      <c r="M44" s="203">
        <f t="shared" si="182"/>
        <v>188</v>
      </c>
      <c r="N44" s="203">
        <f t="shared" si="182"/>
        <v>35</v>
      </c>
      <c r="O44" s="203">
        <f t="shared" si="182"/>
        <v>305</v>
      </c>
      <c r="P44" s="336">
        <f t="shared" si="182"/>
        <v>220.04699999999957</v>
      </c>
      <c r="Q44" s="336">
        <f t="shared" ref="Q44" si="183">Q42-P42</f>
        <v>244.94700000000012</v>
      </c>
      <c r="R44" s="336">
        <f t="shared" ref="R44" si="184">R42-Q42</f>
        <v>547.83200000000033</v>
      </c>
      <c r="S44" s="336">
        <f t="shared" ref="S44" si="185">S42-R42</f>
        <v>620.72042857142878</v>
      </c>
      <c r="T44" s="336">
        <f t="shared" ref="T44" si="186">T42-S42</f>
        <v>396.82539682539664</v>
      </c>
      <c r="U44" s="336">
        <f t="shared" ref="U44" si="187">U42-T42</f>
        <v>214.28571428571468</v>
      </c>
      <c r="V44" s="336">
        <f t="shared" ref="V44" si="188">V42-U42</f>
        <v>170.63492063492049</v>
      </c>
      <c r="W44" s="336">
        <f t="shared" ref="W44" si="189">W42-V42</f>
        <v>126.98412698412631</v>
      </c>
      <c r="X44" s="336">
        <f t="shared" ref="X44" si="190">X42-W42</f>
        <v>123.01587301587369</v>
      </c>
      <c r="Y44" s="336">
        <f t="shared" ref="Y44" si="191">Y42-X42</f>
        <v>119.04761904761835</v>
      </c>
    </row>
    <row r="45" spans="2:25" ht="15.75" thickBot="1">
      <c r="B45" s="203" t="s">
        <v>2889</v>
      </c>
      <c r="P45" s="336"/>
      <c r="Q45" s="336"/>
      <c r="R45" s="336"/>
      <c r="S45" s="336"/>
      <c r="T45" s="336"/>
      <c r="U45" s="336"/>
      <c r="V45" s="336"/>
      <c r="W45" s="336"/>
      <c r="X45" s="336"/>
      <c r="Y45" s="472">
        <f>SUM(R44:Y44)/SUM(R5:Y5)</f>
        <v>0.30406930321426051</v>
      </c>
    </row>
    <row r="46" spans="2:25">
      <c r="P46" s="336"/>
      <c r="Q46" s="336"/>
      <c r="R46" s="336"/>
      <c r="S46" s="336"/>
      <c r="T46" s="336"/>
      <c r="U46" s="336"/>
      <c r="V46" s="336"/>
      <c r="W46" s="336"/>
      <c r="X46" s="336"/>
      <c r="Y46" s="336"/>
    </row>
    <row r="47" spans="2:25">
      <c r="B47" s="203" t="s">
        <v>176</v>
      </c>
      <c r="F47" s="349">
        <f t="shared" ref="F47:K47" si="192">(F12+F21+F30)/F42</f>
        <v>1.5609999999999999</v>
      </c>
      <c r="G47" s="349">
        <f t="shared" si="192"/>
        <v>1.5918832649338805</v>
      </c>
      <c r="H47" s="349">
        <f t="shared" si="192"/>
        <v>1.6319999999999999</v>
      </c>
      <c r="I47" s="349">
        <f t="shared" si="192"/>
        <v>1.74140625</v>
      </c>
      <c r="J47" s="349">
        <f t="shared" si="192"/>
        <v>1.8232786885245902</v>
      </c>
      <c r="K47" s="349">
        <f t="shared" si="192"/>
        <v>1.9300635785649409</v>
      </c>
      <c r="L47" s="349">
        <f t="shared" ref="L47:M47" si="193">(L12+L21+L30)/L42</f>
        <v>2.094566813509545</v>
      </c>
      <c r="M47" s="349">
        <f t="shared" si="193"/>
        <v>2.2145839131644864</v>
      </c>
      <c r="N47" s="349">
        <f t="shared" ref="N47:R47" si="194">(N12+N21+N30)/N42</f>
        <v>2.3299239250275634</v>
      </c>
      <c r="O47" s="349">
        <f t="shared" si="194"/>
        <v>2.4281718789727944</v>
      </c>
      <c r="P47" s="349">
        <f t="shared" si="194"/>
        <v>2.5053489642664775</v>
      </c>
      <c r="Q47" s="349">
        <f t="shared" si="194"/>
        <v>2.550617395112408</v>
      </c>
      <c r="R47" s="349">
        <f t="shared" si="194"/>
        <v>2.5714000047717005</v>
      </c>
      <c r="S47" s="473">
        <v>2.52</v>
      </c>
      <c r="T47" s="473">
        <f t="shared" ref="T47:Y47" si="195">S47</f>
        <v>2.52</v>
      </c>
      <c r="U47" s="473">
        <f t="shared" si="195"/>
        <v>2.52</v>
      </c>
      <c r="V47" s="473">
        <f t="shared" si="195"/>
        <v>2.52</v>
      </c>
      <c r="W47" s="473">
        <f t="shared" si="195"/>
        <v>2.52</v>
      </c>
      <c r="X47" s="473">
        <f t="shared" si="195"/>
        <v>2.52</v>
      </c>
      <c r="Y47" s="473">
        <f t="shared" si="195"/>
        <v>2.52</v>
      </c>
    </row>
    <row r="49" spans="2:25">
      <c r="B49" s="205" t="s">
        <v>238</v>
      </c>
    </row>
    <row r="50" spans="2:25">
      <c r="B50" s="203" t="s">
        <v>231</v>
      </c>
      <c r="F50" s="392">
        <f>SUM(Quarts!O52:R52)</f>
        <v>5011.26966705</v>
      </c>
      <c r="G50" s="392">
        <f>SUM(Quarts!S52:V52)</f>
        <v>5501.5720500000007</v>
      </c>
      <c r="H50" s="392">
        <f>SUM(Quarts!W52:Z52)</f>
        <v>5947.2344999999996</v>
      </c>
      <c r="I50" s="392">
        <f>SUM(Quarts!AA52:AD52)</f>
        <v>6239.0855217000008</v>
      </c>
      <c r="J50" s="392">
        <f>SUM(Quarts!AE52:AH52)</f>
        <v>6880.2556255</v>
      </c>
      <c r="K50" s="392">
        <f>SUM(Quarts!AI52:AL52)</f>
        <v>7775.6624948499993</v>
      </c>
      <c r="L50" s="392">
        <f>SUM(Quarts!AM52:AP52)</f>
        <v>7490.3016378000002</v>
      </c>
      <c r="M50" s="392">
        <f>SUM(Quarts!AQ52:AT52)</f>
        <v>8128.7349387000004</v>
      </c>
      <c r="N50" s="392">
        <f>SUM(Quarts!AU52:AX52)</f>
        <v>8966.2410969499997</v>
      </c>
      <c r="O50" s="468">
        <f>SUM(Quarts!AY52:BB52)</f>
        <v>9245.9353932000013</v>
      </c>
      <c r="P50" s="468">
        <f>SUM(Quarts!BC52:BF52)</f>
        <v>9480.2566471499995</v>
      </c>
      <c r="Q50" s="468">
        <f>SUM(Quarts!BG52:BJ52)</f>
        <v>9876.7625811000016</v>
      </c>
      <c r="R50" s="468">
        <f>SUM(Quarts!BK52:BN52)</f>
        <v>10778.534942549999</v>
      </c>
      <c r="S50" s="392">
        <f t="shared" ref="S50:T50" si="196">S75*AVERAGE(R12,S12)*12/1000</f>
        <v>11386.879643871973</v>
      </c>
      <c r="T50" s="392">
        <f t="shared" si="196"/>
        <v>11815.055480110512</v>
      </c>
      <c r="U50" s="392">
        <f t="shared" ref="U50" si="197">U75*AVERAGE(T12,U12)*12/1000</f>
        <v>12228.958788474432</v>
      </c>
      <c r="V50" s="392">
        <f t="shared" ref="V50" si="198">V75*AVERAGE(U12,V12)*12/1000</f>
        <v>12614.31704108912</v>
      </c>
      <c r="W50" s="392">
        <f t="shared" ref="W50" si="199">W75*AVERAGE(V12,W12)*12/1000</f>
        <v>12971.130237954569</v>
      </c>
      <c r="X50" s="392">
        <f t="shared" ref="X50" si="200">X75*AVERAGE(W12,X12)*12/1000</f>
        <v>13299.398379070781</v>
      </c>
      <c r="Y50" s="392">
        <f t="shared" ref="Y50" si="201">Y75*AVERAGE(X12,Y12)*12/1000</f>
        <v>13599.121464437758</v>
      </c>
    </row>
    <row r="51" spans="2:25">
      <c r="B51" s="203" t="s">
        <v>172</v>
      </c>
      <c r="F51" s="392">
        <f>SUM(Quarts!O53:R53)</f>
        <v>1615.8040283999999</v>
      </c>
      <c r="G51" s="392">
        <f>SUM(Quarts!S53:V53)</f>
        <v>1796.5300499999998</v>
      </c>
      <c r="H51" s="392">
        <f>SUM(Quarts!W53:Z53)</f>
        <v>2132.1165000000001</v>
      </c>
      <c r="I51" s="392">
        <f>SUM(Quarts!AA53:AD53)</f>
        <v>2512.566965</v>
      </c>
      <c r="J51" s="392">
        <f>SUM(Quarts!AE53:AH53)</f>
        <v>3490.0319199999999</v>
      </c>
      <c r="K51" s="392">
        <f>SUM(Quarts!AI53:AL53)</f>
        <v>4457.5604041000006</v>
      </c>
      <c r="L51" s="392">
        <f>SUM(Quarts!AM53:AP53)</f>
        <v>5137.1891435999996</v>
      </c>
      <c r="M51" s="392">
        <f>SUM(Quarts!AQ53:AT53)</f>
        <v>6056.1526047000007</v>
      </c>
      <c r="N51" s="392">
        <f>SUM(Quarts!AU53:AX53)</f>
        <v>6617.4883136999997</v>
      </c>
      <c r="O51" s="468">
        <f>SUM(Quarts!AY53:BB53)</f>
        <v>7178.6430369</v>
      </c>
      <c r="P51" s="468">
        <f>SUM(Quarts!BC53:BF53)</f>
        <v>8202.1739376000005</v>
      </c>
      <c r="Q51" s="468">
        <f>SUM(Quarts!BG53:BJ53)</f>
        <v>8988.8520795000004</v>
      </c>
      <c r="R51" s="468">
        <f>SUM(Quarts!BK53:BN53)</f>
        <v>10278.634920150002</v>
      </c>
      <c r="S51" s="392">
        <f t="shared" ref="S51:T51" si="202">S77*AVERAGE(R21,S21)*12/1000</f>
        <v>12185.816258291947</v>
      </c>
      <c r="T51" s="392">
        <f t="shared" si="202"/>
        <v>13550.363806597899</v>
      </c>
      <c r="U51" s="392">
        <f t="shared" ref="U51" si="203">U77*AVERAGE(T21,U21)*12/1000</f>
        <v>14617.884483956153</v>
      </c>
      <c r="V51" s="392">
        <f t="shared" ref="V51" si="204">V77*AVERAGE(U21,V21)*12/1000</f>
        <v>15391.621468585849</v>
      </c>
      <c r="W51" s="392">
        <f t="shared" ref="W51" si="205">W77*AVERAGE(V21,W21)*12/1000</f>
        <v>15989.221288103327</v>
      </c>
      <c r="X51" s="392">
        <f t="shared" ref="X51" si="206">X77*AVERAGE(W21,X21)*12/1000</f>
        <v>16533.216736024307</v>
      </c>
      <c r="Y51" s="392">
        <f t="shared" ref="Y51" si="207">Y77*AVERAGE(X21,Y21)*12/1000</f>
        <v>17086.493170774898</v>
      </c>
    </row>
    <row r="52" spans="2:25">
      <c r="B52" s="203" t="s">
        <v>197</v>
      </c>
      <c r="F52" s="392">
        <f>SUM(Quarts!O54:R54)</f>
        <v>1132.9679225999998</v>
      </c>
      <c r="G52" s="392">
        <f>SUM(Quarts!S54:V54)</f>
        <v>1131.9396000000002</v>
      </c>
      <c r="H52" s="392">
        <f>SUM(Quarts!W54:Z54)</f>
        <v>1228.62165</v>
      </c>
      <c r="I52" s="392">
        <f>SUM(Quarts!AA54:AD54)</f>
        <v>1265.7480292</v>
      </c>
      <c r="J52" s="392">
        <f>SUM(Quarts!AE54:AH54)</f>
        <v>1357.288</v>
      </c>
      <c r="K52" s="392">
        <f>SUM(Quarts!AM54:AP54)</f>
        <v>1641.2073165000002</v>
      </c>
      <c r="L52" s="392">
        <f>SUM(Quarts!AM54:AP54)</f>
        <v>1641.2073165000002</v>
      </c>
      <c r="M52" s="392">
        <f>SUM(Quarts!AQ54:AT54)</f>
        <v>1656.3104122499999</v>
      </c>
      <c r="N52" s="392">
        <f>SUM(Quarts!AU54:AX54)</f>
        <v>1595.4044411499999</v>
      </c>
      <c r="O52" s="468">
        <f>SUM(Quarts!AY54:BB54)</f>
        <v>1832.6767752000001</v>
      </c>
      <c r="P52" s="468">
        <f>SUM(Quarts!BC54:BF54)</f>
        <v>2337.3784965</v>
      </c>
      <c r="Q52" s="468">
        <f>SUM(Quarts!BG54:BJ54)</f>
        <v>2459.61045375</v>
      </c>
      <c r="R52" s="468">
        <f>SUM(Quarts!BK54:BN54)</f>
        <v>2556.1935830999996</v>
      </c>
      <c r="S52" s="392">
        <f t="shared" ref="S52:T52" si="208">S79*AVERAGE(R30,S30)*12/1000</f>
        <v>2820.4775924872956</v>
      </c>
      <c r="T52" s="392">
        <f t="shared" si="208"/>
        <v>3079.4529503017993</v>
      </c>
      <c r="U52" s="392">
        <f t="shared" ref="U52" si="209">U79*AVERAGE(T30,U30)*12/1000</f>
        <v>3237.1454051339247</v>
      </c>
      <c r="V52" s="392">
        <f t="shared" ref="V52" si="210">V79*AVERAGE(U30,V30)*12/1000</f>
        <v>3300.222387066774</v>
      </c>
      <c r="W52" s="392">
        <f t="shared" ref="W52" si="211">W79*AVERAGE(V30,W30)*12/1000</f>
        <v>3347.5301235164125</v>
      </c>
      <c r="X52" s="392">
        <f t="shared" ref="X52" si="212">X79*AVERAGE(W30,X30)*12/1000</f>
        <v>3379.0686144828369</v>
      </c>
      <c r="Y52" s="392">
        <f t="shared" ref="Y52" si="213">Y79*AVERAGE(X30,Y30)*12/1000</f>
        <v>3410.6071054492622</v>
      </c>
    </row>
    <row r="53" spans="2:25">
      <c r="B53" s="358" t="s">
        <v>2072</v>
      </c>
      <c r="C53" s="358"/>
      <c r="D53" s="358"/>
      <c r="E53" s="358"/>
      <c r="F53" s="474"/>
      <c r="G53" s="474"/>
      <c r="H53" s="474">
        <f ca="1">SUM(Quarts!W55:Z55)</f>
        <v>76.96534999999966</v>
      </c>
      <c r="I53" s="474">
        <f>SUM(Quarts!AA55:AD55)</f>
        <v>124.88148409999991</v>
      </c>
      <c r="J53" s="474">
        <f>SUM(Quarts!AE55:AH55)</f>
        <v>159.77445450000118</v>
      </c>
      <c r="K53" s="474">
        <f>SUM(Quarts!AM55:AP55)</f>
        <v>129.44090209999996</v>
      </c>
      <c r="L53" s="474">
        <f>SUM(Quarts!AM55:AP55)</f>
        <v>129.44090209999996</v>
      </c>
      <c r="M53" s="474">
        <f>SUM(Quarts!AQ55:AT55)</f>
        <v>147.36704434999899</v>
      </c>
      <c r="N53" s="474">
        <f>SUM(Quarts!AU55:AX55)</f>
        <v>166.5431482000007</v>
      </c>
      <c r="O53" s="475">
        <f>SUM(Quarts!AY55:BB55)</f>
        <v>228.67379469999901</v>
      </c>
      <c r="P53" s="475">
        <f>SUM(Quarts!BC55:BF55)</f>
        <v>416.70491875000016</v>
      </c>
      <c r="Q53" s="475">
        <f>SUM(Quarts!BG55:BJ55)</f>
        <v>650.33588564999866</v>
      </c>
      <c r="R53" s="475">
        <f>SUM(Quarts!BK55:BN55)</f>
        <v>854.19255420000229</v>
      </c>
      <c r="S53" s="474">
        <f t="shared" ref="S53:T53" si="214">S95</f>
        <v>928.86507073938378</v>
      </c>
      <c r="T53" s="474">
        <f t="shared" si="214"/>
        <v>1337.5283420833969</v>
      </c>
      <c r="U53" s="474">
        <f t="shared" ref="U53:Y53" si="215">U95</f>
        <v>1895.8147034280207</v>
      </c>
      <c r="V53" s="474">
        <f t="shared" si="215"/>
        <v>2339.8121422269278</v>
      </c>
      <c r="W53" s="474">
        <f t="shared" si="215"/>
        <v>2784.5198096656263</v>
      </c>
      <c r="X53" s="474">
        <f t="shared" si="215"/>
        <v>3229.9732171761048</v>
      </c>
      <c r="Y53" s="474">
        <f t="shared" si="215"/>
        <v>3676.2096517619534</v>
      </c>
    </row>
    <row r="54" spans="2:25">
      <c r="B54" s="205" t="s">
        <v>2073</v>
      </c>
      <c r="C54" s="205"/>
      <c r="D54" s="205"/>
      <c r="E54" s="205"/>
      <c r="F54" s="393"/>
      <c r="G54" s="393"/>
      <c r="H54" s="393">
        <f ca="1">SUM(H50:H53)</f>
        <v>9384.9380000000001</v>
      </c>
      <c r="I54" s="393">
        <f t="shared" ref="I54:T54" si="216">SUM(I50:I53)</f>
        <v>10142.282000000001</v>
      </c>
      <c r="J54" s="393">
        <f t="shared" si="216"/>
        <v>11887.35</v>
      </c>
      <c r="K54" s="393">
        <f t="shared" si="216"/>
        <v>14003.871117549999</v>
      </c>
      <c r="L54" s="393">
        <f t="shared" si="216"/>
        <v>14398.138999999999</v>
      </c>
      <c r="M54" s="393">
        <f t="shared" si="216"/>
        <v>15988.565000000001</v>
      </c>
      <c r="N54" s="393">
        <f t="shared" si="216"/>
        <v>17345.677</v>
      </c>
      <c r="O54" s="393">
        <f t="shared" si="216"/>
        <v>18485.929000000004</v>
      </c>
      <c r="P54" s="393">
        <f t="shared" si="216"/>
        <v>20436.514000000003</v>
      </c>
      <c r="Q54" s="393">
        <f t="shared" si="216"/>
        <v>21975.561000000002</v>
      </c>
      <c r="R54" s="393">
        <f t="shared" si="216"/>
        <v>24467.556000000004</v>
      </c>
      <c r="S54" s="393">
        <f t="shared" si="216"/>
        <v>27322.038565390598</v>
      </c>
      <c r="T54" s="393">
        <f t="shared" si="216"/>
        <v>29782.40057909361</v>
      </c>
      <c r="U54" s="393">
        <f t="shared" ref="U54:Y54" si="217">SUM(U50:U53)</f>
        <v>31979.803380992529</v>
      </c>
      <c r="V54" s="393">
        <f t="shared" si="217"/>
        <v>33645.973038968667</v>
      </c>
      <c r="W54" s="393">
        <f t="shared" si="217"/>
        <v>35092.401459239933</v>
      </c>
      <c r="X54" s="393">
        <f t="shared" si="217"/>
        <v>36441.656946754032</v>
      </c>
      <c r="Y54" s="393">
        <f t="shared" si="217"/>
        <v>37772.431392423867</v>
      </c>
    </row>
    <row r="55" spans="2:25">
      <c r="F55" s="336"/>
      <c r="G55" s="336"/>
      <c r="H55" s="336"/>
      <c r="I55" s="336"/>
      <c r="J55" s="336"/>
      <c r="K55" s="336"/>
      <c r="L55" s="336"/>
      <c r="M55" s="336"/>
      <c r="N55" s="336"/>
      <c r="O55" s="336"/>
      <c r="P55" s="336"/>
      <c r="Q55" s="336"/>
      <c r="R55" s="336"/>
      <c r="S55" s="336"/>
      <c r="T55" s="336"/>
      <c r="U55" s="336"/>
      <c r="V55" s="336"/>
      <c r="W55" s="336"/>
      <c r="X55" s="336"/>
      <c r="Y55" s="336"/>
    </row>
    <row r="56" spans="2:25">
      <c r="B56" s="358" t="s">
        <v>663</v>
      </c>
      <c r="C56" s="358"/>
      <c r="D56" s="358"/>
      <c r="E56" s="358"/>
      <c r="F56" s="359">
        <f>SUM(Quarts!O56:R56)</f>
        <v>489.95838194999988</v>
      </c>
      <c r="G56" s="359">
        <f>SUM(Quarts!S56:V56)</f>
        <v>546.95830000000046</v>
      </c>
      <c r="H56" s="359">
        <f t="shared" ref="H56:T56" ca="1" si="218">H67</f>
        <v>691.70000000000118</v>
      </c>
      <c r="I56" s="359">
        <f t="shared" si="218"/>
        <v>1333.1709999999996</v>
      </c>
      <c r="J56" s="359">
        <f t="shared" si="218"/>
        <v>2669.953</v>
      </c>
      <c r="K56" s="359">
        <f t="shared" si="218"/>
        <v>3125</v>
      </c>
      <c r="L56" s="359">
        <f>L67</f>
        <v>2815</v>
      </c>
      <c r="M56" s="359">
        <f t="shared" si="218"/>
        <v>3448</v>
      </c>
      <c r="N56" s="359">
        <f t="shared" si="218"/>
        <v>4257.2629999999999</v>
      </c>
      <c r="O56" s="359">
        <f>O67</f>
        <v>3905</v>
      </c>
      <c r="P56" s="359">
        <f t="shared" si="218"/>
        <v>4197.8819999999996</v>
      </c>
      <c r="Q56" s="359">
        <f t="shared" si="218"/>
        <v>5179.7300000000005</v>
      </c>
      <c r="R56" s="359">
        <f t="shared" si="218"/>
        <v>5402.9849999999997</v>
      </c>
      <c r="S56" s="359">
        <f t="shared" si="218"/>
        <v>5763.7049999999999</v>
      </c>
      <c r="T56" s="359">
        <f t="shared" si="218"/>
        <v>6244.3049075000008</v>
      </c>
      <c r="U56" s="359">
        <f t="shared" ref="U56:Y56" si="219">U67</f>
        <v>6769.0595625250016</v>
      </c>
      <c r="V56" s="359">
        <f t="shared" si="219"/>
        <v>7342.2068433942522</v>
      </c>
      <c r="W56" s="359">
        <f t="shared" si="219"/>
        <v>7968.3998897518259</v>
      </c>
      <c r="X56" s="359">
        <f t="shared" si="219"/>
        <v>8652.7482094400348</v>
      </c>
      <c r="Y56" s="359">
        <f t="shared" si="219"/>
        <v>9400.8628752385648</v>
      </c>
    </row>
    <row r="57" spans="2:25">
      <c r="B57" s="203" t="s">
        <v>188</v>
      </c>
      <c r="D57" s="392">
        <f>Master!I7</f>
        <v>6895</v>
      </c>
      <c r="E57" s="392">
        <f>Master!J7</f>
        <v>7509</v>
      </c>
      <c r="F57" s="468">
        <v>8250</v>
      </c>
      <c r="G57" s="468">
        <v>8977</v>
      </c>
      <c r="H57" s="468">
        <v>10068</v>
      </c>
      <c r="I57" s="392">
        <f>I54+I56</f>
        <v>11475.453000000001</v>
      </c>
      <c r="J57" s="392">
        <f t="shared" ref="J57:T57" si="220">J54+J56</f>
        <v>14557.303</v>
      </c>
      <c r="K57" s="392">
        <f t="shared" si="220"/>
        <v>17128.871117549999</v>
      </c>
      <c r="L57" s="392">
        <f t="shared" si="220"/>
        <v>17213.138999999999</v>
      </c>
      <c r="M57" s="392">
        <f t="shared" si="220"/>
        <v>19436.565000000002</v>
      </c>
      <c r="N57" s="392">
        <f t="shared" si="220"/>
        <v>21602.94</v>
      </c>
      <c r="O57" s="392">
        <f t="shared" si="220"/>
        <v>22390.929000000004</v>
      </c>
      <c r="P57" s="392">
        <f t="shared" si="220"/>
        <v>24634.396000000001</v>
      </c>
      <c r="Q57" s="392">
        <f t="shared" si="220"/>
        <v>27155.291000000001</v>
      </c>
      <c r="R57" s="392">
        <f t="shared" si="220"/>
        <v>29870.541000000005</v>
      </c>
      <c r="S57" s="392">
        <f t="shared" si="220"/>
        <v>33085.7435653906</v>
      </c>
      <c r="T57" s="392">
        <f t="shared" si="220"/>
        <v>36026.705486593608</v>
      </c>
      <c r="U57" s="392">
        <f t="shared" ref="U57:Y57" si="221">U54+U56</f>
        <v>38748.862943517532</v>
      </c>
      <c r="V57" s="392">
        <f t="shared" si="221"/>
        <v>40988.179882362921</v>
      </c>
      <c r="W57" s="392">
        <f t="shared" si="221"/>
        <v>43060.801348991758</v>
      </c>
      <c r="X57" s="392">
        <f t="shared" si="221"/>
        <v>45094.405156194065</v>
      </c>
      <c r="Y57" s="392">
        <f t="shared" si="221"/>
        <v>47173.29426766243</v>
      </c>
    </row>
    <row r="58" spans="2:25">
      <c r="B58" s="203" t="s">
        <v>2</v>
      </c>
      <c r="D58" s="392"/>
      <c r="E58" s="338">
        <f>E57/D57-1</f>
        <v>8.9050036258158105E-2</v>
      </c>
      <c r="F58" s="338">
        <f t="shared" ref="F58:O58" si="222">F57/E57-1</f>
        <v>9.8681582101478149E-2</v>
      </c>
      <c r="G58" s="338">
        <f t="shared" si="222"/>
        <v>8.8121212121212045E-2</v>
      </c>
      <c r="H58" s="338">
        <f t="shared" si="222"/>
        <v>0.121532806059931</v>
      </c>
      <c r="I58" s="338">
        <f t="shared" si="222"/>
        <v>0.13979469606674622</v>
      </c>
      <c r="J58" s="338">
        <f>J57/I57-1</f>
        <v>0.26856020411568915</v>
      </c>
      <c r="K58" s="338">
        <f t="shared" si="222"/>
        <v>0.17665141115425009</v>
      </c>
      <c r="L58" s="338">
        <f t="shared" si="222"/>
        <v>4.9196401719469041E-3</v>
      </c>
      <c r="M58" s="338">
        <f t="shared" si="222"/>
        <v>0.12917028091157601</v>
      </c>
      <c r="N58" s="338">
        <f t="shared" si="222"/>
        <v>0.11145873769362002</v>
      </c>
      <c r="O58" s="338">
        <f t="shared" si="222"/>
        <v>3.6476007432322044E-2</v>
      </c>
      <c r="P58" s="338">
        <f t="shared" ref="P58" si="223">P57/O57-1</f>
        <v>0.10019535143003644</v>
      </c>
      <c r="Q58" s="338">
        <f t="shared" ref="Q58" si="224">Q57/P57-1</f>
        <v>0.1023323242834937</v>
      </c>
      <c r="R58" s="338">
        <f t="shared" ref="R58" si="225">R57/Q57-1</f>
        <v>9.9989722076629706E-2</v>
      </c>
      <c r="S58" s="338">
        <f t="shared" ref="S58" si="226">S57/R57-1</f>
        <v>0.10763790871382595</v>
      </c>
      <c r="T58" s="338">
        <f t="shared" ref="T58" si="227">T57/S57-1</f>
        <v>8.8889098574753023E-2</v>
      </c>
      <c r="U58" s="338">
        <f t="shared" ref="U58" si="228">U57/T57-1</f>
        <v>7.5559433485720806E-2</v>
      </c>
      <c r="V58" s="338">
        <f t="shared" ref="V58" si="229">V57/U57-1</f>
        <v>5.7790519998213608E-2</v>
      </c>
      <c r="W58" s="338">
        <f t="shared" ref="W58" si="230">W57/V57-1</f>
        <v>5.0566321133978409E-2</v>
      </c>
      <c r="X58" s="338">
        <f t="shared" ref="X58" si="231">X57/W57-1</f>
        <v>4.7226334473450926E-2</v>
      </c>
      <c r="Y58" s="338">
        <f t="shared" ref="Y58" si="232">Y57/X57-1</f>
        <v>4.6100821249724699E-2</v>
      </c>
    </row>
    <row r="59" spans="2:25">
      <c r="B59" s="205" t="s">
        <v>2075</v>
      </c>
      <c r="C59" s="205"/>
      <c r="D59" s="393"/>
      <c r="E59" s="362"/>
      <c r="F59" s="376"/>
      <c r="G59" s="376"/>
      <c r="H59" s="376">
        <f ca="1">H54+H63</f>
        <v>9522.9380000000001</v>
      </c>
      <c r="I59" s="376">
        <f t="shared" ref="I59:T59" si="233">I54+I63</f>
        <v>10388.282000000001</v>
      </c>
      <c r="J59" s="376">
        <f t="shared" si="233"/>
        <v>12281.35</v>
      </c>
      <c r="K59" s="376">
        <f t="shared" si="233"/>
        <v>14658.871117549999</v>
      </c>
      <c r="L59" s="376">
        <f t="shared" si="233"/>
        <v>15340.138999999999</v>
      </c>
      <c r="M59" s="376">
        <f t="shared" si="233"/>
        <v>17536.565000000002</v>
      </c>
      <c r="N59" s="376">
        <f t="shared" si="233"/>
        <v>19183.939999999999</v>
      </c>
      <c r="O59" s="376">
        <f t="shared" si="233"/>
        <v>20363.929000000004</v>
      </c>
      <c r="P59" s="376">
        <f t="shared" si="233"/>
        <v>22540.514000000003</v>
      </c>
      <c r="Q59" s="376">
        <f t="shared" si="233"/>
        <v>24567.962</v>
      </c>
      <c r="R59" s="376">
        <f t="shared" si="233"/>
        <v>27309.455000000005</v>
      </c>
      <c r="S59" s="376">
        <f t="shared" si="233"/>
        <v>30322.038565390598</v>
      </c>
      <c r="T59" s="376">
        <f t="shared" si="233"/>
        <v>33082.400579093613</v>
      </c>
      <c r="U59" s="376">
        <f t="shared" ref="U59:Y59" si="234">U54+U63</f>
        <v>35609.803380992533</v>
      </c>
      <c r="V59" s="376">
        <f t="shared" si="234"/>
        <v>37638.973038968667</v>
      </c>
      <c r="W59" s="376">
        <f t="shared" si="234"/>
        <v>39484.701459239936</v>
      </c>
      <c r="X59" s="376">
        <f t="shared" si="234"/>
        <v>41273.186946754038</v>
      </c>
      <c r="Y59" s="376">
        <f t="shared" si="234"/>
        <v>43087.114392423871</v>
      </c>
    </row>
    <row r="60" spans="2:25">
      <c r="B60" s="476" t="s">
        <v>2</v>
      </c>
      <c r="C60" s="477"/>
      <c r="D60" s="478"/>
      <c r="E60" s="478"/>
      <c r="F60" s="478"/>
      <c r="G60" s="479"/>
      <c r="H60" s="479"/>
      <c r="I60" s="479">
        <f t="shared" ref="I60" ca="1" si="235">I59/H59-1</f>
        <v>9.0869435462039183E-2</v>
      </c>
      <c r="J60" s="479">
        <f>J59/I59-1</f>
        <v>0.18223109461217923</v>
      </c>
      <c r="K60" s="479">
        <f t="shared" ref="K60" si="236">K59/J59-1</f>
        <v>0.19358792946622305</v>
      </c>
      <c r="L60" s="479">
        <f>L59/K59-1</f>
        <v>4.6474784926266777E-2</v>
      </c>
      <c r="M60" s="479">
        <f t="shared" ref="M60" si="237">M59/L59-1</f>
        <v>0.14318162306091242</v>
      </c>
      <c r="N60" s="479">
        <f t="shared" ref="N60" si="238">N59/M59-1</f>
        <v>9.3939434547187339E-2</v>
      </c>
      <c r="O60" s="479">
        <f t="shared" ref="O60" si="239">O59/N59-1</f>
        <v>6.1509210308205997E-2</v>
      </c>
      <c r="P60" s="479">
        <f t="shared" ref="P60" si="240">P59/O59-1</f>
        <v>0.10688433455056723</v>
      </c>
      <c r="Q60" s="479">
        <f t="shared" ref="Q60" si="241">Q59/P59-1</f>
        <v>8.9946839721578575E-2</v>
      </c>
      <c r="R60" s="479">
        <f t="shared" ref="R60" si="242">R59/Q59-1</f>
        <v>0.11158813254432776</v>
      </c>
      <c r="S60" s="479">
        <f t="shared" ref="S60" si="243">S59/R59-1</f>
        <v>0.11031284093331739</v>
      </c>
      <c r="T60" s="479">
        <f t="shared" ref="T60" si="244">T59/S59-1</f>
        <v>9.1034842784405656E-2</v>
      </c>
      <c r="U60" s="479">
        <f t="shared" ref="U60" si="245">U59/T59-1</f>
        <v>7.6397200857791114E-2</v>
      </c>
      <c r="V60" s="479">
        <f t="shared" ref="V60" si="246">V59/U59-1</f>
        <v>5.698345582720199E-2</v>
      </c>
      <c r="W60" s="479">
        <f t="shared" ref="W60" si="247">W59/V59-1</f>
        <v>4.903769341316333E-2</v>
      </c>
      <c r="X60" s="479">
        <f t="shared" ref="X60" si="248">X59/W59-1</f>
        <v>4.5295656834593467E-2</v>
      </c>
      <c r="Y60" s="479">
        <f t="shared" ref="Y60" si="249">Y59/X59-1</f>
        <v>4.3949294441690601E-2</v>
      </c>
    </row>
    <row r="61" spans="2:25">
      <c r="D61" s="392"/>
      <c r="E61" s="392"/>
      <c r="F61" s="392"/>
      <c r="G61" s="338"/>
      <c r="H61" s="338"/>
      <c r="I61" s="338"/>
      <c r="J61" s="338"/>
      <c r="K61" s="338"/>
      <c r="L61" s="338"/>
      <c r="M61" s="338"/>
      <c r="N61" s="392"/>
      <c r="O61" s="392"/>
      <c r="P61" s="392"/>
      <c r="Q61" s="392"/>
      <c r="R61" s="392"/>
      <c r="S61" s="392"/>
      <c r="T61" s="392"/>
      <c r="U61" s="392"/>
      <c r="V61" s="392"/>
      <c r="W61" s="392"/>
      <c r="X61" s="392"/>
      <c r="Y61" s="392"/>
    </row>
    <row r="62" spans="2:25">
      <c r="B62" s="205" t="s">
        <v>666</v>
      </c>
      <c r="D62" s="392"/>
      <c r="E62" s="392"/>
      <c r="F62" s="392"/>
      <c r="G62" s="338"/>
      <c r="H62" s="338"/>
      <c r="I62" s="338"/>
      <c r="J62" s="338"/>
      <c r="K62" s="338"/>
      <c r="L62" s="338"/>
      <c r="M62" s="338"/>
      <c r="N62" s="338"/>
      <c r="O62" s="338"/>
      <c r="P62" s="338"/>
      <c r="Q62" s="338"/>
      <c r="R62" s="338"/>
      <c r="S62" s="338"/>
      <c r="T62" s="338"/>
      <c r="U62" s="338"/>
      <c r="V62" s="338"/>
      <c r="W62" s="338"/>
      <c r="X62" s="338"/>
      <c r="Y62" s="338"/>
    </row>
    <row r="63" spans="2:25">
      <c r="B63" s="203" t="s">
        <v>532</v>
      </c>
      <c r="D63" s="392"/>
      <c r="E63" s="392"/>
      <c r="F63" s="392"/>
      <c r="G63" s="338"/>
      <c r="H63" s="351">
        <v>138</v>
      </c>
      <c r="I63" s="351">
        <v>246</v>
      </c>
      <c r="J63" s="351">
        <v>394</v>
      </c>
      <c r="K63" s="351">
        <v>655</v>
      </c>
      <c r="L63" s="351">
        <v>942</v>
      </c>
      <c r="M63" s="351">
        <v>1548</v>
      </c>
      <c r="N63" s="343">
        <f>Quarts!AX60+Quarts!AW60+Quarts!AV60+Quarts!AU60</f>
        <v>1838.2629999999999</v>
      </c>
      <c r="O63" s="343">
        <v>1878</v>
      </c>
      <c r="P63" s="343">
        <v>2104</v>
      </c>
      <c r="Q63" s="343">
        <v>2592.4009999999998</v>
      </c>
      <c r="R63" s="343">
        <v>2841.8989999999999</v>
      </c>
      <c r="S63" s="344">
        <v>3000</v>
      </c>
      <c r="T63" s="344">
        <f>S63*1.1</f>
        <v>3300.0000000000005</v>
      </c>
      <c r="U63" s="344">
        <f t="shared" ref="U63:Y63" si="250">T63*1.1</f>
        <v>3630.0000000000009</v>
      </c>
      <c r="V63" s="344">
        <f t="shared" si="250"/>
        <v>3993.0000000000014</v>
      </c>
      <c r="W63" s="344">
        <f t="shared" si="250"/>
        <v>4392.300000000002</v>
      </c>
      <c r="X63" s="344">
        <f t="shared" si="250"/>
        <v>4831.5300000000025</v>
      </c>
      <c r="Y63" s="344">
        <f t="shared" si="250"/>
        <v>5314.6830000000027</v>
      </c>
    </row>
    <row r="64" spans="2:25">
      <c r="B64" s="203" t="s">
        <v>664</v>
      </c>
      <c r="D64" s="392"/>
      <c r="E64" s="392"/>
      <c r="F64" s="392"/>
      <c r="G64" s="338"/>
      <c r="H64" s="351">
        <v>423</v>
      </c>
      <c r="I64" s="351">
        <v>534</v>
      </c>
      <c r="J64" s="351">
        <v>618</v>
      </c>
      <c r="K64" s="351">
        <v>723</v>
      </c>
      <c r="L64" s="351">
        <v>839</v>
      </c>
      <c r="M64" s="351">
        <v>960</v>
      </c>
      <c r="N64" s="351">
        <v>1046</v>
      </c>
      <c r="O64" s="351">
        <v>1100</v>
      </c>
      <c r="P64" s="351">
        <v>1062</v>
      </c>
      <c r="Q64" s="343">
        <v>1205.421</v>
      </c>
      <c r="R64" s="343">
        <v>1263.385</v>
      </c>
      <c r="S64" s="344">
        <f t="shared" ref="S64:T64" si="251">R64*1.05</f>
        <v>1326.5542500000001</v>
      </c>
      <c r="T64" s="344">
        <f t="shared" si="251"/>
        <v>1392.8819625000001</v>
      </c>
      <c r="U64" s="344">
        <f t="shared" ref="U64" si="252">T64*1.05</f>
        <v>1462.5260606250001</v>
      </c>
      <c r="V64" s="344">
        <f t="shared" ref="V64" si="253">U64*1.05</f>
        <v>1535.6523636562501</v>
      </c>
      <c r="W64" s="344">
        <f t="shared" ref="W64" si="254">V64*1.05</f>
        <v>1612.4349818390626</v>
      </c>
      <c r="X64" s="344">
        <f t="shared" ref="X64" si="255">W64*1.05</f>
        <v>1693.0567309310159</v>
      </c>
      <c r="Y64" s="344">
        <f t="shared" ref="Y64" si="256">X64*1.05</f>
        <v>1777.7095674775667</v>
      </c>
    </row>
    <row r="65" spans="2:25">
      <c r="B65" s="203" t="s">
        <v>665</v>
      </c>
      <c r="D65" s="392"/>
      <c r="E65" s="392"/>
      <c r="F65" s="392"/>
      <c r="G65" s="338"/>
      <c r="H65" s="351">
        <v>130</v>
      </c>
      <c r="I65" s="351">
        <v>442</v>
      </c>
      <c r="J65" s="343">
        <f>491+710</f>
        <v>1201</v>
      </c>
      <c r="K65" s="343">
        <v>1459</v>
      </c>
      <c r="L65" s="343">
        <v>735</v>
      </c>
      <c r="M65" s="343">
        <v>639</v>
      </c>
      <c r="N65" s="343">
        <v>1052</v>
      </c>
      <c r="O65" s="343">
        <v>623</v>
      </c>
      <c r="P65" s="343">
        <v>708</v>
      </c>
      <c r="Q65" s="343">
        <v>1016.019</v>
      </c>
      <c r="R65" s="343">
        <v>929.66499999999996</v>
      </c>
      <c r="S65" s="344">
        <f>R65*1.15</f>
        <v>1069.11475</v>
      </c>
      <c r="T65" s="344">
        <f t="shared" ref="T65" si="257">S65*1.1</f>
        <v>1176.0262250000001</v>
      </c>
      <c r="U65" s="344">
        <f t="shared" ref="U65" si="258">T65*1.1</f>
        <v>1293.6288475000001</v>
      </c>
      <c r="V65" s="344">
        <f t="shared" ref="V65" si="259">U65*1.1</f>
        <v>1422.9917322500003</v>
      </c>
      <c r="W65" s="344">
        <f t="shared" ref="W65" si="260">V65*1.1</f>
        <v>1565.2909054750005</v>
      </c>
      <c r="X65" s="344">
        <f t="shared" ref="X65" si="261">W65*1.1</f>
        <v>1721.8199960225006</v>
      </c>
      <c r="Y65" s="344">
        <f t="shared" ref="Y65" si="262">X65*1.1</f>
        <v>1894.0019956247509</v>
      </c>
    </row>
    <row r="66" spans="2:25">
      <c r="B66" s="358" t="s">
        <v>629</v>
      </c>
      <c r="C66" s="358"/>
      <c r="D66" s="474"/>
      <c r="E66" s="474"/>
      <c r="F66" s="474"/>
      <c r="G66" s="361"/>
      <c r="H66" s="480">
        <v>0</v>
      </c>
      <c r="I66" s="480">
        <v>111</v>
      </c>
      <c r="J66" s="480">
        <v>457</v>
      </c>
      <c r="K66" s="480">
        <v>288</v>
      </c>
      <c r="L66" s="480">
        <v>299</v>
      </c>
      <c r="M66" s="480">
        <v>301</v>
      </c>
      <c r="N66" s="480">
        <v>321</v>
      </c>
      <c r="O66" s="480">
        <v>304</v>
      </c>
      <c r="P66" s="385">
        <v>323.88200000000001</v>
      </c>
      <c r="Q66" s="385">
        <v>365.88900000000001</v>
      </c>
      <c r="R66" s="385">
        <v>368.036</v>
      </c>
      <c r="S66" s="481">
        <f>R66</f>
        <v>368.036</v>
      </c>
      <c r="T66" s="481">
        <f t="shared" ref="T66" si="263">S66*1.02</f>
        <v>375.39672000000002</v>
      </c>
      <c r="U66" s="481">
        <f t="shared" ref="U66" si="264">T66*1.02</f>
        <v>382.90465440000003</v>
      </c>
      <c r="V66" s="481">
        <f t="shared" ref="V66" si="265">U66*1.02</f>
        <v>390.56274748800001</v>
      </c>
      <c r="W66" s="481">
        <f t="shared" ref="W66" si="266">V66*1.02</f>
        <v>398.37400243776</v>
      </c>
      <c r="X66" s="481">
        <f t="shared" ref="X66" si="267">W66*1.02</f>
        <v>406.34148248651519</v>
      </c>
      <c r="Y66" s="481">
        <f t="shared" ref="Y66" si="268">X66*1.02</f>
        <v>414.46831213624552</v>
      </c>
    </row>
    <row r="67" spans="2:25">
      <c r="B67" s="203" t="s">
        <v>21</v>
      </c>
      <c r="D67" s="392"/>
      <c r="E67" s="392"/>
      <c r="F67" s="392"/>
      <c r="G67" s="338"/>
      <c r="H67" s="343">
        <f ca="1">SUM(Quarts!W56:Z56)</f>
        <v>691.70000000000118</v>
      </c>
      <c r="I67" s="343">
        <f>SUM(Quarts!AA56:AD56)</f>
        <v>1333.1709999999996</v>
      </c>
      <c r="J67" s="343">
        <f>SUM(Quarts!AE56:AH56)</f>
        <v>2669.953</v>
      </c>
      <c r="K67" s="336">
        <f t="shared" ref="K67:T67" si="269">SUM(K63:K66)</f>
        <v>3125</v>
      </c>
      <c r="L67" s="336">
        <f t="shared" si="269"/>
        <v>2815</v>
      </c>
      <c r="M67" s="336">
        <f t="shared" si="269"/>
        <v>3448</v>
      </c>
      <c r="N67" s="336">
        <f t="shared" si="269"/>
        <v>4257.2629999999999</v>
      </c>
      <c r="O67" s="336">
        <f t="shared" si="269"/>
        <v>3905</v>
      </c>
      <c r="P67" s="336">
        <f t="shared" si="269"/>
        <v>4197.8819999999996</v>
      </c>
      <c r="Q67" s="336">
        <f t="shared" si="269"/>
        <v>5179.7300000000005</v>
      </c>
      <c r="R67" s="336">
        <f t="shared" si="269"/>
        <v>5402.9849999999997</v>
      </c>
      <c r="S67" s="336">
        <f t="shared" si="269"/>
        <v>5763.7049999999999</v>
      </c>
      <c r="T67" s="336">
        <f t="shared" si="269"/>
        <v>6244.3049075000008</v>
      </c>
      <c r="U67" s="336">
        <f t="shared" ref="U67:Y67" si="270">SUM(U63:U66)</f>
        <v>6769.0595625250016</v>
      </c>
      <c r="V67" s="336">
        <f t="shared" si="270"/>
        <v>7342.2068433942522</v>
      </c>
      <c r="W67" s="336">
        <f t="shared" si="270"/>
        <v>7968.3998897518259</v>
      </c>
      <c r="X67" s="336">
        <f t="shared" si="270"/>
        <v>8652.7482094400348</v>
      </c>
      <c r="Y67" s="336">
        <f t="shared" si="270"/>
        <v>9400.8628752385648</v>
      </c>
    </row>
    <row r="68" spans="2:25">
      <c r="B68" s="203" t="s">
        <v>2</v>
      </c>
      <c r="D68" s="392"/>
      <c r="E68" s="392"/>
      <c r="F68" s="392"/>
      <c r="G68" s="338"/>
      <c r="H68" s="338"/>
      <c r="I68" s="338">
        <f ca="1">I67/H67-1</f>
        <v>0.92738325863813409</v>
      </c>
      <c r="J68" s="338">
        <f t="shared" ref="J68:T68" si="271">J67/I67-1</f>
        <v>1.0027085797695876</v>
      </c>
      <c r="K68" s="338">
        <f t="shared" si="271"/>
        <v>0.17043258813919193</v>
      </c>
      <c r="L68" s="338">
        <f t="shared" si="271"/>
        <v>-9.9199999999999955E-2</v>
      </c>
      <c r="M68" s="338">
        <f t="shared" si="271"/>
        <v>0.22486678507992885</v>
      </c>
      <c r="N68" s="338">
        <f t="shared" si="271"/>
        <v>0.23470504640371237</v>
      </c>
      <c r="O68" s="338">
        <f t="shared" si="271"/>
        <v>-8.2744007123825791E-2</v>
      </c>
      <c r="P68" s="338">
        <f t="shared" si="271"/>
        <v>7.5001792573623494E-2</v>
      </c>
      <c r="Q68" s="338">
        <f t="shared" si="271"/>
        <v>0.23389128136522208</v>
      </c>
      <c r="R68" s="338">
        <f t="shared" si="271"/>
        <v>4.3101667461431292E-2</v>
      </c>
      <c r="S68" s="338">
        <f t="shared" si="271"/>
        <v>6.6763094844794146E-2</v>
      </c>
      <c r="T68" s="338">
        <f t="shared" si="271"/>
        <v>8.3383849017255596E-2</v>
      </c>
      <c r="U68" s="338">
        <f t="shared" ref="U68" si="272">U67/T67-1</f>
        <v>8.4037320854515096E-2</v>
      </c>
      <c r="V68" s="338">
        <f t="shared" ref="V68" si="273">V67/U67-1</f>
        <v>8.4671626180144788E-2</v>
      </c>
      <c r="W68" s="338">
        <f t="shared" ref="W68" si="274">W67/V67-1</f>
        <v>8.5286761829783675E-2</v>
      </c>
      <c r="X68" s="338">
        <f t="shared" ref="X68" si="275">X67/W67-1</f>
        <v>8.5882778118145264E-2</v>
      </c>
      <c r="Y68" s="338">
        <f t="shared" ref="Y68" si="276">Y67/X67-1</f>
        <v>8.645977528646287E-2</v>
      </c>
    </row>
    <row r="69" spans="2:25">
      <c r="B69" s="203" t="s">
        <v>1212</v>
      </c>
      <c r="D69" s="392"/>
      <c r="E69" s="392"/>
      <c r="F69" s="392"/>
      <c r="G69" s="338"/>
      <c r="H69" s="336">
        <f t="shared" ref="H69:T69" si="277">H63+H65</f>
        <v>268</v>
      </c>
      <c r="I69" s="336">
        <f t="shared" si="277"/>
        <v>688</v>
      </c>
      <c r="J69" s="336">
        <f t="shared" si="277"/>
        <v>1595</v>
      </c>
      <c r="K69" s="336">
        <f t="shared" si="277"/>
        <v>2114</v>
      </c>
      <c r="L69" s="336">
        <f t="shared" si="277"/>
        <v>1677</v>
      </c>
      <c r="M69" s="336">
        <f t="shared" si="277"/>
        <v>2187</v>
      </c>
      <c r="N69" s="336">
        <f t="shared" si="277"/>
        <v>2890.2629999999999</v>
      </c>
      <c r="O69" s="336">
        <f t="shared" si="277"/>
        <v>2501</v>
      </c>
      <c r="P69" s="336">
        <f t="shared" si="277"/>
        <v>2812</v>
      </c>
      <c r="Q69" s="336">
        <f t="shared" si="277"/>
        <v>3608.42</v>
      </c>
      <c r="R69" s="336">
        <f t="shared" si="277"/>
        <v>3771.5639999999999</v>
      </c>
      <c r="S69" s="336">
        <f t="shared" si="277"/>
        <v>4069.1147499999997</v>
      </c>
      <c r="T69" s="336">
        <f t="shared" si="277"/>
        <v>4476.0262250000005</v>
      </c>
      <c r="U69" s="336">
        <f t="shared" ref="U69:Y69" si="278">U63+U65</f>
        <v>4923.628847500001</v>
      </c>
      <c r="V69" s="336">
        <f t="shared" si="278"/>
        <v>5415.9917322500014</v>
      </c>
      <c r="W69" s="336">
        <f t="shared" si="278"/>
        <v>5957.5909054750027</v>
      </c>
      <c r="X69" s="336">
        <f t="shared" si="278"/>
        <v>6553.3499960225035</v>
      </c>
      <c r="Y69" s="336">
        <f t="shared" si="278"/>
        <v>7208.6849956247534</v>
      </c>
    </row>
    <row r="70" spans="2:25">
      <c r="B70" s="203" t="s">
        <v>2</v>
      </c>
      <c r="D70" s="392"/>
      <c r="E70" s="392"/>
      <c r="F70" s="392"/>
      <c r="G70" s="338"/>
      <c r="H70" s="336"/>
      <c r="I70" s="337">
        <f>I69/H69-1</f>
        <v>1.5671641791044775</v>
      </c>
      <c r="J70" s="337">
        <f t="shared" ref="J70:T70" si="279">J69/I69-1</f>
        <v>1.3183139534883721</v>
      </c>
      <c r="K70" s="337">
        <f t="shared" si="279"/>
        <v>0.32539184952978051</v>
      </c>
      <c r="L70" s="337">
        <f t="shared" si="279"/>
        <v>-0.20671712393566699</v>
      </c>
      <c r="M70" s="337">
        <f t="shared" si="279"/>
        <v>0.30411449016100178</v>
      </c>
      <c r="N70" s="337">
        <f t="shared" si="279"/>
        <v>0.32156515775034289</v>
      </c>
      <c r="O70" s="337">
        <f t="shared" si="279"/>
        <v>-0.13468082316384355</v>
      </c>
      <c r="P70" s="337">
        <f t="shared" si="279"/>
        <v>0.12435025989604154</v>
      </c>
      <c r="Q70" s="337">
        <f t="shared" si="279"/>
        <v>0.283221906116643</v>
      </c>
      <c r="R70" s="337">
        <f t="shared" si="279"/>
        <v>4.5212031858818946E-2</v>
      </c>
      <c r="S70" s="337">
        <f t="shared" si="279"/>
        <v>7.8893199213907028E-2</v>
      </c>
      <c r="T70" s="337">
        <f t="shared" si="279"/>
        <v>0.10000000000000031</v>
      </c>
      <c r="U70" s="337">
        <f t="shared" ref="U70" si="280">U69/T69-1</f>
        <v>0.10000000000000009</v>
      </c>
      <c r="V70" s="337">
        <f t="shared" ref="V70" si="281">V69/U69-1</f>
        <v>0.10000000000000009</v>
      </c>
      <c r="W70" s="337">
        <f t="shared" ref="W70" si="282">W69/V69-1</f>
        <v>0.10000000000000031</v>
      </c>
      <c r="X70" s="337">
        <f t="shared" ref="X70" si="283">X69/W69-1</f>
        <v>0.10000000000000009</v>
      </c>
      <c r="Y70" s="337">
        <f t="shared" ref="Y70" si="284">Y69/X69-1</f>
        <v>9.9999999999999867E-2</v>
      </c>
    </row>
    <row r="71" spans="2:25">
      <c r="D71" s="392"/>
      <c r="E71" s="392"/>
      <c r="F71" s="392"/>
      <c r="G71" s="338"/>
      <c r="H71" s="338"/>
      <c r="I71" s="338"/>
      <c r="J71" s="338"/>
      <c r="K71" s="338"/>
      <c r="L71" s="338"/>
      <c r="M71" s="338"/>
      <c r="N71" s="338"/>
      <c r="O71" s="338"/>
      <c r="P71" s="338"/>
      <c r="Q71" s="338"/>
      <c r="R71" s="338"/>
      <c r="S71" s="338"/>
      <c r="T71" s="338"/>
      <c r="U71" s="338"/>
      <c r="V71" s="338"/>
      <c r="W71" s="338"/>
      <c r="X71" s="338"/>
      <c r="Y71" s="338"/>
    </row>
    <row r="72" spans="2:25">
      <c r="B72" s="203" t="s">
        <v>305</v>
      </c>
      <c r="D72" s="392"/>
      <c r="E72" s="392"/>
      <c r="F72" s="392"/>
      <c r="G72" s="338"/>
      <c r="H72" s="338">
        <f t="shared" ref="H72:T72" ca="1" si="285">H56/H57</f>
        <v>6.8702820818434762E-2</v>
      </c>
      <c r="I72" s="338">
        <f t="shared" si="285"/>
        <v>0.11617589301267667</v>
      </c>
      <c r="J72" s="338">
        <f t="shared" si="285"/>
        <v>0.1834098665116746</v>
      </c>
      <c r="K72" s="338">
        <f t="shared" si="285"/>
        <v>0.18244051102691577</v>
      </c>
      <c r="L72" s="338">
        <f t="shared" si="285"/>
        <v>0.16353786488333127</v>
      </c>
      <c r="M72" s="338">
        <f t="shared" si="285"/>
        <v>0.17739760086208647</v>
      </c>
      <c r="N72" s="338">
        <f t="shared" si="285"/>
        <v>0.19706868602143968</v>
      </c>
      <c r="O72" s="338">
        <f t="shared" si="285"/>
        <v>0.17440098175470967</v>
      </c>
      <c r="P72" s="338">
        <f t="shared" si="285"/>
        <v>0.17040734426774659</v>
      </c>
      <c r="Q72" s="338">
        <f t="shared" si="285"/>
        <v>0.19074477971898737</v>
      </c>
      <c r="R72" s="338">
        <f t="shared" si="285"/>
        <v>0.18088005168704507</v>
      </c>
      <c r="S72" s="338">
        <f t="shared" si="285"/>
        <v>0.17420509194870065</v>
      </c>
      <c r="T72" s="338">
        <f t="shared" si="285"/>
        <v>0.17332433879705306</v>
      </c>
      <c r="U72" s="338">
        <f t="shared" ref="U72:Y72" si="286">U56/U57</f>
        <v>0.17469053407817292</v>
      </c>
      <c r="V72" s="338">
        <f t="shared" si="286"/>
        <v>0.17912985803386647</v>
      </c>
      <c r="W72" s="338">
        <f t="shared" si="286"/>
        <v>0.18504996749063987</v>
      </c>
      <c r="X72" s="338">
        <f t="shared" si="286"/>
        <v>0.1918807483870649</v>
      </c>
      <c r="Y72" s="338">
        <f t="shared" si="286"/>
        <v>0.19928357815966463</v>
      </c>
    </row>
    <row r="73" spans="2:25">
      <c r="D73" s="392"/>
      <c r="E73" s="392"/>
      <c r="F73" s="392"/>
      <c r="G73" s="338"/>
      <c r="H73" s="338"/>
      <c r="I73" s="338"/>
      <c r="J73" s="338"/>
      <c r="K73" s="338"/>
      <c r="L73" s="338"/>
      <c r="M73" s="338"/>
      <c r="N73" s="338"/>
      <c r="O73" s="338"/>
      <c r="P73" s="338"/>
      <c r="Q73" s="338"/>
      <c r="R73" s="338"/>
      <c r="S73" s="338"/>
      <c r="T73" s="338"/>
      <c r="U73" s="338"/>
      <c r="V73" s="338"/>
      <c r="W73" s="338"/>
      <c r="X73" s="338"/>
      <c r="Y73" s="338"/>
    </row>
    <row r="74" spans="2:25">
      <c r="B74" s="205" t="s">
        <v>237</v>
      </c>
      <c r="D74" s="392"/>
      <c r="E74" s="392"/>
      <c r="F74" s="392"/>
      <c r="G74" s="392"/>
      <c r="H74" s="392"/>
      <c r="I74" s="392"/>
      <c r="J74" s="392"/>
      <c r="K74" s="392"/>
      <c r="L74" s="392"/>
      <c r="M74" s="392"/>
      <c r="N74" s="392"/>
      <c r="O74" s="392"/>
      <c r="P74" s="392"/>
      <c r="Q74" s="392"/>
      <c r="R74" s="392"/>
      <c r="S74" s="392"/>
      <c r="T74" s="392"/>
      <c r="U74" s="392"/>
      <c r="V74" s="392"/>
      <c r="W74" s="392"/>
      <c r="X74" s="392"/>
      <c r="Y74" s="392"/>
    </row>
    <row r="75" spans="2:25">
      <c r="B75" s="203" t="str">
        <f>B50</f>
        <v>Video</v>
      </c>
      <c r="D75" s="392"/>
      <c r="E75" s="392"/>
      <c r="F75" s="392">
        <f t="shared" ref="F75:R75" si="287">F50/AVERAGE(E12,F12)/12*1000</f>
        <v>225.67187548635502</v>
      </c>
      <c r="G75" s="392">
        <f t="shared" si="287"/>
        <v>226.73805019782398</v>
      </c>
      <c r="H75" s="392">
        <f t="shared" si="287"/>
        <v>233.60965119019562</v>
      </c>
      <c r="I75" s="392">
        <f t="shared" si="287"/>
        <v>228.58817035612225</v>
      </c>
      <c r="J75" s="392">
        <f t="shared" si="287"/>
        <v>218.83764712150125</v>
      </c>
      <c r="K75" s="392">
        <f t="shared" si="287"/>
        <v>223.24612388314668</v>
      </c>
      <c r="L75" s="392">
        <f t="shared" si="287"/>
        <v>207.6831818832141</v>
      </c>
      <c r="M75" s="392">
        <f t="shared" si="287"/>
        <v>217.04408145626405</v>
      </c>
      <c r="N75" s="392">
        <f t="shared" si="287"/>
        <v>232.52224765090381</v>
      </c>
      <c r="O75" s="392">
        <f t="shared" si="287"/>
        <v>232.15367991011482</v>
      </c>
      <c r="P75" s="392">
        <f t="shared" si="287"/>
        <v>227.25207534856358</v>
      </c>
      <c r="Q75" s="392">
        <f t="shared" si="287"/>
        <v>228.13968899310996</v>
      </c>
      <c r="R75" s="392">
        <f t="shared" si="287"/>
        <v>236.69200455419545</v>
      </c>
      <c r="S75" s="392">
        <f t="shared" ref="S75" si="288">(1+S76)*R75</f>
        <v>237.87546457696641</v>
      </c>
      <c r="T75" s="392">
        <f t="shared" ref="T75" si="289">(1+T76)*S75</f>
        <v>237.87546457696641</v>
      </c>
      <c r="U75" s="392">
        <f t="shared" ref="U75" si="290">(1+U76)*T75</f>
        <v>237.87546457696641</v>
      </c>
      <c r="V75" s="392">
        <f t="shared" ref="V75" si="291">(1+V76)*U75</f>
        <v>237.87546457696641</v>
      </c>
      <c r="W75" s="392">
        <f t="shared" ref="W75" si="292">(1+W76)*V75</f>
        <v>237.87546457696641</v>
      </c>
      <c r="X75" s="392">
        <f t="shared" ref="X75" si="293">(1+X76)*W75</f>
        <v>237.87546457696641</v>
      </c>
      <c r="Y75" s="392">
        <f t="shared" ref="Y75" si="294">(1+Y76)*X75</f>
        <v>237.87546457696641</v>
      </c>
    </row>
    <row r="76" spans="2:25">
      <c r="B76" s="203" t="s">
        <v>2</v>
      </c>
      <c r="D76" s="392"/>
      <c r="E76" s="392"/>
      <c r="F76" s="392"/>
      <c r="G76" s="338">
        <f t="shared" ref="G76:R76" si="295">G75/F75-1</f>
        <v>4.7244465406741654E-3</v>
      </c>
      <c r="H76" s="338">
        <f t="shared" si="295"/>
        <v>3.0306342435141964E-2</v>
      </c>
      <c r="I76" s="338">
        <f t="shared" si="295"/>
        <v>-2.1495177140541499E-2</v>
      </c>
      <c r="J76" s="338">
        <f t="shared" si="295"/>
        <v>-4.2655414842467376E-2</v>
      </c>
      <c r="K76" s="338">
        <f t="shared" si="295"/>
        <v>2.014496509002317E-2</v>
      </c>
      <c r="L76" s="338">
        <f t="shared" si="295"/>
        <v>-6.9712036783575515E-2</v>
      </c>
      <c r="M76" s="338">
        <f t="shared" si="295"/>
        <v>4.5072978409555819E-2</v>
      </c>
      <c r="N76" s="338">
        <f t="shared" si="295"/>
        <v>7.13134681710208E-2</v>
      </c>
      <c r="O76" s="338">
        <f t="shared" si="295"/>
        <v>-1.5850859197883427E-3</v>
      </c>
      <c r="P76" s="338">
        <f t="shared" si="295"/>
        <v>-2.1113619923875615E-2</v>
      </c>
      <c r="Q76" s="338">
        <f t="shared" si="295"/>
        <v>3.9058549550534671E-3</v>
      </c>
      <c r="R76" s="338">
        <f t="shared" si="295"/>
        <v>3.7487188655472403E-2</v>
      </c>
      <c r="S76" s="374">
        <v>5.0000000000000001E-3</v>
      </c>
      <c r="T76" s="374">
        <v>0</v>
      </c>
      <c r="U76" s="374">
        <v>0</v>
      </c>
      <c r="V76" s="374">
        <v>0</v>
      </c>
      <c r="W76" s="374">
        <v>0</v>
      </c>
      <c r="X76" s="374">
        <v>0</v>
      </c>
      <c r="Y76" s="374">
        <v>0</v>
      </c>
    </row>
    <row r="77" spans="2:25">
      <c r="B77" s="203" t="str">
        <f>B51</f>
        <v>Internet</v>
      </c>
      <c r="D77" s="392"/>
      <c r="E77" s="392"/>
      <c r="F77" s="392">
        <f t="shared" ref="F77:R77" si="296">F51/AVERAGE(E21,F21)/12*1000</f>
        <v>210.88541221613156</v>
      </c>
      <c r="G77" s="392">
        <f t="shared" si="296"/>
        <v>197.24748023715412</v>
      </c>
      <c r="H77" s="392">
        <f t="shared" si="296"/>
        <v>198.96570548712208</v>
      </c>
      <c r="I77" s="392">
        <f t="shared" si="296"/>
        <v>183.50620544843702</v>
      </c>
      <c r="J77" s="392">
        <f t="shared" si="296"/>
        <v>183.95698503057136</v>
      </c>
      <c r="K77" s="392">
        <f t="shared" si="296"/>
        <v>183.03196206372675</v>
      </c>
      <c r="L77" s="392">
        <f t="shared" si="296"/>
        <v>176.42657955903562</v>
      </c>
      <c r="M77" s="392">
        <f t="shared" si="296"/>
        <v>181.31107732171728</v>
      </c>
      <c r="N77" s="392">
        <f t="shared" si="296"/>
        <v>182.61302168775953</v>
      </c>
      <c r="O77" s="392">
        <f t="shared" si="296"/>
        <v>181.06959201547056</v>
      </c>
      <c r="P77" s="392">
        <f t="shared" si="296"/>
        <v>186.14500369218345</v>
      </c>
      <c r="Q77" s="392">
        <f t="shared" si="296"/>
        <v>187.9313136332749</v>
      </c>
      <c r="R77" s="392">
        <f t="shared" si="296"/>
        <v>193.36563420066707</v>
      </c>
      <c r="S77" s="392">
        <f t="shared" ref="S77" si="297">(1+S78)*R77</f>
        <v>203.03391591070044</v>
      </c>
      <c r="T77" s="392">
        <f t="shared" ref="T77" si="298">(1+T78)*S77</f>
        <v>205.06425506980744</v>
      </c>
      <c r="U77" s="392">
        <f t="shared" ref="U77" si="299">(1+U78)*T77</f>
        <v>207.11489762050553</v>
      </c>
      <c r="V77" s="392">
        <f t="shared" ref="V77" si="300">(1+V78)*U77</f>
        <v>209.18604659671058</v>
      </c>
      <c r="W77" s="392">
        <f t="shared" ref="W77" si="301">(1+W78)*V77</f>
        <v>211.27790706267768</v>
      </c>
      <c r="X77" s="392">
        <f t="shared" ref="X77" si="302">(1+X78)*W77</f>
        <v>213.39068613330446</v>
      </c>
      <c r="Y77" s="392">
        <f t="shared" ref="Y77" si="303">(1+Y78)*X77</f>
        <v>215.52459299463752</v>
      </c>
    </row>
    <row r="78" spans="2:25">
      <c r="B78" s="203" t="s">
        <v>2</v>
      </c>
      <c r="D78" s="392"/>
      <c r="E78" s="392"/>
      <c r="F78" s="392"/>
      <c r="G78" s="338">
        <f t="shared" ref="G78:R78" si="304">G77/F77-1</f>
        <v>-6.4669868985533396E-2</v>
      </c>
      <c r="H78" s="338">
        <f t="shared" si="304"/>
        <v>8.7110124190286076E-3</v>
      </c>
      <c r="I78" s="338">
        <f t="shared" si="304"/>
        <v>-7.7699320095571345E-2</v>
      </c>
      <c r="J78" s="338">
        <f t="shared" si="304"/>
        <v>2.4564814090770604E-3</v>
      </c>
      <c r="K78" s="338">
        <f t="shared" si="304"/>
        <v>-5.028474274520689E-3</v>
      </c>
      <c r="L78" s="338">
        <f t="shared" si="304"/>
        <v>-3.6088683256268239E-2</v>
      </c>
      <c r="M78" s="338">
        <f t="shared" si="304"/>
        <v>2.7685724990475169E-2</v>
      </c>
      <c r="N78" s="338">
        <f t="shared" si="304"/>
        <v>7.1807215823449511E-3</v>
      </c>
      <c r="O78" s="338">
        <f t="shared" si="304"/>
        <v>-8.4519146445536375E-3</v>
      </c>
      <c r="P78" s="338">
        <f t="shared" si="304"/>
        <v>2.8030171274032734E-2</v>
      </c>
      <c r="Q78" s="338">
        <f t="shared" si="304"/>
        <v>9.5963356827204471E-3</v>
      </c>
      <c r="R78" s="338">
        <f t="shared" si="304"/>
        <v>2.8916525204504273E-2</v>
      </c>
      <c r="S78" s="374">
        <v>0.05</v>
      </c>
      <c r="T78" s="374">
        <v>0.01</v>
      </c>
      <c r="U78" s="374">
        <v>0.01</v>
      </c>
      <c r="V78" s="374">
        <v>0.01</v>
      </c>
      <c r="W78" s="374">
        <v>0.01</v>
      </c>
      <c r="X78" s="374">
        <v>0.01</v>
      </c>
      <c r="Y78" s="374">
        <v>0.01</v>
      </c>
    </row>
    <row r="79" spans="2:25">
      <c r="B79" s="203" t="str">
        <f>B52</f>
        <v>Voice</v>
      </c>
      <c r="D79" s="392"/>
      <c r="E79" s="392"/>
      <c r="F79" s="392">
        <f t="shared" ref="F79:R79" si="305">F52/AVERAGE(E30,F30)/12*1000</f>
        <v>197.10645835073069</v>
      </c>
      <c r="G79" s="392">
        <f t="shared" si="305"/>
        <v>179.50199809705046</v>
      </c>
      <c r="H79" s="392">
        <f t="shared" si="305"/>
        <v>180.5734347442681</v>
      </c>
      <c r="I79" s="392">
        <f t="shared" si="305"/>
        <v>162.40031167564794</v>
      </c>
      <c r="J79" s="392">
        <f t="shared" si="305"/>
        <v>139.89775304061016</v>
      </c>
      <c r="K79" s="392">
        <f t="shared" si="305"/>
        <v>132.0147455357143</v>
      </c>
      <c r="L79" s="392">
        <f t="shared" si="305"/>
        <v>103.49396623155506</v>
      </c>
      <c r="M79" s="392">
        <f t="shared" si="305"/>
        <v>84.162114443597559</v>
      </c>
      <c r="N79" s="392">
        <f t="shared" si="305"/>
        <v>67.426950162941665</v>
      </c>
      <c r="O79" s="392">
        <f t="shared" si="305"/>
        <v>64.202562165557055</v>
      </c>
      <c r="P79" s="392">
        <f t="shared" si="305"/>
        <v>68.850280941422398</v>
      </c>
      <c r="Q79" s="392">
        <f t="shared" si="305"/>
        <v>63.70155904344886</v>
      </c>
      <c r="R79" s="392">
        <f t="shared" si="305"/>
        <v>56.909166470750087</v>
      </c>
      <c r="S79" s="392">
        <f t="shared" ref="S79" si="306">(1+S80)*R79</f>
        <v>53.636889398681959</v>
      </c>
      <c r="T79" s="392">
        <f t="shared" ref="T79" si="307">(1+T80)*S79</f>
        <v>52.564151610708322</v>
      </c>
      <c r="U79" s="392">
        <f t="shared" ref="U79" si="308">(1+U80)*T79</f>
        <v>52.564151610708322</v>
      </c>
      <c r="V79" s="392">
        <f t="shared" ref="V79" si="309">(1+V80)*U79</f>
        <v>52.564151610708322</v>
      </c>
      <c r="W79" s="392">
        <f t="shared" ref="W79" si="310">(1+W80)*V79</f>
        <v>52.564151610708322</v>
      </c>
      <c r="X79" s="392">
        <f t="shared" ref="X79" si="311">(1+X80)*W79</f>
        <v>52.564151610708322</v>
      </c>
      <c r="Y79" s="392">
        <f t="shared" ref="Y79" si="312">(1+Y80)*X79</f>
        <v>52.564151610708322</v>
      </c>
    </row>
    <row r="80" spans="2:25">
      <c r="B80" s="203" t="s">
        <v>2</v>
      </c>
      <c r="D80" s="392"/>
      <c r="E80" s="392"/>
      <c r="F80" s="392"/>
      <c r="G80" s="338">
        <f t="shared" ref="G80:R80" si="313">G79/F79-1</f>
        <v>-8.9314477064748932E-2</v>
      </c>
      <c r="H80" s="338">
        <f t="shared" si="313"/>
        <v>5.9689399481690497E-3</v>
      </c>
      <c r="I80" s="338">
        <f t="shared" si="313"/>
        <v>-0.10064117733794742</v>
      </c>
      <c r="J80" s="338">
        <f t="shared" si="313"/>
        <v>-0.13856228724474828</v>
      </c>
      <c r="K80" s="338">
        <f t="shared" si="313"/>
        <v>-5.6348349659394059E-2</v>
      </c>
      <c r="L80" s="338">
        <f t="shared" si="313"/>
        <v>-0.21604237608777899</v>
      </c>
      <c r="M80" s="338">
        <f t="shared" si="313"/>
        <v>-0.18679206616456123</v>
      </c>
      <c r="N80" s="338">
        <f t="shared" si="313"/>
        <v>-0.19884438967929219</v>
      </c>
      <c r="O80" s="338">
        <f t="shared" si="313"/>
        <v>-4.7820463325015661E-2</v>
      </c>
      <c r="P80" s="338">
        <f t="shared" si="313"/>
        <v>7.2391484375349702E-2</v>
      </c>
      <c r="Q80" s="338">
        <f t="shared" si="313"/>
        <v>-7.478142176869329E-2</v>
      </c>
      <c r="R80" s="338">
        <f t="shared" si="313"/>
        <v>-0.10662835689886163</v>
      </c>
      <c r="S80" s="374">
        <v>-5.7500000000000002E-2</v>
      </c>
      <c r="T80" s="374">
        <v>-0.02</v>
      </c>
      <c r="U80" s="374">
        <v>0</v>
      </c>
      <c r="V80" s="374">
        <v>0</v>
      </c>
      <c r="W80" s="374">
        <v>0</v>
      </c>
      <c r="X80" s="374">
        <v>0</v>
      </c>
      <c r="Y80" s="374">
        <v>0</v>
      </c>
    </row>
    <row r="81" spans="2:25">
      <c r="B81" s="203" t="s">
        <v>236</v>
      </c>
      <c r="D81" s="392"/>
      <c r="E81" s="392"/>
      <c r="F81" s="392">
        <f t="shared" ref="F81:R81" si="314">F56/AVERAGE(E42,F42)/12*1000</f>
        <v>20.414932581249992</v>
      </c>
      <c r="G81" s="392">
        <f t="shared" si="314"/>
        <v>21.740929326655557</v>
      </c>
      <c r="H81" s="392">
        <f t="shared" ca="1" si="314"/>
        <v>25.947182834421231</v>
      </c>
      <c r="I81" s="392">
        <f t="shared" si="314"/>
        <v>46.194421344421329</v>
      </c>
      <c r="J81" s="392">
        <f t="shared" si="314"/>
        <v>79.321241830065347</v>
      </c>
      <c r="K81" s="392">
        <f t="shared" si="314"/>
        <v>81.982265596306206</v>
      </c>
      <c r="L81" s="392">
        <f t="shared" si="314"/>
        <v>69.941363546014713</v>
      </c>
      <c r="M81" s="392">
        <f t="shared" si="314"/>
        <v>82.118700581118404</v>
      </c>
      <c r="N81" s="392">
        <f t="shared" si="314"/>
        <v>98.261159580852151</v>
      </c>
      <c r="O81" s="392">
        <f t="shared" si="314"/>
        <v>86.077679319314029</v>
      </c>
      <c r="P81" s="392">
        <f t="shared" si="314"/>
        <v>86.525220543486824</v>
      </c>
      <c r="Q81" s="392">
        <f t="shared" si="314"/>
        <v>100.95710374132618</v>
      </c>
      <c r="R81" s="392">
        <f t="shared" si="314"/>
        <v>96.373592385127267</v>
      </c>
      <c r="S81" s="392">
        <f t="shared" ref="S81" si="315">(1+S82)*R81</f>
        <v>106.01095162364</v>
      </c>
      <c r="T81" s="392">
        <f t="shared" ref="T81" si="316">(1+T82)*S81</f>
        <v>116.612046786004</v>
      </c>
      <c r="U81" s="392">
        <f t="shared" ref="U81" si="317">(1+U82)*T81</f>
        <v>128.27325146460441</v>
      </c>
      <c r="V81" s="392">
        <f t="shared" ref="V81" si="318">(1+V82)*U81</f>
        <v>141.10057661106487</v>
      </c>
      <c r="W81" s="392">
        <f t="shared" ref="W81" si="319">(1+W82)*V81</f>
        <v>155.21063427217138</v>
      </c>
      <c r="X81" s="392">
        <f t="shared" ref="X81" si="320">(1+X82)*W81</f>
        <v>170.73169769938852</v>
      </c>
      <c r="Y81" s="392">
        <f t="shared" ref="Y81" si="321">(1+Y82)*X81</f>
        <v>187.80486746932738</v>
      </c>
    </row>
    <row r="82" spans="2:25">
      <c r="B82" s="203" t="s">
        <v>2</v>
      </c>
      <c r="D82" s="392"/>
      <c r="E82" s="392"/>
      <c r="F82" s="392"/>
      <c r="G82" s="338">
        <f t="shared" ref="G82:R82" si="322">G81/F81-1</f>
        <v>6.4952296076814964E-2</v>
      </c>
      <c r="H82" s="338">
        <f t="shared" ca="1" si="322"/>
        <v>0.19347165176644854</v>
      </c>
      <c r="I82" s="338">
        <f t="shared" ca="1" si="322"/>
        <v>0.78032511811418503</v>
      </c>
      <c r="J82" s="338">
        <f t="shared" si="322"/>
        <v>0.71711733844772096</v>
      </c>
      <c r="K82" s="338">
        <f t="shared" si="322"/>
        <v>3.3547429475974777E-2</v>
      </c>
      <c r="L82" s="338">
        <f t="shared" si="322"/>
        <v>-0.14687203339296351</v>
      </c>
      <c r="M82" s="338">
        <f t="shared" si="322"/>
        <v>0.17410780141699944</v>
      </c>
      <c r="N82" s="338">
        <f t="shared" si="322"/>
        <v>0.19657470083550477</v>
      </c>
      <c r="O82" s="338">
        <f t="shared" si="322"/>
        <v>-0.12399080484607139</v>
      </c>
      <c r="P82" s="338">
        <f t="shared" si="322"/>
        <v>5.1992714918880356E-3</v>
      </c>
      <c r="Q82" s="338">
        <f t="shared" si="322"/>
        <v>0.16679394871447939</v>
      </c>
      <c r="R82" s="338">
        <f t="shared" si="322"/>
        <v>-4.5400582884616569E-2</v>
      </c>
      <c r="S82" s="374">
        <v>0.1</v>
      </c>
      <c r="T82" s="374">
        <v>0.1</v>
      </c>
      <c r="U82" s="374">
        <v>0.1</v>
      </c>
      <c r="V82" s="374">
        <v>0.1</v>
      </c>
      <c r="W82" s="374">
        <v>0.1</v>
      </c>
      <c r="X82" s="374">
        <v>0.1</v>
      </c>
      <c r="Y82" s="374">
        <v>0.1</v>
      </c>
    </row>
    <row r="83" spans="2:25">
      <c r="D83" s="392"/>
      <c r="E83" s="392"/>
      <c r="F83" s="392"/>
      <c r="G83" s="392"/>
      <c r="H83" s="392"/>
      <c r="I83" s="392"/>
      <c r="J83" s="392"/>
      <c r="K83" s="392"/>
      <c r="L83" s="392"/>
      <c r="M83" s="392"/>
      <c r="N83" s="392"/>
      <c r="O83" s="392"/>
      <c r="P83" s="392"/>
      <c r="Q83" s="392"/>
      <c r="R83" s="392"/>
      <c r="S83" s="392"/>
      <c r="T83" s="392"/>
      <c r="U83" s="392"/>
      <c r="V83" s="392"/>
      <c r="W83" s="392"/>
      <c r="X83" s="392"/>
      <c r="Y83" s="392"/>
    </row>
    <row r="84" spans="2:25">
      <c r="B84" s="203" t="s">
        <v>193</v>
      </c>
      <c r="D84" s="336">
        <f t="shared" ref="D84:T84" si="323">D57/AVERAGE(C39,D39)/12*1000</f>
        <v>227.64791336502907</v>
      </c>
      <c r="E84" s="336">
        <f t="shared" si="323"/>
        <v>234.45110528287751</v>
      </c>
      <c r="F84" s="336">
        <f t="shared" si="323"/>
        <v>231.63746630727763</v>
      </c>
      <c r="G84" s="336">
        <f t="shared" si="323"/>
        <v>226.24628257472656</v>
      </c>
      <c r="H84" s="336">
        <f t="shared" si="323"/>
        <v>234.25938852436133</v>
      </c>
      <c r="I84" s="336">
        <f t="shared" si="323"/>
        <v>235.24913899138997</v>
      </c>
      <c r="J84" s="336">
        <f t="shared" si="323"/>
        <v>242.16160960841069</v>
      </c>
      <c r="K84" s="336">
        <f t="shared" si="323"/>
        <v>239.17659625712128</v>
      </c>
      <c r="L84" s="336">
        <f t="shared" si="323"/>
        <v>212.39775671873844</v>
      </c>
      <c r="M84" s="336">
        <f t="shared" si="323"/>
        <v>214.68801776128308</v>
      </c>
      <c r="N84" s="336">
        <f t="shared" si="323"/>
        <v>219.40876896500197</v>
      </c>
      <c r="O84" s="336">
        <f t="shared" si="323"/>
        <v>207.28928303139418</v>
      </c>
      <c r="P84" s="336">
        <f t="shared" si="323"/>
        <v>205.7513020739371</v>
      </c>
      <c r="Q84" s="336">
        <f t="shared" si="323"/>
        <v>209.31418969583683</v>
      </c>
      <c r="R84" s="336">
        <f t="shared" si="323"/>
        <v>207.99505851128572</v>
      </c>
      <c r="S84" s="336">
        <f t="shared" si="323"/>
        <v>206.17720547439933</v>
      </c>
      <c r="T84" s="336">
        <f t="shared" si="323"/>
        <v>206.65529142135426</v>
      </c>
      <c r="U84" s="336">
        <f t="shared" ref="U84" si="324">U57/AVERAGE(T39,U39)/12*1000</f>
        <v>211.08222446553845</v>
      </c>
      <c r="V84" s="336">
        <f t="shared" ref="V84" si="325">V57/AVERAGE(U39,V39)/12*1000</f>
        <v>216.41938997267553</v>
      </c>
      <c r="W84" s="336">
        <f t="shared" ref="W84" si="326">W57/AVERAGE(V39,W39)/12*1000</f>
        <v>222.08611242158952</v>
      </c>
      <c r="X84" s="336">
        <f t="shared" ref="X84" si="327">X57/AVERAGE(W39,X39)/12*1000</f>
        <v>228.12700897427453</v>
      </c>
      <c r="Y84" s="336">
        <f t="shared" ref="Y84" si="328">Y57/AVERAGE(X39,Y39)/12*1000</f>
        <v>234.30556980725879</v>
      </c>
    </row>
    <row r="85" spans="2:25">
      <c r="B85" s="203" t="s">
        <v>2</v>
      </c>
      <c r="D85" s="336"/>
      <c r="E85" s="337">
        <f>E84/D84-1</f>
        <v>2.9884710196924402E-2</v>
      </c>
      <c r="F85" s="337">
        <f t="shared" ref="F85:O85" si="329">F84/E84-1</f>
        <v>-1.2000962726130382E-2</v>
      </c>
      <c r="G85" s="337">
        <f t="shared" si="329"/>
        <v>-2.3274230281035035E-2</v>
      </c>
      <c r="H85" s="337">
        <f t="shared" si="329"/>
        <v>3.5417624804456649E-2</v>
      </c>
      <c r="I85" s="337">
        <f t="shared" si="329"/>
        <v>4.2250194251050033E-3</v>
      </c>
      <c r="J85" s="337">
        <f t="shared" si="329"/>
        <v>2.9383617073615254E-2</v>
      </c>
      <c r="K85" s="337">
        <f t="shared" si="329"/>
        <v>-1.2326534152611313E-2</v>
      </c>
      <c r="L85" s="337">
        <f t="shared" si="329"/>
        <v>-0.11196262492838083</v>
      </c>
      <c r="M85" s="337">
        <f t="shared" si="329"/>
        <v>1.0782887154394238E-2</v>
      </c>
      <c r="N85" s="337">
        <f t="shared" si="329"/>
        <v>2.1988889985318227E-2</v>
      </c>
      <c r="O85" s="337">
        <f t="shared" si="329"/>
        <v>-5.5237017147391154E-2</v>
      </c>
      <c r="P85" s="337">
        <f t="shared" ref="P85" si="330">P84/O84-1</f>
        <v>-7.4194909402245379E-3</v>
      </c>
      <c r="Q85" s="337">
        <f t="shared" ref="Q85" si="331">Q84/P84-1</f>
        <v>1.7316476668611358E-2</v>
      </c>
      <c r="R85" s="337">
        <f t="shared" ref="R85" si="332">R84/Q84-1</f>
        <v>-6.3021584273287301E-3</v>
      </c>
      <c r="S85" s="337">
        <f t="shared" ref="S85" si="333">S84/R84-1</f>
        <v>-8.7398856967929595E-3</v>
      </c>
      <c r="T85" s="337">
        <f t="shared" ref="T85" si="334">T84/S84-1</f>
        <v>2.3188108785106021E-3</v>
      </c>
      <c r="U85" s="337">
        <f t="shared" ref="U85" si="335">U84/T84-1</f>
        <v>2.1421822851649175E-2</v>
      </c>
      <c r="V85" s="337">
        <f t="shared" ref="V85" si="336">V84/U84-1</f>
        <v>2.5284770049447847E-2</v>
      </c>
      <c r="W85" s="337">
        <f t="shared" ref="W85" si="337">W84/V84-1</f>
        <v>2.6183986793556047E-2</v>
      </c>
      <c r="X85" s="337">
        <f t="shared" ref="X85" si="338">X84/W84-1</f>
        <v>2.7200694752211652E-2</v>
      </c>
      <c r="Y85" s="337">
        <f t="shared" ref="Y85" si="339">Y84/X84-1</f>
        <v>2.7083863768542216E-2</v>
      </c>
    </row>
    <row r="86" spans="2:25">
      <c r="B86" s="203" t="s">
        <v>189</v>
      </c>
      <c r="F86" s="353">
        <v>12.4</v>
      </c>
      <c r="G86" s="353">
        <v>13.2</v>
      </c>
      <c r="H86" s="353">
        <v>12.76</v>
      </c>
      <c r="I86" s="353">
        <v>13.3</v>
      </c>
      <c r="J86" s="353">
        <v>16.5</v>
      </c>
      <c r="K86" s="353">
        <v>18.899999999999999</v>
      </c>
      <c r="L86" s="353">
        <v>18.5</v>
      </c>
      <c r="M86" s="353">
        <v>19.2</v>
      </c>
      <c r="N86" s="482">
        <v>19.25</v>
      </c>
      <c r="O86" s="482">
        <v>20</v>
      </c>
      <c r="P86" s="453">
        <v>20.285299999999999</v>
      </c>
      <c r="Q86" s="453">
        <v>20.100000000000001</v>
      </c>
      <c r="R86" s="453">
        <v>17.73</v>
      </c>
      <c r="S86" s="483">
        <f>Valuation!Q15</f>
        <v>17</v>
      </c>
      <c r="T86" s="483">
        <f>Valuation!R15</f>
        <v>17</v>
      </c>
      <c r="U86" s="483">
        <f>Valuation!S15</f>
        <v>17</v>
      </c>
      <c r="V86" s="483">
        <f>Valuation!T15</f>
        <v>17</v>
      </c>
      <c r="W86" s="483">
        <f>Valuation!U15</f>
        <v>17</v>
      </c>
      <c r="X86" s="483">
        <f>Valuation!V15</f>
        <v>17</v>
      </c>
      <c r="Y86" s="483">
        <f>Valuation!W15</f>
        <v>17</v>
      </c>
    </row>
    <row r="87" spans="2:25">
      <c r="B87" s="203" t="s">
        <v>194</v>
      </c>
      <c r="F87" s="339">
        <f>F84/F86</f>
        <v>18.680440831232065</v>
      </c>
      <c r="G87" s="339">
        <f t="shared" ref="G87:O87" si="340">G84/G86</f>
        <v>17.139869892024741</v>
      </c>
      <c r="H87" s="339">
        <f t="shared" si="340"/>
        <v>18.3588862479907</v>
      </c>
      <c r="I87" s="339">
        <f t="shared" si="340"/>
        <v>17.687905187322553</v>
      </c>
      <c r="J87" s="339">
        <f t="shared" si="340"/>
        <v>14.676461188388526</v>
      </c>
      <c r="K87" s="339">
        <f t="shared" si="340"/>
        <v>12.65484636281065</v>
      </c>
      <c r="L87" s="339">
        <f t="shared" si="340"/>
        <v>11.48095982263451</v>
      </c>
      <c r="M87" s="339">
        <f t="shared" si="340"/>
        <v>11.181667591733493</v>
      </c>
      <c r="N87" s="339">
        <f t="shared" si="340"/>
        <v>11.39785812805205</v>
      </c>
      <c r="O87" s="339">
        <f t="shared" si="340"/>
        <v>10.36446415156971</v>
      </c>
      <c r="P87" s="339">
        <f t="shared" ref="P87:T87" si="341">P84/P86</f>
        <v>10.142876963808131</v>
      </c>
      <c r="Q87" s="339">
        <f t="shared" si="341"/>
        <v>10.413641278399842</v>
      </c>
      <c r="R87" s="339">
        <f t="shared" si="341"/>
        <v>11.731249775030216</v>
      </c>
      <c r="S87" s="339">
        <f t="shared" si="341"/>
        <v>12.128070910258785</v>
      </c>
      <c r="T87" s="339">
        <f t="shared" si="341"/>
        <v>12.156193613020839</v>
      </c>
      <c r="U87" s="339">
        <f t="shared" ref="U87:Y87" si="342">U84/U86</f>
        <v>12.41660143914932</v>
      </c>
      <c r="V87" s="339">
        <f t="shared" si="342"/>
        <v>12.730552351333856</v>
      </c>
      <c r="W87" s="339">
        <f t="shared" si="342"/>
        <v>13.063888965975854</v>
      </c>
      <c r="X87" s="339">
        <f t="shared" si="342"/>
        <v>13.419235822016148</v>
      </c>
      <c r="Y87" s="339">
        <f t="shared" si="342"/>
        <v>13.782680576897576</v>
      </c>
    </row>
    <row r="89" spans="2:25">
      <c r="B89" s="203" t="s">
        <v>191</v>
      </c>
      <c r="E89" s="336"/>
      <c r="F89" s="336">
        <f t="shared" ref="F89:R89" si="343">F57/AVERAGE(E42,F42)/12*1000</f>
        <v>343.75</v>
      </c>
      <c r="G89" s="336">
        <f t="shared" si="343"/>
        <v>356.82486684156129</v>
      </c>
      <c r="H89" s="336">
        <f t="shared" si="343"/>
        <v>377.67274364168355</v>
      </c>
      <c r="I89" s="336">
        <f t="shared" si="343"/>
        <v>397.62484407484419</v>
      </c>
      <c r="J89" s="336">
        <f t="shared" si="343"/>
        <v>432.48077837195484</v>
      </c>
      <c r="K89" s="336">
        <f t="shared" si="343"/>
        <v>449.36437162364234</v>
      </c>
      <c r="L89" s="336">
        <f t="shared" si="343"/>
        <v>427.67687835420395</v>
      </c>
      <c r="M89" s="336">
        <f t="shared" si="343"/>
        <v>462.90761646184626</v>
      </c>
      <c r="N89" s="336">
        <f t="shared" si="343"/>
        <v>498.61376540645335</v>
      </c>
      <c r="O89" s="336">
        <f t="shared" si="343"/>
        <v>493.56189657452728</v>
      </c>
      <c r="P89" s="336">
        <f t="shared" si="343"/>
        <v>507.75523153237509</v>
      </c>
      <c r="Q89" s="336">
        <f t="shared" si="343"/>
        <v>529.27846250922357</v>
      </c>
      <c r="R89" s="336">
        <f t="shared" si="343"/>
        <v>532.80387464655792</v>
      </c>
      <c r="S89" s="336">
        <f t="shared" ref="S89" si="344">R89*(1+S90)</f>
        <v>559.44406837888585</v>
      </c>
      <c r="T89" s="336">
        <f t="shared" ref="T89" si="345">S89*(1+T90)</f>
        <v>587.41627179783018</v>
      </c>
      <c r="U89" s="336">
        <f t="shared" ref="U89" si="346">T89*(1+U90)</f>
        <v>616.78708538772173</v>
      </c>
      <c r="V89" s="336">
        <f t="shared" ref="V89" si="347">U89*(1+V90)</f>
        <v>647.62643965710788</v>
      </c>
      <c r="W89" s="336">
        <f t="shared" ref="W89" si="348">V89*(1+W90)</f>
        <v>680.00776163996329</v>
      </c>
      <c r="X89" s="336">
        <f t="shared" ref="X89" si="349">W89*(1+X90)</f>
        <v>714.00814972196144</v>
      </c>
      <c r="Y89" s="336">
        <f t="shared" ref="Y89" si="350">X89*(1+Y90)</f>
        <v>749.70855720805957</v>
      </c>
    </row>
    <row r="90" spans="2:25">
      <c r="B90" s="203" t="s">
        <v>2</v>
      </c>
      <c r="F90" s="336"/>
      <c r="G90" s="337">
        <f t="shared" ref="G90:R90" si="351">G89/F89-1</f>
        <v>3.8035976266360016E-2</v>
      </c>
      <c r="H90" s="337">
        <f t="shared" si="351"/>
        <v>5.8426076031800722E-2</v>
      </c>
      <c r="I90" s="337">
        <f t="shared" si="351"/>
        <v>5.2829071647516601E-2</v>
      </c>
      <c r="J90" s="337">
        <f t="shared" si="351"/>
        <v>8.7660353261401758E-2</v>
      </c>
      <c r="K90" s="337">
        <f t="shared" si="351"/>
        <v>3.9038944841073953E-2</v>
      </c>
      <c r="L90" s="337">
        <f t="shared" si="351"/>
        <v>-4.8262600773348319E-2</v>
      </c>
      <c r="M90" s="337">
        <f t="shared" si="351"/>
        <v>8.2376999764911529E-2</v>
      </c>
      <c r="N90" s="337">
        <f t="shared" si="351"/>
        <v>7.7134503030044765E-2</v>
      </c>
      <c r="O90" s="337">
        <f t="shared" si="351"/>
        <v>-1.013182784435962E-2</v>
      </c>
      <c r="P90" s="337">
        <f t="shared" si="351"/>
        <v>2.8756950356893407E-2</v>
      </c>
      <c r="Q90" s="337">
        <f t="shared" si="351"/>
        <v>4.2388989103849584E-2</v>
      </c>
      <c r="R90" s="337">
        <f t="shared" si="351"/>
        <v>6.6607889552523503E-3</v>
      </c>
      <c r="S90" s="374">
        <v>0.05</v>
      </c>
      <c r="T90" s="374">
        <v>0.05</v>
      </c>
      <c r="U90" s="374">
        <v>0.05</v>
      </c>
      <c r="V90" s="374">
        <v>0.05</v>
      </c>
      <c r="W90" s="374">
        <v>0.05</v>
      </c>
      <c r="X90" s="374">
        <v>0.05</v>
      </c>
      <c r="Y90" s="374">
        <v>0.05</v>
      </c>
    </row>
    <row r="91" spans="2:25">
      <c r="B91" s="203" t="s">
        <v>190</v>
      </c>
      <c r="F91" s="339">
        <f>F89/F86</f>
        <v>27.721774193548388</v>
      </c>
      <c r="G91" s="339">
        <f>G89/G86</f>
        <v>27.032186881936461</v>
      </c>
      <c r="H91" s="339">
        <f>H89/H86</f>
        <v>29.598177401385858</v>
      </c>
      <c r="I91" s="339">
        <f>I89/I86</f>
        <v>29.896604817657455</v>
      </c>
      <c r="J91" s="339">
        <f>J89/J86</f>
        <v>26.21095626496696</v>
      </c>
      <c r="K91" s="339">
        <f t="shared" ref="K91:M91" si="352">K89/K86</f>
        <v>23.775892678499595</v>
      </c>
      <c r="L91" s="339">
        <f t="shared" ref="L91" si="353">L89/L86</f>
        <v>23.117669100227239</v>
      </c>
      <c r="M91" s="339">
        <f t="shared" si="352"/>
        <v>24.109771690721161</v>
      </c>
      <c r="N91" s="339">
        <f t="shared" ref="N91:O91" si="354">N89/N86</f>
        <v>25.902013787348228</v>
      </c>
      <c r="O91" s="339">
        <f t="shared" si="354"/>
        <v>24.678094828726366</v>
      </c>
      <c r="P91" s="339">
        <f t="shared" ref="P91:T91" si="355">P89/P86</f>
        <v>25.030698660230566</v>
      </c>
      <c r="Q91" s="339">
        <f t="shared" si="355"/>
        <v>26.33226181637928</v>
      </c>
      <c r="R91" s="339">
        <f t="shared" ref="R91" si="356">R89/R86</f>
        <v>30.050979957504676</v>
      </c>
      <c r="S91" s="339">
        <f t="shared" si="355"/>
        <v>32.908474610522696</v>
      </c>
      <c r="T91" s="339">
        <f t="shared" si="355"/>
        <v>34.553898341048836</v>
      </c>
      <c r="U91" s="339">
        <f t="shared" ref="U91:Y91" si="357">U89/U86</f>
        <v>36.281593258101282</v>
      </c>
      <c r="V91" s="339">
        <f t="shared" si="357"/>
        <v>38.095672921006347</v>
      </c>
      <c r="W91" s="339">
        <f t="shared" si="357"/>
        <v>40.000456567056666</v>
      </c>
      <c r="X91" s="339">
        <f t="shared" si="357"/>
        <v>42.000479395409499</v>
      </c>
      <c r="Y91" s="339">
        <f t="shared" si="357"/>
        <v>44.100503365179975</v>
      </c>
    </row>
    <row r="93" spans="2:25">
      <c r="B93" s="366" t="s">
        <v>279</v>
      </c>
      <c r="I93" s="336"/>
      <c r="J93" s="336"/>
      <c r="K93" s="336"/>
      <c r="L93" s="336"/>
      <c r="M93" s="336"/>
      <c r="N93" s="336">
        <f>Mobile!J23</f>
        <v>0</v>
      </c>
      <c r="O93" s="336">
        <f>Mobile!K23</f>
        <v>130.80000000000001</v>
      </c>
      <c r="P93" s="336">
        <f>Mobile!L23</f>
        <v>361.62000000000006</v>
      </c>
      <c r="Q93" s="336">
        <f>Mobile!M23</f>
        <v>541.69760999999994</v>
      </c>
      <c r="R93" s="336">
        <f>Mobile!N23</f>
        <v>673.21376399999997</v>
      </c>
      <c r="S93" s="336">
        <f>Mobile!O23</f>
        <v>693.59264347938074</v>
      </c>
      <c r="T93" s="336">
        <f>Mobile!P23</f>
        <v>1066.9650507343933</v>
      </c>
      <c r="U93" s="336">
        <f>Mobile!Q23</f>
        <v>1611.723247511567</v>
      </c>
      <c r="V93" s="336">
        <f>Mobile!R23</f>
        <v>2041.5161135146516</v>
      </c>
      <c r="W93" s="336">
        <f>Mobile!S23</f>
        <v>2471.3089795177361</v>
      </c>
      <c r="X93" s="336">
        <f>Mobile!T23</f>
        <v>2901.10184552082</v>
      </c>
      <c r="Y93" s="336">
        <f>Mobile!U23</f>
        <v>3330.8947115239043</v>
      </c>
    </row>
    <row r="94" spans="2:25">
      <c r="B94" s="370" t="s">
        <v>674</v>
      </c>
      <c r="C94" s="358"/>
      <c r="D94" s="358"/>
      <c r="E94" s="358"/>
      <c r="F94" s="358"/>
      <c r="G94" s="358"/>
      <c r="H94" s="358"/>
      <c r="I94" s="359"/>
      <c r="J94" s="359"/>
      <c r="K94" s="359"/>
      <c r="L94" s="359"/>
      <c r="M94" s="359"/>
      <c r="N94" s="359">
        <f>N95-N93</f>
        <v>166.5431482000007</v>
      </c>
      <c r="O94" s="359">
        <f>O95-O93</f>
        <v>97.873794699998996</v>
      </c>
      <c r="P94" s="359">
        <f>P95-P93</f>
        <v>55.084918750000099</v>
      </c>
      <c r="Q94" s="359">
        <f>Q95-Q93</f>
        <v>108.63827564999872</v>
      </c>
      <c r="R94" s="359">
        <f>R95-R93</f>
        <v>180.97879020000232</v>
      </c>
      <c r="S94" s="484">
        <f>R94*1.3</f>
        <v>235.27242726000301</v>
      </c>
      <c r="T94" s="484">
        <f>S94*1.15</f>
        <v>270.56329134900346</v>
      </c>
      <c r="U94" s="484">
        <f t="shared" ref="U94" si="358">T94*1.05</f>
        <v>284.09145591645364</v>
      </c>
      <c r="V94" s="484">
        <f t="shared" ref="V94" si="359">U94*1.05</f>
        <v>298.29602871227632</v>
      </c>
      <c r="W94" s="484">
        <f t="shared" ref="W94" si="360">V94*1.05</f>
        <v>313.21083014789014</v>
      </c>
      <c r="X94" s="484">
        <f t="shared" ref="X94" si="361">W94*1.05</f>
        <v>328.87137165528463</v>
      </c>
      <c r="Y94" s="484">
        <f t="shared" ref="Y94" si="362">X94*1.05</f>
        <v>345.31494023804891</v>
      </c>
    </row>
    <row r="95" spans="2:25">
      <c r="B95" s="203" t="s">
        <v>2069</v>
      </c>
      <c r="F95" s="203">
        <f>F97-F57</f>
        <v>-1</v>
      </c>
      <c r="G95" s="203">
        <f>G97-G57</f>
        <v>0</v>
      </c>
      <c r="H95" s="203">
        <f>H97-H57</f>
        <v>0</v>
      </c>
      <c r="I95" s="336">
        <f t="shared" ref="I95:M95" si="363">I53</f>
        <v>124.88148409999991</v>
      </c>
      <c r="J95" s="336">
        <f t="shared" si="363"/>
        <v>159.77445450000118</v>
      </c>
      <c r="K95" s="336">
        <f t="shared" si="363"/>
        <v>129.44090209999996</v>
      </c>
      <c r="L95" s="336">
        <f t="shared" si="363"/>
        <v>129.44090209999996</v>
      </c>
      <c r="M95" s="336">
        <f t="shared" si="363"/>
        <v>147.36704434999899</v>
      </c>
      <c r="N95" s="336">
        <f>N53</f>
        <v>166.5431482000007</v>
      </c>
      <c r="O95" s="336">
        <f>O53</f>
        <v>228.67379469999901</v>
      </c>
      <c r="P95" s="336">
        <f>P53</f>
        <v>416.70491875000016</v>
      </c>
      <c r="Q95" s="336">
        <f>Q53</f>
        <v>650.33588564999866</v>
      </c>
      <c r="R95" s="336">
        <f>R53</f>
        <v>854.19255420000229</v>
      </c>
      <c r="S95" s="392">
        <f t="shared" ref="S95:T95" si="364">S93+S94</f>
        <v>928.86507073938378</v>
      </c>
      <c r="T95" s="392">
        <f t="shared" si="364"/>
        <v>1337.5283420833969</v>
      </c>
      <c r="U95" s="392">
        <f t="shared" ref="U95:Y95" si="365">U93+U94</f>
        <v>1895.8147034280207</v>
      </c>
      <c r="V95" s="392">
        <f t="shared" si="365"/>
        <v>2339.8121422269278</v>
      </c>
      <c r="W95" s="392">
        <f t="shared" si="365"/>
        <v>2784.5198096656263</v>
      </c>
      <c r="X95" s="392">
        <f t="shared" si="365"/>
        <v>3229.9732171761048</v>
      </c>
      <c r="Y95" s="392">
        <f t="shared" si="365"/>
        <v>3676.2096517619534</v>
      </c>
    </row>
    <row r="96" spans="2:25">
      <c r="I96" s="336"/>
      <c r="J96" s="336"/>
      <c r="K96" s="336"/>
      <c r="L96" s="336"/>
      <c r="M96" s="336"/>
      <c r="N96" s="336"/>
      <c r="O96" s="392"/>
      <c r="P96" s="392"/>
      <c r="Q96" s="392"/>
      <c r="R96" s="392"/>
      <c r="S96" s="392"/>
      <c r="T96" s="392"/>
      <c r="U96" s="392"/>
      <c r="V96" s="392"/>
      <c r="W96" s="392"/>
      <c r="X96" s="392"/>
      <c r="Y96" s="392"/>
    </row>
    <row r="97" spans="2:25">
      <c r="B97" s="203" t="s">
        <v>188</v>
      </c>
      <c r="F97" s="203">
        <f>Master!K7</f>
        <v>8249</v>
      </c>
      <c r="G97" s="203">
        <f>Master!L7</f>
        <v>8977</v>
      </c>
      <c r="H97" s="203">
        <f>Master!M7</f>
        <v>10068</v>
      </c>
      <c r="I97" s="203">
        <f>Master!N7</f>
        <v>11475</v>
      </c>
      <c r="J97" s="203">
        <f>Master!O7</f>
        <v>14557</v>
      </c>
      <c r="K97" s="203">
        <f>Master!P7</f>
        <v>16957</v>
      </c>
      <c r="L97" s="203">
        <f>Master!Q7</f>
        <v>17287</v>
      </c>
      <c r="M97" s="203">
        <f>Master!R7</f>
        <v>19436</v>
      </c>
      <c r="N97" s="203">
        <f>Master!S7</f>
        <v>21604</v>
      </c>
      <c r="O97" s="336">
        <f>O57</f>
        <v>22390.929000000004</v>
      </c>
      <c r="P97" s="336">
        <f t="shared" ref="P97:T97" si="366">P57</f>
        <v>24634.396000000001</v>
      </c>
      <c r="Q97" s="336">
        <f t="shared" si="366"/>
        <v>27155.291000000001</v>
      </c>
      <c r="R97" s="336">
        <f t="shared" si="366"/>
        <v>29870.541000000005</v>
      </c>
      <c r="S97" s="336">
        <f t="shared" si="366"/>
        <v>33085.7435653906</v>
      </c>
      <c r="T97" s="336">
        <f t="shared" si="366"/>
        <v>36026.705486593608</v>
      </c>
      <c r="U97" s="336">
        <f t="shared" ref="U97:Y97" si="367">U57</f>
        <v>38748.862943517532</v>
      </c>
      <c r="V97" s="336">
        <f t="shared" si="367"/>
        <v>40988.179882362921</v>
      </c>
      <c r="W97" s="336">
        <f t="shared" si="367"/>
        <v>43060.801348991758</v>
      </c>
      <c r="X97" s="336">
        <f t="shared" si="367"/>
        <v>45094.405156194065</v>
      </c>
      <c r="Y97" s="336">
        <f t="shared" si="367"/>
        <v>47173.29426766243</v>
      </c>
    </row>
    <row r="98" spans="2:25">
      <c r="B98" s="203" t="s">
        <v>2</v>
      </c>
      <c r="H98" s="337">
        <f>H97/G97-1</f>
        <v>0.121532806059931</v>
      </c>
      <c r="I98" s="337">
        <f>I97/H97-1</f>
        <v>0.13974970202622172</v>
      </c>
      <c r="J98" s="337">
        <f>J97/I97-1</f>
        <v>0.26858387799564265</v>
      </c>
      <c r="K98" s="337">
        <f t="shared" ref="K98:T98" si="368">K97/J97-1</f>
        <v>0.16486913512399526</v>
      </c>
      <c r="L98" s="337">
        <f t="shared" si="368"/>
        <v>1.9460989561832953E-2</v>
      </c>
      <c r="M98" s="337">
        <f>M97/L97-1</f>
        <v>0.12431306762306926</v>
      </c>
      <c r="N98" s="337">
        <f t="shared" si="368"/>
        <v>0.11154558551142202</v>
      </c>
      <c r="O98" s="337">
        <f>O97/N97-1</f>
        <v>3.6425152749490985E-2</v>
      </c>
      <c r="P98" s="337">
        <f t="shared" si="368"/>
        <v>0.10019535143003644</v>
      </c>
      <c r="Q98" s="337">
        <f t="shared" si="368"/>
        <v>0.1023323242834937</v>
      </c>
      <c r="R98" s="337">
        <f t="shared" si="368"/>
        <v>9.9989722076629706E-2</v>
      </c>
      <c r="S98" s="337">
        <f t="shared" si="368"/>
        <v>0.10763790871382595</v>
      </c>
      <c r="T98" s="337">
        <f t="shared" si="368"/>
        <v>8.8889098574753023E-2</v>
      </c>
      <c r="U98" s="337">
        <f t="shared" ref="U98" si="369">U97/T97-1</f>
        <v>7.5559433485720806E-2</v>
      </c>
      <c r="V98" s="337">
        <f t="shared" ref="V98" si="370">V97/U97-1</f>
        <v>5.7790519998213608E-2</v>
      </c>
      <c r="W98" s="337">
        <f t="shared" ref="W98" si="371">W97/V97-1</f>
        <v>5.0566321133978409E-2</v>
      </c>
      <c r="X98" s="337">
        <f t="shared" ref="X98" si="372">X97/W97-1</f>
        <v>4.7226334473450926E-2</v>
      </c>
      <c r="Y98" s="337">
        <f t="shared" ref="Y98" si="373">Y97/X97-1</f>
        <v>4.6100821249724699E-2</v>
      </c>
    </row>
    <row r="100" spans="2:25">
      <c r="B100" s="203" t="s">
        <v>281</v>
      </c>
      <c r="F100" s="468">
        <v>3561</v>
      </c>
      <c r="G100" s="468">
        <v>3777</v>
      </c>
      <c r="H100" s="468">
        <v>4356</v>
      </c>
      <c r="I100" s="468">
        <v>4883</v>
      </c>
      <c r="J100" s="468">
        <v>5843</v>
      </c>
      <c r="K100" s="468">
        <v>6915</v>
      </c>
      <c r="L100" s="468">
        <v>7715</v>
      </c>
      <c r="M100" s="468">
        <v>9347</v>
      </c>
      <c r="N100" s="468">
        <f>Master!S12</f>
        <v>10161</v>
      </c>
      <c r="O100" s="468">
        <f>Master!T12</f>
        <v>11037</v>
      </c>
      <c r="P100" s="468">
        <f>Master!U12</f>
        <v>12116</v>
      </c>
      <c r="Q100" s="468">
        <f>Master!V12</f>
        <v>12769.018</v>
      </c>
      <c r="R100" s="468">
        <f>Master!W12</f>
        <v>13319.993</v>
      </c>
      <c r="S100" s="392">
        <f t="shared" ref="S100:T100" si="374">S103+S108</f>
        <v>15052.832575733581</v>
      </c>
      <c r="T100" s="392">
        <f t="shared" si="374"/>
        <v>16703.957652064935</v>
      </c>
      <c r="U100" s="392">
        <f t="shared" ref="U100:Y100" si="375">U103+U108</f>
        <v>18327.740334193342</v>
      </c>
      <c r="V100" s="392">
        <f t="shared" si="375"/>
        <v>19380.874705245034</v>
      </c>
      <c r="W100" s="392">
        <f t="shared" si="375"/>
        <v>20348.811684158078</v>
      </c>
      <c r="X100" s="392">
        <f t="shared" si="375"/>
        <v>21293.802702552686</v>
      </c>
      <c r="Y100" s="392">
        <f t="shared" si="375"/>
        <v>22256.816417354494</v>
      </c>
    </row>
    <row r="101" spans="2:25">
      <c r="B101" s="203" t="s">
        <v>280</v>
      </c>
      <c r="F101" s="338">
        <f>F100/F97</f>
        <v>0.43168868953812584</v>
      </c>
      <c r="G101" s="338">
        <f t="shared" ref="G101:T101" si="376">G100/G97</f>
        <v>0.42074189595633282</v>
      </c>
      <c r="H101" s="338">
        <f t="shared" si="376"/>
        <v>0.43265792610250298</v>
      </c>
      <c r="I101" s="338">
        <f t="shared" si="376"/>
        <v>0.42553376906318086</v>
      </c>
      <c r="J101" s="338">
        <f t="shared" si="376"/>
        <v>0.40138764855396031</v>
      </c>
      <c r="K101" s="338">
        <f t="shared" si="376"/>
        <v>0.40779619036386155</v>
      </c>
      <c r="L101" s="338">
        <f t="shared" si="376"/>
        <v>0.44628911899114942</v>
      </c>
      <c r="M101" s="338">
        <f t="shared" ref="M101:N101" si="377">M100/M97</f>
        <v>0.48091171022844209</v>
      </c>
      <c r="N101" s="338">
        <f t="shared" si="377"/>
        <v>0.47032956859840769</v>
      </c>
      <c r="O101" s="338">
        <f t="shared" ref="O101" si="378">O100/O97</f>
        <v>0.49292282602477094</v>
      </c>
      <c r="P101" s="338">
        <f t="shared" si="376"/>
        <v>0.49183263920901488</v>
      </c>
      <c r="Q101" s="338">
        <f t="shared" si="376"/>
        <v>0.47022210146818161</v>
      </c>
      <c r="R101" s="338">
        <f t="shared" si="376"/>
        <v>0.44592406277475855</v>
      </c>
      <c r="S101" s="338">
        <f t="shared" si="376"/>
        <v>0.45496431252884467</v>
      </c>
      <c r="T101" s="338">
        <f t="shared" si="376"/>
        <v>0.46365487563887503</v>
      </c>
      <c r="U101" s="338">
        <f t="shared" ref="U101:Y101" si="379">U100/U97</f>
        <v>0.47298782317584032</v>
      </c>
      <c r="V101" s="338">
        <f t="shared" si="379"/>
        <v>0.47284057893930931</v>
      </c>
      <c r="W101" s="338">
        <f t="shared" si="379"/>
        <v>0.4725599860355254</v>
      </c>
      <c r="X101" s="338">
        <f t="shared" si="379"/>
        <v>0.47220498039162667</v>
      </c>
      <c r="Y101" s="338">
        <f t="shared" si="379"/>
        <v>0.47180967034162957</v>
      </c>
    </row>
    <row r="103" spans="2:25">
      <c r="B103" s="203" t="s">
        <v>2076</v>
      </c>
      <c r="F103" s="336">
        <f t="shared" ref="F103:L103" si="380">F100-F108</f>
        <v>61</v>
      </c>
      <c r="G103" s="336">
        <f t="shared" si="380"/>
        <v>82</v>
      </c>
      <c r="H103" s="336">
        <f t="shared" si="380"/>
        <v>139</v>
      </c>
      <c r="I103" s="336">
        <f t="shared" si="380"/>
        <v>273</v>
      </c>
      <c r="J103" s="336">
        <f t="shared" si="380"/>
        <v>376</v>
      </c>
      <c r="K103" s="336">
        <f t="shared" si="380"/>
        <v>467</v>
      </c>
      <c r="L103" s="336">
        <f t="shared" si="380"/>
        <v>490</v>
      </c>
      <c r="M103" s="336">
        <f t="shared" ref="M103:N103" si="381">M100-M108</f>
        <v>503.12700000000041</v>
      </c>
      <c r="N103" s="336">
        <f t="shared" si="381"/>
        <v>744.39300000000003</v>
      </c>
      <c r="O103" s="336">
        <f t="shared" ref="O103:Q103" si="382">O100-O108</f>
        <v>690.57600000000093</v>
      </c>
      <c r="P103" s="336">
        <f t="shared" si="382"/>
        <v>644.02600000000166</v>
      </c>
      <c r="Q103" s="336">
        <f t="shared" si="382"/>
        <v>705.5010000000002</v>
      </c>
      <c r="R103" s="336">
        <f t="shared" ref="R103" si="383">R100-R108</f>
        <v>706.80400000000009</v>
      </c>
      <c r="S103" s="336">
        <f t="shared" ref="S103:T103" si="384">S104*(S64+S65+S66)</f>
        <v>801.47444999999993</v>
      </c>
      <c r="T103" s="336">
        <f t="shared" si="384"/>
        <v>824.40537410000013</v>
      </c>
      <c r="U103" s="336">
        <f t="shared" ref="U103:Y103" si="385">U104*(U64+U65+U66)</f>
        <v>878.93667750700024</v>
      </c>
      <c r="V103" s="336">
        <f t="shared" si="385"/>
        <v>937.77791615039018</v>
      </c>
      <c r="W103" s="336">
        <f t="shared" si="385"/>
        <v>1001.3079691305105</v>
      </c>
      <c r="X103" s="336">
        <f t="shared" si="385"/>
        <v>1069.941098643209</v>
      </c>
      <c r="Y103" s="336">
        <f t="shared" si="385"/>
        <v>1144.1303650667978</v>
      </c>
    </row>
    <row r="104" spans="2:25">
      <c r="B104" s="203" t="s">
        <v>667</v>
      </c>
      <c r="F104" s="338"/>
      <c r="G104" s="338"/>
      <c r="H104" s="338">
        <f ca="1">H103/H67</f>
        <v>0.20095417088333059</v>
      </c>
      <c r="I104" s="338">
        <f t="shared" ref="I104:M104" si="386">I103/(I64+I65+I66)</f>
        <v>0.25114995400183993</v>
      </c>
      <c r="J104" s="338">
        <f t="shared" si="386"/>
        <v>0.16520210896309315</v>
      </c>
      <c r="K104" s="338">
        <f t="shared" si="386"/>
        <v>0.18906882591093119</v>
      </c>
      <c r="L104" s="338">
        <f t="shared" si="386"/>
        <v>0.26161238654564867</v>
      </c>
      <c r="M104" s="338">
        <f t="shared" si="386"/>
        <v>0.26480368421052652</v>
      </c>
      <c r="N104" s="338">
        <f>N103/(N64+N65+N66)</f>
        <v>0.30772757337742868</v>
      </c>
      <c r="O104" s="338">
        <f>O103/(O64+O65+O66)</f>
        <v>0.340688702516034</v>
      </c>
      <c r="P104" s="338">
        <f>P103/(P64+P65+P66)</f>
        <v>0.30757511645833036</v>
      </c>
      <c r="Q104" s="338">
        <f>Q103/(Q64+Q65+Q66)</f>
        <v>0.27267541159241832</v>
      </c>
      <c r="R104" s="338">
        <f>R103/(R64+R65+R66)</f>
        <v>0.27597823735712118</v>
      </c>
      <c r="S104" s="485">
        <v>0.28999999999999998</v>
      </c>
      <c r="T104" s="485">
        <v>0.28000000000000003</v>
      </c>
      <c r="U104" s="485">
        <v>0.28000000000000003</v>
      </c>
      <c r="V104" s="485">
        <v>0.28000000000000003</v>
      </c>
      <c r="W104" s="485">
        <v>0.28000000000000003</v>
      </c>
      <c r="X104" s="485">
        <v>0.28000000000000003</v>
      </c>
      <c r="Y104" s="485">
        <v>0.28000000000000003</v>
      </c>
    </row>
    <row r="105" spans="2:25">
      <c r="B105" s="203" t="s">
        <v>668</v>
      </c>
      <c r="F105" s="338"/>
      <c r="G105" s="338"/>
      <c r="H105" s="338"/>
      <c r="I105" s="336">
        <f t="shared" ref="I105:T105" si="387">0.08*I66</f>
        <v>8.8800000000000008</v>
      </c>
      <c r="J105" s="336">
        <f t="shared" si="387"/>
        <v>36.56</v>
      </c>
      <c r="K105" s="336">
        <f t="shared" si="387"/>
        <v>23.04</v>
      </c>
      <c r="L105" s="336">
        <f t="shared" si="387"/>
        <v>23.92</v>
      </c>
      <c r="M105" s="336">
        <f t="shared" si="387"/>
        <v>24.080000000000002</v>
      </c>
      <c r="N105" s="336">
        <f t="shared" si="387"/>
        <v>25.68</v>
      </c>
      <c r="O105" s="336">
        <f t="shared" ref="O105" si="388">0.08*O66</f>
        <v>24.32</v>
      </c>
      <c r="P105" s="336">
        <f t="shared" si="387"/>
        <v>25.91056</v>
      </c>
      <c r="Q105" s="336">
        <f t="shared" si="387"/>
        <v>29.27112</v>
      </c>
      <c r="R105" s="336">
        <f t="shared" si="387"/>
        <v>29.442880000000002</v>
      </c>
      <c r="S105" s="336">
        <f t="shared" si="387"/>
        <v>29.442880000000002</v>
      </c>
      <c r="T105" s="336">
        <f t="shared" si="387"/>
        <v>30.031737600000003</v>
      </c>
      <c r="U105" s="336">
        <f t="shared" ref="U105:Y105" si="389">0.08*U66</f>
        <v>30.632372352000004</v>
      </c>
      <c r="V105" s="336">
        <f t="shared" si="389"/>
        <v>31.245019799040001</v>
      </c>
      <c r="W105" s="336">
        <f t="shared" si="389"/>
        <v>31.8699201950208</v>
      </c>
      <c r="X105" s="336">
        <f t="shared" si="389"/>
        <v>32.507318598921216</v>
      </c>
      <c r="Y105" s="336">
        <f t="shared" si="389"/>
        <v>33.157464970899639</v>
      </c>
    </row>
    <row r="106" spans="2:25">
      <c r="B106" s="203" t="s">
        <v>669</v>
      </c>
      <c r="F106" s="338"/>
      <c r="G106" s="338"/>
      <c r="H106" s="338"/>
      <c r="I106" s="338">
        <f t="shared" ref="I106:T106" si="390">(I103-I105)/(I67-I66)</f>
        <v>0.21610723867609369</v>
      </c>
      <c r="J106" s="338">
        <f t="shared" si="390"/>
        <v>0.15338780353672221</v>
      </c>
      <c r="K106" s="338">
        <f t="shared" si="390"/>
        <v>0.15648924920690871</v>
      </c>
      <c r="L106" s="338">
        <f t="shared" si="390"/>
        <v>0.1852464228934817</v>
      </c>
      <c r="M106" s="338">
        <f t="shared" si="390"/>
        <v>0.15222338735303478</v>
      </c>
      <c r="N106" s="338">
        <f t="shared" si="390"/>
        <v>0.18258764721767831</v>
      </c>
      <c r="O106" s="338">
        <f t="shared" ref="O106" si="391">(O103-O105)/(O67-O66)</f>
        <v>0.18501971674534876</v>
      </c>
      <c r="P106" s="338">
        <f t="shared" si="390"/>
        <v>0.15955483737738815</v>
      </c>
      <c r="Q106" s="338">
        <f t="shared" si="390"/>
        <v>0.14047615615056669</v>
      </c>
      <c r="R106" s="338">
        <f t="shared" si="390"/>
        <v>0.13453187311331258</v>
      </c>
      <c r="S106" s="338">
        <f t="shared" si="390"/>
        <v>0.14308356757984966</v>
      </c>
      <c r="T106" s="338">
        <f t="shared" si="390"/>
        <v>0.13535288185150196</v>
      </c>
      <c r="U106" s="338">
        <f t="shared" ref="U106:Y106" si="392">(U103-U105)/(U67-U66)</f>
        <v>0.13283490885504773</v>
      </c>
      <c r="V106" s="338">
        <f t="shared" si="392"/>
        <v>0.13040553915658565</v>
      </c>
      <c r="W106" s="338">
        <f t="shared" si="392"/>
        <v>0.1280627125146408</v>
      </c>
      <c r="X106" s="338">
        <f t="shared" si="392"/>
        <v>0.12580434295745055</v>
      </c>
      <c r="Y106" s="338">
        <f t="shared" si="392"/>
        <v>0.12362832416211687</v>
      </c>
    </row>
    <row r="108" spans="2:25">
      <c r="B108" s="203" t="s">
        <v>1372</v>
      </c>
      <c r="F108" s="468">
        <v>3500</v>
      </c>
      <c r="G108" s="468">
        <v>3695</v>
      </c>
      <c r="H108" s="468">
        <v>4217</v>
      </c>
      <c r="I108" s="468">
        <v>4610</v>
      </c>
      <c r="J108" s="468">
        <v>5467</v>
      </c>
      <c r="K108" s="468">
        <v>6448</v>
      </c>
      <c r="L108" s="468">
        <v>7225</v>
      </c>
      <c r="M108" s="468">
        <f>SUM(Quarts!AQ111:AT111)</f>
        <v>8843.8729999999996</v>
      </c>
      <c r="N108" s="468">
        <f>SUM(Quarts!AU111:AX111)</f>
        <v>9416.607</v>
      </c>
      <c r="O108" s="468">
        <f>SUM(Quarts!AY111:BB111)</f>
        <v>10346.423999999999</v>
      </c>
      <c r="P108" s="468">
        <f>SUM(Quarts!BC111:BF111)</f>
        <v>11471.973999999998</v>
      </c>
      <c r="Q108" s="468">
        <f>SUM(Quarts!BG111:BJ111)</f>
        <v>12063.517</v>
      </c>
      <c r="R108" s="468">
        <f>SUM(Quarts!BK111:BN111)</f>
        <v>12613.189</v>
      </c>
      <c r="S108" s="392">
        <f t="shared" ref="S108:T108" si="393">S109*S59</f>
        <v>14251.358125733581</v>
      </c>
      <c r="T108" s="392">
        <f t="shared" si="393"/>
        <v>15879.552277964935</v>
      </c>
      <c r="U108" s="392">
        <f t="shared" ref="U108:Y108" si="394">U109*U59</f>
        <v>17448.803656686341</v>
      </c>
      <c r="V108" s="392">
        <f t="shared" si="394"/>
        <v>18443.096789094645</v>
      </c>
      <c r="W108" s="392">
        <f t="shared" si="394"/>
        <v>19347.503715027568</v>
      </c>
      <c r="X108" s="392">
        <f t="shared" si="394"/>
        <v>20223.861603909478</v>
      </c>
      <c r="Y108" s="392">
        <f t="shared" si="394"/>
        <v>21112.686052287696</v>
      </c>
    </row>
    <row r="109" spans="2:25">
      <c r="B109" s="203" t="s">
        <v>667</v>
      </c>
      <c r="F109" s="338"/>
      <c r="G109" s="338"/>
      <c r="H109" s="338">
        <f t="shared" ref="H109:R109" ca="1" si="395">H108/H59</f>
        <v>0.44282552296360639</v>
      </c>
      <c r="I109" s="338">
        <f t="shared" si="395"/>
        <v>0.44376923922550421</v>
      </c>
      <c r="J109" s="338">
        <f t="shared" si="395"/>
        <v>0.44514650262389721</v>
      </c>
      <c r="K109" s="338">
        <f t="shared" si="395"/>
        <v>0.43987016109857729</v>
      </c>
      <c r="L109" s="338">
        <f t="shared" si="395"/>
        <v>0.47098660579281587</v>
      </c>
      <c r="M109" s="338">
        <f t="shared" si="395"/>
        <v>0.50431045076387526</v>
      </c>
      <c r="N109" s="338">
        <f t="shared" si="395"/>
        <v>0.49085886423748198</v>
      </c>
      <c r="O109" s="338">
        <f t="shared" si="395"/>
        <v>0.50807602010397879</v>
      </c>
      <c r="P109" s="338">
        <f t="shared" si="395"/>
        <v>0.5089490860767415</v>
      </c>
      <c r="Q109" s="338">
        <f t="shared" si="395"/>
        <v>0.49102636189359133</v>
      </c>
      <c r="R109" s="338">
        <f t="shared" si="395"/>
        <v>0.46186161532699932</v>
      </c>
      <c r="S109" s="485">
        <v>0.47</v>
      </c>
      <c r="T109" s="485">
        <v>0.48</v>
      </c>
      <c r="U109" s="485">
        <v>0.49</v>
      </c>
      <c r="V109" s="485">
        <v>0.49</v>
      </c>
      <c r="W109" s="485">
        <v>0.49</v>
      </c>
      <c r="X109" s="485">
        <v>0.49</v>
      </c>
      <c r="Y109" s="485">
        <v>0.49</v>
      </c>
    </row>
    <row r="110" spans="2:25">
      <c r="B110" s="356" t="s">
        <v>2078</v>
      </c>
      <c r="F110" s="338"/>
      <c r="G110" s="338"/>
      <c r="H110" s="338"/>
      <c r="I110" s="338"/>
      <c r="J110" s="338"/>
      <c r="K110" s="338"/>
      <c r="L110" s="338"/>
      <c r="M110" s="338"/>
      <c r="N110" s="383">
        <f>0.2*N53</f>
        <v>33.308629640000142</v>
      </c>
      <c r="O110" s="383">
        <f t="shared" ref="O110:T110" si="396">0.2*O53</f>
        <v>45.734758939999807</v>
      </c>
      <c r="P110" s="383">
        <f t="shared" si="396"/>
        <v>83.340983750000035</v>
      </c>
      <c r="Q110" s="383">
        <f t="shared" si="396"/>
        <v>130.06717712999975</v>
      </c>
      <c r="R110" s="383">
        <f t="shared" si="396"/>
        <v>170.83851084000048</v>
      </c>
      <c r="S110" s="383">
        <f t="shared" si="396"/>
        <v>185.77301414787678</v>
      </c>
      <c r="T110" s="383">
        <f t="shared" si="396"/>
        <v>267.50566841667938</v>
      </c>
      <c r="U110" s="383">
        <f t="shared" ref="U110:Y110" si="397">0.2*U53</f>
        <v>379.16294068560416</v>
      </c>
      <c r="V110" s="383">
        <f t="shared" si="397"/>
        <v>467.96242844538557</v>
      </c>
      <c r="W110" s="383">
        <f t="shared" si="397"/>
        <v>556.90396193312529</v>
      </c>
      <c r="X110" s="383">
        <f t="shared" si="397"/>
        <v>645.99464343522095</v>
      </c>
      <c r="Y110" s="383">
        <f t="shared" si="397"/>
        <v>735.24193035239068</v>
      </c>
    </row>
    <row r="111" spans="2:25">
      <c r="B111" s="356" t="s">
        <v>2079</v>
      </c>
      <c r="F111" s="338"/>
      <c r="G111" s="338"/>
      <c r="H111" s="338"/>
      <c r="I111" s="338"/>
      <c r="J111" s="338"/>
      <c r="K111" s="338"/>
      <c r="L111" s="338"/>
      <c r="M111" s="338"/>
      <c r="N111" s="382">
        <f>(N108-N110)/(N59-N53)</f>
        <v>0.49340603466829747</v>
      </c>
      <c r="O111" s="382">
        <f t="shared" ref="O111:T111" si="398">(O108-O110)/(O59-O53)</f>
        <v>0.51157480429394564</v>
      </c>
      <c r="P111" s="382">
        <f t="shared" si="398"/>
        <v>0.51476818365341526</v>
      </c>
      <c r="Q111" s="382">
        <f t="shared" si="398"/>
        <v>0.49893955887663183</v>
      </c>
      <c r="R111" s="382">
        <f t="shared" si="398"/>
        <v>0.47031665305347703</v>
      </c>
      <c r="S111" s="382">
        <f t="shared" si="398"/>
        <v>0.47853237467350268</v>
      </c>
      <c r="T111" s="382">
        <f t="shared" si="398"/>
        <v>0.49179743087284272</v>
      </c>
      <c r="U111" s="382">
        <f t="shared" ref="U111:Y111" si="399">(U108-U110)/(U59-U53)</f>
        <v>0.50630736336931825</v>
      </c>
      <c r="V111" s="382">
        <f t="shared" si="399"/>
        <v>0.50922270966243954</v>
      </c>
      <c r="W111" s="382">
        <f t="shared" si="399"/>
        <v>0.51200290866441511</v>
      </c>
      <c r="X111" s="382">
        <f t="shared" si="399"/>
        <v>0.51462179561483279</v>
      </c>
      <c r="Y111" s="382">
        <f t="shared" si="399"/>
        <v>0.51705090903206352</v>
      </c>
    </row>
    <row r="113" spans="2:25">
      <c r="B113" s="203" t="s">
        <v>22</v>
      </c>
      <c r="F113" s="486">
        <v>1974</v>
      </c>
      <c r="G113" s="486">
        <v>1985</v>
      </c>
      <c r="H113" s="486">
        <v>2000</v>
      </c>
      <c r="I113" s="486">
        <v>2336</v>
      </c>
      <c r="J113" s="486">
        <v>3765</v>
      </c>
      <c r="K113" s="486">
        <v>4874</v>
      </c>
      <c r="L113" s="486">
        <v>4692</v>
      </c>
      <c r="M113" s="486">
        <v>5753</v>
      </c>
      <c r="N113" s="486">
        <v>6535</v>
      </c>
      <c r="O113" s="486">
        <v>8081</v>
      </c>
      <c r="P113" s="486">
        <v>9466.5730000000003</v>
      </c>
      <c r="Q113" s="486">
        <v>11836</v>
      </c>
      <c r="R113" s="486">
        <v>12949</v>
      </c>
      <c r="S113" s="392">
        <f t="shared" ref="S113:T113" si="400">S114*S97</f>
        <v>10918.295376578899</v>
      </c>
      <c r="T113" s="392">
        <f t="shared" si="400"/>
        <v>10087.477536246211</v>
      </c>
      <c r="U113" s="392">
        <f t="shared" ref="U113:Y113" si="401">U114*U97</f>
        <v>9687.2157358793829</v>
      </c>
      <c r="V113" s="392">
        <f t="shared" si="401"/>
        <v>9427.2813729434729</v>
      </c>
      <c r="W113" s="392">
        <f t="shared" si="401"/>
        <v>9903.9843102681043</v>
      </c>
      <c r="X113" s="392">
        <f t="shared" si="401"/>
        <v>10371.713185924635</v>
      </c>
      <c r="Y113" s="392">
        <f t="shared" si="401"/>
        <v>10849.85768156236</v>
      </c>
    </row>
    <row r="114" spans="2:25">
      <c r="B114" s="203" t="s">
        <v>1677</v>
      </c>
      <c r="F114" s="338">
        <f t="shared" ref="F114:L114" si="402">F113/F97</f>
        <v>0.23930173354345982</v>
      </c>
      <c r="G114" s="338">
        <f t="shared" si="402"/>
        <v>0.22112064163974601</v>
      </c>
      <c r="H114" s="338">
        <f t="shared" si="402"/>
        <v>0.1986491855383393</v>
      </c>
      <c r="I114" s="338">
        <f t="shared" si="402"/>
        <v>0.20357298474945534</v>
      </c>
      <c r="J114" s="338">
        <f t="shared" si="402"/>
        <v>0.25863845572576766</v>
      </c>
      <c r="K114" s="338">
        <f t="shared" si="402"/>
        <v>0.28743291855870734</v>
      </c>
      <c r="L114" s="338">
        <f t="shared" si="402"/>
        <v>0.27141782842598483</v>
      </c>
      <c r="M114" s="338">
        <f t="shared" ref="M114:N114" si="403">M113/M97</f>
        <v>0.29599711874871371</v>
      </c>
      <c r="N114" s="338">
        <f t="shared" si="403"/>
        <v>0.30249027957785596</v>
      </c>
      <c r="O114" s="338">
        <f t="shared" ref="O114" si="404">O113/O97</f>
        <v>0.36090507901659635</v>
      </c>
      <c r="P114" s="338">
        <f t="shared" ref="P114:R114" si="405">P113/P97</f>
        <v>0.38428273216035008</v>
      </c>
      <c r="Q114" s="338">
        <f t="shared" si="405"/>
        <v>0.43586349341643954</v>
      </c>
      <c r="R114" s="338">
        <f t="shared" si="405"/>
        <v>0.43350403328818177</v>
      </c>
      <c r="S114" s="485">
        <v>0.33</v>
      </c>
      <c r="T114" s="485">
        <v>0.28000000000000003</v>
      </c>
      <c r="U114" s="485">
        <v>0.25</v>
      </c>
      <c r="V114" s="485">
        <v>0.23</v>
      </c>
      <c r="W114" s="485">
        <v>0.23</v>
      </c>
      <c r="X114" s="485">
        <v>0.23</v>
      </c>
      <c r="Y114" s="485">
        <v>0.23</v>
      </c>
    </row>
    <row r="115" spans="2:25">
      <c r="B115" s="203" t="s">
        <v>997</v>
      </c>
      <c r="F115" s="392">
        <f t="shared" ref="F115:T115" si="406">F113/F86</f>
        <v>159.19354838709677</v>
      </c>
      <c r="G115" s="392">
        <f t="shared" si="406"/>
        <v>150.37878787878788</v>
      </c>
      <c r="H115" s="392">
        <f t="shared" si="406"/>
        <v>156.73981191222572</v>
      </c>
      <c r="I115" s="392">
        <f t="shared" si="406"/>
        <v>175.6390977443609</v>
      </c>
      <c r="J115" s="392">
        <f t="shared" si="406"/>
        <v>228.18181818181819</v>
      </c>
      <c r="K115" s="392">
        <f t="shared" si="406"/>
        <v>257.88359788359793</v>
      </c>
      <c r="L115" s="392">
        <f t="shared" si="406"/>
        <v>253.62162162162161</v>
      </c>
      <c r="M115" s="392">
        <f t="shared" si="406"/>
        <v>299.63541666666669</v>
      </c>
      <c r="N115" s="392">
        <f t="shared" si="406"/>
        <v>339.48051948051949</v>
      </c>
      <c r="O115" s="392">
        <f t="shared" ref="O115:P115" si="407">O113/O86</f>
        <v>404.05</v>
      </c>
      <c r="P115" s="392">
        <f t="shared" si="407"/>
        <v>466.67157991254754</v>
      </c>
      <c r="Q115" s="392">
        <f t="shared" si="406"/>
        <v>588.85572139303474</v>
      </c>
      <c r="R115" s="392">
        <f t="shared" si="406"/>
        <v>730.34404963338977</v>
      </c>
      <c r="S115" s="392">
        <f t="shared" si="406"/>
        <v>642.25266921052344</v>
      </c>
      <c r="T115" s="392">
        <f t="shared" si="406"/>
        <v>593.38103154389478</v>
      </c>
      <c r="U115" s="392">
        <f t="shared" ref="U115:Y115" si="408">U113/U86</f>
        <v>569.83621975761071</v>
      </c>
      <c r="V115" s="392">
        <f t="shared" si="408"/>
        <v>554.54596311432192</v>
      </c>
      <c r="W115" s="392">
        <f t="shared" si="408"/>
        <v>582.58731236871199</v>
      </c>
      <c r="X115" s="392">
        <f t="shared" si="408"/>
        <v>610.10077564262554</v>
      </c>
      <c r="Y115" s="392">
        <f t="shared" si="408"/>
        <v>638.22692244484472</v>
      </c>
    </row>
    <row r="116" spans="2:25">
      <c r="N116" s="392"/>
    </row>
    <row r="117" spans="2:25">
      <c r="N117" s="338"/>
      <c r="Q117" s="392"/>
      <c r="R117" s="392"/>
      <c r="S117" s="392"/>
      <c r="T117" s="392"/>
      <c r="U117" s="392"/>
      <c r="V117" s="392"/>
    </row>
    <row r="118" spans="2:25">
      <c r="Q118" s="392"/>
      <c r="R118" s="392"/>
      <c r="S118" s="392"/>
      <c r="T118" s="392"/>
      <c r="U118" s="392"/>
      <c r="V118" s="392"/>
    </row>
    <row r="119" spans="2:25">
      <c r="Q119" s="365"/>
      <c r="R119" s="365"/>
      <c r="S119" s="365"/>
      <c r="T119" s="365"/>
      <c r="U119" s="365"/>
      <c r="V119" s="365"/>
    </row>
  </sheetData>
  <pageMargins left="0.7" right="0.7" top="0.75" bottom="0.75" header="0.3" footer="0.3"/>
  <pageSetup paperSize="9" orientation="portrait" r:id="rId1"/>
  <ignoredErrors>
    <ignoredError sqref="G81:Q81 G77:H80 Z77:Z80 I77:Q77 I59:Y60 I62:Y62 I61:Q61 I79:Q79 I78:Q78 U78:Y78 I76:Q76 T76:Y76 I67:Y74 I65:Q65 T65:Y65 I80:Q80 T80:Y80 I64:Q64 T64:Y64 I66:Q66 T66:Y66 I63:Q63 T63:Y63 G83:Z83 G82:Q82 S82:Z82 S81:Z81 S77:Y77 S79:Y79 I75:Q75 S75:Y75"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E37"/>
  <sheetViews>
    <sheetView zoomScale="75" zoomScaleNormal="75" workbookViewId="0"/>
  </sheetViews>
  <sheetFormatPr defaultRowHeight="15"/>
  <cols>
    <col min="1" max="1" width="2.7109375" customWidth="1"/>
    <col min="2" max="2" width="23.140625" bestFit="1" customWidth="1"/>
    <col min="3" max="21" width="10.7109375" customWidth="1"/>
  </cols>
  <sheetData>
    <row r="3" spans="2:31" ht="15.75">
      <c r="B3" s="16" t="s">
        <v>195</v>
      </c>
      <c r="C3" s="16">
        <f>D3-1</f>
        <v>2012</v>
      </c>
      <c r="D3" s="16">
        <f>E3-1</f>
        <v>2013</v>
      </c>
      <c r="E3" s="16">
        <v>2014</v>
      </c>
      <c r="F3" s="16">
        <f>E3+1</f>
        <v>2015</v>
      </c>
      <c r="G3" s="16">
        <f t="shared" ref="G3:P3" si="0">F3+1</f>
        <v>2016</v>
      </c>
      <c r="H3" s="16">
        <f t="shared" si="0"/>
        <v>2017</v>
      </c>
      <c r="I3" s="16">
        <f t="shared" si="0"/>
        <v>2018</v>
      </c>
      <c r="J3" s="16">
        <f t="shared" si="0"/>
        <v>2019</v>
      </c>
      <c r="K3" s="16">
        <f t="shared" si="0"/>
        <v>2020</v>
      </c>
      <c r="L3" s="16">
        <f t="shared" si="0"/>
        <v>2021</v>
      </c>
      <c r="M3" s="16">
        <f t="shared" si="0"/>
        <v>2022</v>
      </c>
      <c r="N3" s="16">
        <f t="shared" si="0"/>
        <v>2023</v>
      </c>
      <c r="O3" s="16">
        <f t="shared" si="0"/>
        <v>2024</v>
      </c>
      <c r="P3" s="16">
        <f t="shared" si="0"/>
        <v>2025</v>
      </c>
      <c r="Q3" s="16">
        <f t="shared" ref="Q3" si="1">P3+1</f>
        <v>2026</v>
      </c>
      <c r="R3" s="16">
        <f t="shared" ref="R3" si="2">Q3+1</f>
        <v>2027</v>
      </c>
      <c r="S3" s="16">
        <f t="shared" ref="S3" si="3">R3+1</f>
        <v>2028</v>
      </c>
      <c r="T3" s="16">
        <f t="shared" ref="T3" si="4">S3+1</f>
        <v>2029</v>
      </c>
      <c r="U3" s="16">
        <f t="shared" ref="U3" si="5">T3+1</f>
        <v>2030</v>
      </c>
    </row>
    <row r="4" spans="2:31" ht="15.75">
      <c r="B4" s="8" t="s">
        <v>429</v>
      </c>
      <c r="C4" s="28">
        <v>100.7754495412844</v>
      </c>
      <c r="D4" s="28">
        <v>105.10299999999999</v>
      </c>
      <c r="E4" s="28">
        <v>109.76816654808124</v>
      </c>
      <c r="F4" s="28">
        <v>113.34070499151689</v>
      </c>
      <c r="G4" s="28">
        <v>116.97855733255579</v>
      </c>
      <c r="H4" s="28">
        <v>120.68272819979359</v>
      </c>
      <c r="I4" s="28">
        <v>123.84323686800283</v>
      </c>
      <c r="J4" s="28">
        <v>126.74981384292558</v>
      </c>
      <c r="K4" s="28">
        <v>129.39309274274802</v>
      </c>
      <c r="L4" s="28">
        <v>132.07918705089156</v>
      </c>
      <c r="M4" s="28">
        <v>134.80871886959241</v>
      </c>
      <c r="N4" s="28">
        <v>137.58231880667151</v>
      </c>
      <c r="O4" s="28">
        <v>140.40062608738316</v>
      </c>
      <c r="P4" s="28">
        <v>143.26428866769481</v>
      </c>
      <c r="Q4" s="28">
        <v>143.26428866769481</v>
      </c>
      <c r="R4" s="28">
        <v>143.26428866769481</v>
      </c>
      <c r="S4" s="28">
        <v>143.26428866769481</v>
      </c>
      <c r="T4" s="28">
        <v>143.26428866769481</v>
      </c>
      <c r="U4" s="28">
        <v>143.26428866769481</v>
      </c>
      <c r="V4" s="27"/>
      <c r="W4" s="27"/>
      <c r="X4" s="27"/>
      <c r="Y4" s="27"/>
      <c r="Z4" s="27"/>
      <c r="AA4" s="27"/>
      <c r="AB4" s="27"/>
      <c r="AC4" s="27"/>
      <c r="AD4" s="27"/>
      <c r="AE4" s="27"/>
    </row>
    <row r="5" spans="2:31" ht="15.75">
      <c r="B5" s="8" t="s">
        <v>430</v>
      </c>
      <c r="C5" s="28">
        <v>114.436338687926</v>
      </c>
      <c r="D5" s="28">
        <v>115.69513841349317</v>
      </c>
      <c r="E5" s="28">
        <v>116.96778493604158</v>
      </c>
      <c r="F5" s="28">
        <v>118.25443057033803</v>
      </c>
      <c r="G5" s="28">
        <v>119.55522930661174</v>
      </c>
      <c r="H5" s="28">
        <v>120.87033682898445</v>
      </c>
      <c r="I5" s="28">
        <v>122.19991053410327</v>
      </c>
      <c r="J5" s="28">
        <v>123.54410954997839</v>
      </c>
      <c r="K5" s="28">
        <v>124.90309475502814</v>
      </c>
      <c r="L5" s="28">
        <v>126.27702879733343</v>
      </c>
      <c r="M5" s="28">
        <v>127.66607611410409</v>
      </c>
      <c r="N5" s="28">
        <v>129.07040295135923</v>
      </c>
      <c r="O5" s="28">
        <v>130.49017738382418</v>
      </c>
      <c r="P5" s="28">
        <v>131.92556933504622</v>
      </c>
      <c r="Q5" s="28">
        <v>131.92556933504622</v>
      </c>
      <c r="R5" s="28">
        <v>131.92556933504622</v>
      </c>
      <c r="S5" s="28">
        <v>131.92556933504622</v>
      </c>
      <c r="T5" s="28">
        <v>131.92556933504622</v>
      </c>
      <c r="U5" s="28">
        <v>131.92556933504622</v>
      </c>
      <c r="V5" s="27"/>
      <c r="W5" s="27"/>
      <c r="X5" s="27"/>
      <c r="Y5" s="27"/>
      <c r="Z5" s="27"/>
      <c r="AA5" s="27"/>
      <c r="AB5" s="27"/>
      <c r="AC5" s="27"/>
      <c r="AD5" s="27"/>
      <c r="AE5" s="27"/>
    </row>
    <row r="6" spans="2:31" ht="15.75">
      <c r="B6" s="8" t="s">
        <v>271</v>
      </c>
      <c r="C6" s="5">
        <f>C4/C5</f>
        <v>0.88062455245186089</v>
      </c>
      <c r="D6" s="5">
        <f t="shared" ref="D6:P6" si="6">D4/D5</f>
        <v>0.90844785218513691</v>
      </c>
      <c r="E6" s="5">
        <f t="shared" si="6"/>
        <v>0.93844785218513693</v>
      </c>
      <c r="F6" s="5">
        <f t="shared" si="6"/>
        <v>0.95844785218513695</v>
      </c>
      <c r="G6" s="5">
        <f t="shared" si="6"/>
        <v>0.97844785218513697</v>
      </c>
      <c r="H6" s="5">
        <f t="shared" si="6"/>
        <v>0.99844785218513699</v>
      </c>
      <c r="I6" s="5">
        <f t="shared" si="6"/>
        <v>1.0134478521851369</v>
      </c>
      <c r="J6" s="5">
        <f t="shared" si="6"/>
        <v>1.0259478521851368</v>
      </c>
      <c r="K6" s="5">
        <f t="shared" si="6"/>
        <v>1.0359478521851369</v>
      </c>
      <c r="L6" s="5">
        <f t="shared" si="6"/>
        <v>1.0459478521851366</v>
      </c>
      <c r="M6" s="5">
        <f t="shared" si="6"/>
        <v>1.0559478521851369</v>
      </c>
      <c r="N6" s="5">
        <f t="shared" si="6"/>
        <v>1.0659478521851369</v>
      </c>
      <c r="O6" s="5">
        <f t="shared" si="6"/>
        <v>1.0759478521851369</v>
      </c>
      <c r="P6" s="5">
        <f t="shared" si="6"/>
        <v>1.0859478521851369</v>
      </c>
      <c r="Q6" s="5">
        <f t="shared" ref="Q6:U6" si="7">Q4/Q5</f>
        <v>1.0859478521851369</v>
      </c>
      <c r="R6" s="5">
        <f t="shared" si="7"/>
        <v>1.0859478521851369</v>
      </c>
      <c r="S6" s="5">
        <f t="shared" si="7"/>
        <v>1.0859478521851369</v>
      </c>
      <c r="T6" s="5">
        <f t="shared" si="7"/>
        <v>1.0859478521851369</v>
      </c>
      <c r="U6" s="5">
        <f t="shared" si="7"/>
        <v>1.0859478521851369</v>
      </c>
    </row>
    <row r="7" spans="2:31" ht="15.75">
      <c r="B7" s="8"/>
      <c r="C7" s="8"/>
      <c r="D7" s="8"/>
      <c r="E7" s="8"/>
      <c r="F7" s="8"/>
      <c r="G7" s="8"/>
      <c r="H7" s="8"/>
      <c r="I7" s="8"/>
      <c r="J7" s="8"/>
      <c r="K7" s="8"/>
      <c r="L7" s="8"/>
      <c r="M7" s="8"/>
      <c r="N7" s="8"/>
      <c r="O7" s="8"/>
      <c r="P7" s="8"/>
      <c r="Q7" s="8"/>
      <c r="R7" s="8"/>
      <c r="S7" s="8"/>
      <c r="T7" s="8"/>
      <c r="U7" s="8"/>
    </row>
    <row r="8" spans="2:31" ht="15.75">
      <c r="B8" s="8" t="s">
        <v>272</v>
      </c>
      <c r="C8" s="11">
        <v>0</v>
      </c>
      <c r="D8" s="11">
        <v>0</v>
      </c>
      <c r="E8" s="11">
        <v>0</v>
      </c>
      <c r="F8" s="11">
        <v>0</v>
      </c>
      <c r="G8" s="11">
        <v>0</v>
      </c>
      <c r="H8" s="11">
        <v>0</v>
      </c>
      <c r="I8" s="11">
        <v>0</v>
      </c>
      <c r="J8" s="11">
        <v>0</v>
      </c>
      <c r="K8" s="149">
        <f>K9/1000/K4</f>
        <v>1.3478308331862207E-3</v>
      </c>
      <c r="L8" s="149">
        <f>L9/1000/L4</f>
        <v>3.2427516368265601E-3</v>
      </c>
      <c r="M8" s="149">
        <f>M9/1000/M4</f>
        <v>2.6464831280321082E-3</v>
      </c>
      <c r="N8" s="149">
        <f>N9/1000/N4</f>
        <v>3.1500268621652608E-3</v>
      </c>
      <c r="O8" s="150">
        <v>3.5000000000000001E-3</v>
      </c>
      <c r="P8" s="150">
        <f>O8+0.3%</f>
        <v>6.5000000000000006E-3</v>
      </c>
      <c r="Q8" s="150">
        <f>P8+0.2%</f>
        <v>8.5000000000000006E-3</v>
      </c>
      <c r="R8" s="150">
        <f>Q8+0.2%</f>
        <v>1.0500000000000001E-2</v>
      </c>
      <c r="S8" s="150">
        <f>R8+0.2%</f>
        <v>1.2500000000000001E-2</v>
      </c>
      <c r="T8" s="150">
        <f>S8+0.2%</f>
        <v>1.4500000000000001E-2</v>
      </c>
      <c r="U8" s="150">
        <f>T8+0.2%</f>
        <v>1.6500000000000001E-2</v>
      </c>
    </row>
    <row r="9" spans="2:31" ht="15.75">
      <c r="B9" s="15" t="s">
        <v>428</v>
      </c>
      <c r="C9" s="88">
        <f>C8*C4*1000</f>
        <v>0</v>
      </c>
      <c r="D9" s="88">
        <f t="shared" ref="D9:P9" si="8">D8*D4*1000</f>
        <v>0</v>
      </c>
      <c r="E9" s="88">
        <f t="shared" si="8"/>
        <v>0</v>
      </c>
      <c r="F9" s="88">
        <f t="shared" si="8"/>
        <v>0</v>
      </c>
      <c r="G9" s="88">
        <f t="shared" si="8"/>
        <v>0</v>
      </c>
      <c r="H9" s="88">
        <f t="shared" si="8"/>
        <v>0</v>
      </c>
      <c r="I9" s="88">
        <f t="shared" si="8"/>
        <v>0</v>
      </c>
      <c r="J9" s="88">
        <f t="shared" si="8"/>
        <v>0</v>
      </c>
      <c r="K9" s="318">
        <v>174.4</v>
      </c>
      <c r="L9" s="318">
        <v>428.3</v>
      </c>
      <c r="M9" s="318">
        <v>356.76900000000001</v>
      </c>
      <c r="N9" s="318">
        <v>433.38799999999998</v>
      </c>
      <c r="O9" s="88">
        <f t="shared" si="8"/>
        <v>491.40219130584109</v>
      </c>
      <c r="P9" s="88">
        <f t="shared" si="8"/>
        <v>931.21787634001646</v>
      </c>
      <c r="Q9" s="88">
        <f t="shared" ref="Q9:U9" si="9">Q8*Q4*1000</f>
        <v>1217.746453675406</v>
      </c>
      <c r="R9" s="88">
        <f t="shared" si="9"/>
        <v>1504.2750310107958</v>
      </c>
      <c r="S9" s="88">
        <f t="shared" si="9"/>
        <v>1790.8036083461855</v>
      </c>
      <c r="T9" s="88">
        <f t="shared" si="9"/>
        <v>2077.3321856815746</v>
      </c>
      <c r="U9" s="88">
        <f t="shared" si="9"/>
        <v>2363.8607630169645</v>
      </c>
    </row>
    <row r="10" spans="2:31" ht="15.75">
      <c r="B10" s="8" t="s">
        <v>239</v>
      </c>
      <c r="C10" s="6"/>
      <c r="D10" s="6">
        <f>D9-C9</f>
        <v>0</v>
      </c>
      <c r="E10" s="6">
        <f t="shared" ref="E10:P10" si="10">E9-D9</f>
        <v>0</v>
      </c>
      <c r="F10" s="6">
        <f t="shared" si="10"/>
        <v>0</v>
      </c>
      <c r="G10" s="6">
        <f t="shared" si="10"/>
        <v>0</v>
      </c>
      <c r="H10" s="6">
        <f t="shared" si="10"/>
        <v>0</v>
      </c>
      <c r="I10" s="6">
        <f t="shared" si="10"/>
        <v>0</v>
      </c>
      <c r="J10" s="6">
        <f t="shared" si="10"/>
        <v>0</v>
      </c>
      <c r="K10" s="6">
        <f t="shared" si="10"/>
        <v>174.4</v>
      </c>
      <c r="L10" s="6">
        <f t="shared" si="10"/>
        <v>253.9</v>
      </c>
      <c r="M10" s="6">
        <f t="shared" si="10"/>
        <v>-71.531000000000006</v>
      </c>
      <c r="N10" s="6">
        <f t="shared" si="10"/>
        <v>76.618999999999971</v>
      </c>
      <c r="O10" s="6">
        <f t="shared" si="10"/>
        <v>58.014191305841109</v>
      </c>
      <c r="P10" s="6">
        <f t="shared" si="10"/>
        <v>439.81568503417537</v>
      </c>
      <c r="Q10" s="6">
        <f t="shared" ref="Q10" si="11">Q9-P9</f>
        <v>286.52857733538951</v>
      </c>
      <c r="R10" s="6">
        <f t="shared" ref="R10" si="12">R9-Q9</f>
        <v>286.52857733538985</v>
      </c>
      <c r="S10" s="6">
        <f t="shared" ref="S10" si="13">S9-R9</f>
        <v>286.52857733538963</v>
      </c>
      <c r="T10" s="6">
        <f t="shared" ref="T10" si="14">T9-S9</f>
        <v>286.52857733538917</v>
      </c>
      <c r="U10" s="6">
        <f t="shared" ref="U10" si="15">U9-T9</f>
        <v>286.52857733538985</v>
      </c>
    </row>
    <row r="11" spans="2:31" ht="15.75">
      <c r="B11" s="8"/>
      <c r="C11" s="8"/>
      <c r="D11" s="8"/>
      <c r="E11" s="8"/>
      <c r="F11" s="8"/>
      <c r="G11" s="8"/>
      <c r="H11" s="8"/>
      <c r="I11" s="8"/>
      <c r="J11" s="8"/>
      <c r="K11" s="8"/>
      <c r="L11" s="8"/>
      <c r="M11" s="8"/>
      <c r="N11" s="8"/>
      <c r="O11" s="8"/>
      <c r="P11" s="8"/>
      <c r="Q11" s="8"/>
      <c r="R11" s="8"/>
      <c r="S11" s="8"/>
      <c r="T11" s="8"/>
      <c r="U11" s="8"/>
    </row>
    <row r="12" spans="2:31" ht="15.75">
      <c r="B12" s="8" t="s">
        <v>347</v>
      </c>
      <c r="C12" s="6">
        <f>Fixed!G42</f>
        <v>2193</v>
      </c>
      <c r="D12" s="6">
        <f>Fixed!H42</f>
        <v>2250</v>
      </c>
      <c r="E12" s="6">
        <f>Fixed!I42</f>
        <v>2560</v>
      </c>
      <c r="F12" s="6">
        <f>Fixed!J42</f>
        <v>3050</v>
      </c>
      <c r="G12" s="6">
        <f>Fixed!K42</f>
        <v>3303</v>
      </c>
      <c r="H12" s="6">
        <f>Fixed!L42</f>
        <v>3405</v>
      </c>
      <c r="I12" s="6">
        <f>Fixed!M42</f>
        <v>3593</v>
      </c>
      <c r="J12" s="6">
        <f>Fixed!N42</f>
        <v>3628</v>
      </c>
      <c r="K12" s="6">
        <f>Fixed!O42</f>
        <v>3933</v>
      </c>
      <c r="L12" s="6">
        <f>Fixed!P42</f>
        <v>4153.0469999999996</v>
      </c>
      <c r="M12" s="6">
        <f>Fixed!Q42</f>
        <v>4397.9939999999997</v>
      </c>
      <c r="N12" s="6">
        <f>Fixed!R42</f>
        <v>4945.826</v>
      </c>
      <c r="O12" s="6">
        <f>Fixed!S42</f>
        <v>5566.5464285714288</v>
      </c>
      <c r="P12" s="6">
        <f>Fixed!T42</f>
        <v>5963.3718253968254</v>
      </c>
      <c r="Q12" s="6">
        <f>Fixed!U42</f>
        <v>6177.6575396825401</v>
      </c>
      <c r="R12" s="6">
        <f>Fixed!V42</f>
        <v>6348.2924603174606</v>
      </c>
      <c r="S12" s="6">
        <f>Fixed!W42</f>
        <v>6475.2765873015869</v>
      </c>
      <c r="T12" s="6">
        <f>Fixed!X42</f>
        <v>6598.2924603174606</v>
      </c>
      <c r="U12" s="6">
        <f>Fixed!Y42</f>
        <v>6717.340079365079</v>
      </c>
    </row>
    <row r="13" spans="2:31" ht="15.75">
      <c r="B13" s="8" t="s">
        <v>273</v>
      </c>
      <c r="C13" s="10">
        <f>C9/(Fixed!G42)</f>
        <v>0</v>
      </c>
      <c r="D13" s="10">
        <f>D9/(Fixed!H42)</f>
        <v>0</v>
      </c>
      <c r="E13" s="10">
        <f>E9/(Fixed!I42)</f>
        <v>0</v>
      </c>
      <c r="F13" s="10">
        <f>F9/(Fixed!J42)</f>
        <v>0</v>
      </c>
      <c r="G13" s="10">
        <f>G9/(Fixed!K42)</f>
        <v>0</v>
      </c>
      <c r="H13" s="10">
        <f>H9/(Fixed!L42)</f>
        <v>0</v>
      </c>
      <c r="I13" s="10">
        <f>I9/(Fixed!M42)</f>
        <v>0</v>
      </c>
      <c r="J13" s="10">
        <f>J9/(Fixed!N42)</f>
        <v>0</v>
      </c>
      <c r="K13" s="10">
        <f>K9/(Fixed!O42)</f>
        <v>4.4342740910246634E-2</v>
      </c>
      <c r="L13" s="10">
        <f>L9/(Fixed!P42)</f>
        <v>0.10312910015224967</v>
      </c>
      <c r="M13" s="10">
        <f>M9/(Fixed!Q42)</f>
        <v>8.1120847368141027E-2</v>
      </c>
      <c r="N13" s="10">
        <f>N9/(Fixed!R42)</f>
        <v>8.7627021249837733E-2</v>
      </c>
      <c r="O13" s="10">
        <f>O9/(Fixed!S42)</f>
        <v>8.8277749518735654E-2</v>
      </c>
      <c r="P13" s="10">
        <f>P9/(Fixed!T42)</f>
        <v>0.15615626588537429</v>
      </c>
      <c r="Q13" s="10">
        <f>Q9/(Fixed!U42)</f>
        <v>0.1971210682776022</v>
      </c>
      <c r="R13" s="10">
        <f>R9/(Fixed!V42)</f>
        <v>0.23695742444348117</v>
      </c>
      <c r="S13" s="10">
        <f>S9/(Fixed!W42)</f>
        <v>0.27656017224933077</v>
      </c>
      <c r="T13" s="10">
        <f>T9/(Fixed!X42)</f>
        <v>0.3148287527682016</v>
      </c>
      <c r="U13" s="10">
        <f>U9/(Fixed!Y42)</f>
        <v>0.35190428578694144</v>
      </c>
    </row>
    <row r="14" spans="2:31" ht="15.75">
      <c r="B14" s="8" t="s">
        <v>1841</v>
      </c>
      <c r="C14" s="10"/>
      <c r="D14" s="10"/>
      <c r="E14" s="10"/>
      <c r="F14" s="10"/>
      <c r="G14" s="10"/>
      <c r="H14" s="10"/>
      <c r="I14" s="10"/>
      <c r="J14" s="10"/>
      <c r="K14" s="10">
        <f>K9/Fixed!O21</f>
        <v>4.9686609686609685E-2</v>
      </c>
      <c r="L14" s="10">
        <f>L9/Fixed!P21</f>
        <v>0.11171412452042871</v>
      </c>
      <c r="M14" s="10">
        <f>M9/Fixed!Q21</f>
        <v>8.6220655121246256E-2</v>
      </c>
      <c r="N14" s="10">
        <f>N9/Fixed!R21</f>
        <v>9.1789309955709483E-2</v>
      </c>
      <c r="O14" s="10">
        <f>O9/Fixed!S21</f>
        <v>9.30412483500761E-2</v>
      </c>
      <c r="P14" s="10">
        <f>P9/Fixed!T21</f>
        <v>0.16247220235287343</v>
      </c>
      <c r="Q14" s="10">
        <f>Q9/Fixed!U21</f>
        <v>0.20189603831242872</v>
      </c>
      <c r="R14" s="10">
        <f>R9/Fixed!V21</f>
        <v>0.2413965302722012</v>
      </c>
      <c r="S14" s="10">
        <f>S9/Fixed!W21</f>
        <v>0.2806219565939736</v>
      </c>
      <c r="T14" s="10">
        <f>T9/Fixed!X21</f>
        <v>0.31804572415278554</v>
      </c>
      <c r="U14" s="10">
        <f>U9/Fixed!Y21</f>
        <v>0.35378917398487125</v>
      </c>
    </row>
    <row r="15" spans="2:31" ht="15.75">
      <c r="B15" s="8"/>
      <c r="C15" s="8"/>
      <c r="D15" s="8"/>
      <c r="E15" s="8"/>
      <c r="F15" s="8"/>
      <c r="G15" s="8"/>
      <c r="H15" s="8"/>
      <c r="I15" s="8"/>
      <c r="J15" s="8"/>
      <c r="K15" s="8"/>
      <c r="L15" s="8"/>
      <c r="M15" s="8"/>
      <c r="N15" s="8"/>
      <c r="O15" s="8"/>
      <c r="P15" s="8"/>
      <c r="Q15" s="8"/>
      <c r="R15" s="8"/>
      <c r="S15" s="8"/>
      <c r="T15" s="8"/>
      <c r="U15" s="8"/>
    </row>
    <row r="16" spans="2:31" ht="15.75">
      <c r="B16" s="8" t="s">
        <v>275</v>
      </c>
      <c r="C16" s="13">
        <v>175.75</v>
      </c>
      <c r="D16" s="13">
        <v>167</v>
      </c>
      <c r="E16" s="13">
        <v>165</v>
      </c>
      <c r="F16" s="13">
        <v>153</v>
      </c>
      <c r="G16" s="13">
        <v>129.75</v>
      </c>
      <c r="H16" s="13">
        <v>136.75</v>
      </c>
      <c r="I16" s="13">
        <v>141.25</v>
      </c>
      <c r="J16" s="13">
        <v>149.5</v>
      </c>
      <c r="K16" s="13">
        <v>151.5</v>
      </c>
      <c r="L16" s="13">
        <v>157.75</v>
      </c>
      <c r="M16" s="13">
        <v>166.75</v>
      </c>
      <c r="N16" s="13">
        <v>182.46061452658549</v>
      </c>
      <c r="O16" s="13">
        <v>191.96850650326283</v>
      </c>
      <c r="P16" s="13">
        <v>200.88416632290139</v>
      </c>
      <c r="Q16" s="13">
        <v>206.21553830605481</v>
      </c>
      <c r="R16" s="13">
        <v>211.91771350510808</v>
      </c>
      <c r="S16" s="13">
        <v>218.0078480233241</v>
      </c>
      <c r="T16" s="13">
        <v>224.50463653913064</v>
      </c>
      <c r="U16" s="13">
        <v>231.42835369973344</v>
      </c>
    </row>
    <row r="17" spans="2:21" ht="15.75">
      <c r="B17" s="8"/>
      <c r="C17" s="8"/>
      <c r="D17" s="8"/>
      <c r="E17" s="8"/>
      <c r="F17" s="8"/>
      <c r="G17" s="8"/>
      <c r="H17" s="8"/>
      <c r="I17" s="8"/>
      <c r="J17" s="8"/>
      <c r="K17" s="8"/>
      <c r="L17" s="8"/>
      <c r="M17" s="8"/>
      <c r="N17" s="8"/>
      <c r="O17" s="8"/>
      <c r="P17" s="8"/>
      <c r="Q17" s="8"/>
      <c r="R17" s="8"/>
      <c r="S17" s="8"/>
      <c r="T17" s="8"/>
      <c r="U17" s="8"/>
    </row>
    <row r="18" spans="2:21" ht="15.75">
      <c r="B18" s="8" t="s">
        <v>2074</v>
      </c>
      <c r="C18" s="8"/>
      <c r="D18" s="8"/>
      <c r="E18" s="8"/>
      <c r="F18" s="8"/>
      <c r="G18" s="8"/>
      <c r="H18" s="8"/>
      <c r="I18" s="8"/>
      <c r="J18" s="8"/>
      <c r="K18" s="5">
        <f>K19/K16-1</f>
        <v>-0.17491749174917492</v>
      </c>
      <c r="L18" s="5">
        <f t="shared" ref="L18:P18" si="16">L19/L16-1</f>
        <v>-0.3660855784469097</v>
      </c>
      <c r="M18" s="5">
        <f t="shared" si="16"/>
        <v>-0.31034482758620685</v>
      </c>
      <c r="N18" s="5">
        <f t="shared" si="16"/>
        <v>-0.22174985342214859</v>
      </c>
      <c r="O18" s="5">
        <f t="shared" si="16"/>
        <v>-0.34885152634202832</v>
      </c>
      <c r="P18" s="5">
        <f t="shared" si="16"/>
        <v>-0.37775085867606462</v>
      </c>
      <c r="Q18" s="5">
        <f t="shared" ref="Q18:U18" si="17">Q19/Q16-1</f>
        <v>-0.393838112167468</v>
      </c>
      <c r="R18" s="5">
        <f t="shared" si="17"/>
        <v>-0.41014841122761081</v>
      </c>
      <c r="S18" s="5">
        <f t="shared" si="17"/>
        <v>-0.42662614610724214</v>
      </c>
      <c r="T18" s="5">
        <f t="shared" si="17"/>
        <v>-0.44321862600725048</v>
      </c>
      <c r="U18" s="5">
        <f t="shared" si="17"/>
        <v>-0.45987603505929453</v>
      </c>
    </row>
    <row r="19" spans="2:21" ht="15.75">
      <c r="B19" s="15" t="s">
        <v>276</v>
      </c>
      <c r="C19" s="68"/>
      <c r="D19" s="68"/>
      <c r="E19" s="68"/>
      <c r="F19" s="68"/>
      <c r="G19" s="68"/>
      <c r="H19" s="68"/>
      <c r="I19" s="68"/>
      <c r="J19" s="68"/>
      <c r="K19" s="73">
        <v>125</v>
      </c>
      <c r="L19" s="73">
        <v>100</v>
      </c>
      <c r="M19" s="73">
        <v>115</v>
      </c>
      <c r="N19" s="73">
        <v>142</v>
      </c>
      <c r="O19" s="73">
        <v>125</v>
      </c>
      <c r="P19" s="73">
        <f t="shared" ref="P19:U19" si="18">O19</f>
        <v>125</v>
      </c>
      <c r="Q19" s="73">
        <f t="shared" si="18"/>
        <v>125</v>
      </c>
      <c r="R19" s="73">
        <f t="shared" si="18"/>
        <v>125</v>
      </c>
      <c r="S19" s="73">
        <f t="shared" si="18"/>
        <v>125</v>
      </c>
      <c r="T19" s="73">
        <f t="shared" si="18"/>
        <v>125</v>
      </c>
      <c r="U19" s="73">
        <f t="shared" si="18"/>
        <v>125</v>
      </c>
    </row>
    <row r="20" spans="2:21" ht="15.75">
      <c r="B20" s="8"/>
      <c r="C20" s="8"/>
      <c r="D20" s="8"/>
      <c r="E20" s="8"/>
      <c r="F20" s="8"/>
      <c r="G20" s="8"/>
      <c r="H20" s="8"/>
      <c r="I20" s="8"/>
      <c r="J20" s="8"/>
      <c r="K20" s="8"/>
      <c r="L20" s="8"/>
      <c r="M20" s="8"/>
      <c r="N20" s="8"/>
      <c r="O20" s="8"/>
      <c r="P20" s="8"/>
      <c r="Q20" s="8"/>
      <c r="R20" s="8"/>
      <c r="S20" s="8"/>
      <c r="T20" s="8"/>
      <c r="U20" s="8"/>
    </row>
    <row r="21" spans="2:21" ht="15.75">
      <c r="B21" s="8"/>
      <c r="C21" s="8"/>
      <c r="D21" s="8"/>
      <c r="E21" s="8"/>
      <c r="F21" s="8"/>
      <c r="G21" s="8"/>
      <c r="H21" s="8"/>
      <c r="I21" s="8"/>
      <c r="J21" s="8"/>
      <c r="K21" s="8"/>
      <c r="L21" s="8"/>
      <c r="M21" s="8"/>
      <c r="N21" s="8"/>
      <c r="O21" s="8"/>
      <c r="P21" s="8"/>
      <c r="Q21" s="8"/>
      <c r="R21" s="8"/>
      <c r="S21" s="8"/>
      <c r="T21" s="8"/>
      <c r="U21" s="8"/>
    </row>
    <row r="22" spans="2:21" ht="15.75">
      <c r="B22" s="8"/>
      <c r="C22" s="8"/>
      <c r="D22" s="8"/>
      <c r="E22" s="8"/>
      <c r="F22" s="8"/>
      <c r="G22" s="8"/>
      <c r="H22" s="8"/>
      <c r="I22" s="8"/>
      <c r="J22" s="8"/>
      <c r="K22" s="8"/>
      <c r="L22" s="8"/>
      <c r="M22" s="8"/>
      <c r="N22" s="8"/>
      <c r="O22" s="8"/>
      <c r="P22" s="8"/>
      <c r="Q22" s="8"/>
      <c r="R22" s="8"/>
      <c r="S22" s="8"/>
      <c r="T22" s="8"/>
      <c r="U22" s="8"/>
    </row>
    <row r="23" spans="2:21" ht="15.75">
      <c r="B23" s="8" t="s">
        <v>177</v>
      </c>
      <c r="C23" s="6"/>
      <c r="D23" s="6">
        <f t="shared" ref="D23:P23" si="19">D19*AVERAGE(C9,D9)*12/1000</f>
        <v>0</v>
      </c>
      <c r="E23" s="6">
        <f t="shared" si="19"/>
        <v>0</v>
      </c>
      <c r="F23" s="6">
        <f t="shared" si="19"/>
        <v>0</v>
      </c>
      <c r="G23" s="6">
        <f t="shared" si="19"/>
        <v>0</v>
      </c>
      <c r="H23" s="6">
        <f t="shared" si="19"/>
        <v>0</v>
      </c>
      <c r="I23" s="6">
        <f t="shared" si="19"/>
        <v>0</v>
      </c>
      <c r="J23" s="6">
        <f t="shared" si="19"/>
        <v>0</v>
      </c>
      <c r="K23" s="6">
        <f>K19*AVERAGE(J9,K9)*12/1000</f>
        <v>130.80000000000001</v>
      </c>
      <c r="L23" s="6">
        <f>L19*AVERAGE(K9,L9)*12/1000</f>
        <v>361.62000000000006</v>
      </c>
      <c r="M23" s="6">
        <f t="shared" si="19"/>
        <v>541.69760999999994</v>
      </c>
      <c r="N23" s="6">
        <f t="shared" si="19"/>
        <v>673.21376399999997</v>
      </c>
      <c r="O23" s="6">
        <f t="shared" si="19"/>
        <v>693.59264347938074</v>
      </c>
      <c r="P23" s="6">
        <f t="shared" si="19"/>
        <v>1066.9650507343933</v>
      </c>
      <c r="Q23" s="6">
        <f t="shared" ref="Q23" si="20">Q19*AVERAGE(P9,Q9)*12/1000</f>
        <v>1611.723247511567</v>
      </c>
      <c r="R23" s="6">
        <f t="shared" ref="R23" si="21">R19*AVERAGE(Q9,R9)*12/1000</f>
        <v>2041.5161135146516</v>
      </c>
      <c r="S23" s="6">
        <f t="shared" ref="S23" si="22">S19*AVERAGE(R9,S9)*12/1000</f>
        <v>2471.3089795177361</v>
      </c>
      <c r="T23" s="6">
        <f t="shared" ref="T23" si="23">T19*AVERAGE(S9,T9)*12/1000</f>
        <v>2901.10184552082</v>
      </c>
      <c r="U23" s="6">
        <f t="shared" ref="U23" si="24">U19*AVERAGE(T9,U9)*12/1000</f>
        <v>3330.8947115239043</v>
      </c>
    </row>
    <row r="24" spans="2:21" ht="15.75">
      <c r="B24" s="8"/>
      <c r="C24" s="8"/>
      <c r="D24" s="8"/>
      <c r="E24" s="8"/>
      <c r="F24" s="8"/>
      <c r="G24" s="8"/>
      <c r="H24" s="8"/>
      <c r="I24" s="8"/>
      <c r="J24" s="8"/>
      <c r="K24" s="8"/>
      <c r="L24" s="8"/>
      <c r="M24" s="8"/>
      <c r="N24" s="8"/>
      <c r="O24" s="8"/>
      <c r="P24" s="8"/>
      <c r="Q24" s="8"/>
      <c r="R24" s="8"/>
      <c r="S24" s="8"/>
      <c r="T24" s="8"/>
      <c r="U24" s="8"/>
    </row>
    <row r="25" spans="2:21" ht="15.75">
      <c r="B25" s="8" t="s">
        <v>277</v>
      </c>
      <c r="C25" s="8"/>
      <c r="D25" s="18"/>
      <c r="E25" s="18"/>
      <c r="F25" s="18"/>
      <c r="G25" s="18"/>
      <c r="H25" s="18"/>
      <c r="I25" s="18"/>
      <c r="J25" s="18"/>
      <c r="K25" s="18">
        <v>1</v>
      </c>
      <c r="L25" s="18">
        <v>1</v>
      </c>
      <c r="M25" s="18">
        <v>1</v>
      </c>
      <c r="N25" s="18">
        <v>1</v>
      </c>
      <c r="O25" s="18">
        <v>1</v>
      </c>
      <c r="P25" s="18">
        <v>1</v>
      </c>
      <c r="Q25" s="18">
        <v>1</v>
      </c>
      <c r="R25" s="18">
        <v>1</v>
      </c>
      <c r="S25" s="18">
        <v>1</v>
      </c>
      <c r="T25" s="18">
        <v>1</v>
      </c>
      <c r="U25" s="18">
        <v>1</v>
      </c>
    </row>
    <row r="26" spans="2:21" ht="15.75">
      <c r="B26" s="8" t="s">
        <v>435</v>
      </c>
      <c r="C26" s="8"/>
      <c r="D26" s="18"/>
      <c r="E26" s="18"/>
      <c r="F26" s="18"/>
      <c r="G26" s="18"/>
      <c r="H26" s="18"/>
      <c r="I26" s="18"/>
      <c r="J26" s="18"/>
      <c r="K26" s="18">
        <v>-0.15</v>
      </c>
      <c r="L26" s="18">
        <v>0</v>
      </c>
      <c r="M26" s="18">
        <v>0.1</v>
      </c>
      <c r="N26" s="18">
        <v>0.1</v>
      </c>
      <c r="O26" s="18">
        <v>0.1</v>
      </c>
      <c r="P26" s="18">
        <v>0.1</v>
      </c>
      <c r="Q26" s="18">
        <v>0.1</v>
      </c>
      <c r="R26" s="18">
        <v>0.1</v>
      </c>
      <c r="S26" s="18">
        <v>0.1</v>
      </c>
      <c r="T26" s="18">
        <v>0.1</v>
      </c>
      <c r="U26" s="18">
        <v>0.1</v>
      </c>
    </row>
    <row r="27" spans="2:21" ht="15.75">
      <c r="B27" s="8" t="s">
        <v>434</v>
      </c>
      <c r="C27" s="8"/>
      <c r="D27" s="18"/>
      <c r="E27" s="18"/>
      <c r="F27" s="18"/>
      <c r="G27" s="18"/>
      <c r="H27" s="18"/>
      <c r="I27" s="18"/>
      <c r="J27" s="18"/>
      <c r="K27" s="18">
        <v>0.35</v>
      </c>
      <c r="L27" s="18">
        <v>0.35</v>
      </c>
      <c r="M27" s="18">
        <v>0.35</v>
      </c>
      <c r="N27" s="18">
        <v>0.35</v>
      </c>
      <c r="O27" s="18">
        <v>0.35</v>
      </c>
      <c r="P27" s="18">
        <v>0.35</v>
      </c>
      <c r="Q27" s="18">
        <v>0.35</v>
      </c>
      <c r="R27" s="18">
        <v>0.35</v>
      </c>
      <c r="S27" s="18">
        <v>0.35</v>
      </c>
      <c r="T27" s="18">
        <v>0.35</v>
      </c>
      <c r="U27" s="18">
        <v>0.35</v>
      </c>
    </row>
    <row r="28" spans="2:21" ht="15.75">
      <c r="B28" s="8" t="s">
        <v>433</v>
      </c>
      <c r="C28" s="8"/>
      <c r="D28" s="5">
        <f t="shared" ref="D28:U28" si="25">(D25*D26)+(1-D25)*D27</f>
        <v>0</v>
      </c>
      <c r="E28" s="5">
        <f t="shared" si="25"/>
        <v>0</v>
      </c>
      <c r="F28" s="5">
        <f t="shared" si="25"/>
        <v>0</v>
      </c>
      <c r="G28" s="5">
        <f t="shared" si="25"/>
        <v>0</v>
      </c>
      <c r="H28" s="5">
        <f t="shared" si="25"/>
        <v>0</v>
      </c>
      <c r="I28" s="5">
        <f t="shared" si="25"/>
        <v>0</v>
      </c>
      <c r="J28" s="5">
        <f t="shared" si="25"/>
        <v>0</v>
      </c>
      <c r="K28" s="5">
        <f t="shared" si="25"/>
        <v>-0.15</v>
      </c>
      <c r="L28" s="5">
        <f t="shared" si="25"/>
        <v>0</v>
      </c>
      <c r="M28" s="5">
        <f t="shared" si="25"/>
        <v>0.1</v>
      </c>
      <c r="N28" s="5">
        <f t="shared" si="25"/>
        <v>0.1</v>
      </c>
      <c r="O28" s="5">
        <f t="shared" si="25"/>
        <v>0.1</v>
      </c>
      <c r="P28" s="5">
        <f t="shared" si="25"/>
        <v>0.1</v>
      </c>
      <c r="Q28" s="5">
        <f t="shared" si="25"/>
        <v>0.1</v>
      </c>
      <c r="R28" s="5">
        <f t="shared" si="25"/>
        <v>0.1</v>
      </c>
      <c r="S28" s="5">
        <f t="shared" si="25"/>
        <v>0.1</v>
      </c>
      <c r="T28" s="5">
        <f t="shared" si="25"/>
        <v>0.1</v>
      </c>
      <c r="U28" s="5">
        <f t="shared" si="25"/>
        <v>0.1</v>
      </c>
    </row>
    <row r="29" spans="2:21" ht="15.75">
      <c r="B29" s="319" t="s">
        <v>16</v>
      </c>
      <c r="C29" s="319"/>
      <c r="D29" s="320">
        <f t="shared" ref="D29:U29" si="26">D28*D23</f>
        <v>0</v>
      </c>
      <c r="E29" s="320">
        <f t="shared" si="26"/>
        <v>0</v>
      </c>
      <c r="F29" s="320">
        <f t="shared" si="26"/>
        <v>0</v>
      </c>
      <c r="G29" s="320">
        <f t="shared" si="26"/>
        <v>0</v>
      </c>
      <c r="H29" s="320">
        <f t="shared" si="26"/>
        <v>0</v>
      </c>
      <c r="I29" s="320">
        <f t="shared" si="26"/>
        <v>0</v>
      </c>
      <c r="J29" s="320">
        <f t="shared" si="26"/>
        <v>0</v>
      </c>
      <c r="K29" s="320">
        <f t="shared" si="26"/>
        <v>-19.62</v>
      </c>
      <c r="L29" s="320">
        <f t="shared" si="26"/>
        <v>0</v>
      </c>
      <c r="M29" s="320">
        <f t="shared" si="26"/>
        <v>54.169760999999994</v>
      </c>
      <c r="N29" s="320">
        <f t="shared" si="26"/>
        <v>67.321376400000005</v>
      </c>
      <c r="O29" s="320">
        <f t="shared" si="26"/>
        <v>69.35926434793808</v>
      </c>
      <c r="P29" s="320">
        <f t="shared" si="26"/>
        <v>106.69650507343934</v>
      </c>
      <c r="Q29" s="320">
        <f t="shared" si="26"/>
        <v>161.17232475115671</v>
      </c>
      <c r="R29" s="320">
        <f t="shared" si="26"/>
        <v>204.15161135146516</v>
      </c>
      <c r="S29" s="320">
        <f t="shared" si="26"/>
        <v>247.13089795177362</v>
      </c>
      <c r="T29" s="320">
        <f t="shared" si="26"/>
        <v>290.11018455208199</v>
      </c>
      <c r="U29" s="320">
        <f t="shared" si="26"/>
        <v>333.08947115239044</v>
      </c>
    </row>
    <row r="30" spans="2:21" ht="15.75">
      <c r="B30" s="8"/>
      <c r="C30" s="8"/>
      <c r="D30" s="8"/>
      <c r="E30" s="8"/>
      <c r="F30" s="8"/>
      <c r="G30" s="8"/>
      <c r="H30" s="8"/>
      <c r="I30" s="8"/>
      <c r="J30" s="8"/>
      <c r="K30" s="8"/>
      <c r="L30" s="8"/>
      <c r="M30" s="8"/>
      <c r="N30" s="8"/>
      <c r="O30" s="8"/>
      <c r="P30" s="8"/>
      <c r="Q30" s="8"/>
      <c r="R30" s="8"/>
      <c r="S30" s="8"/>
      <c r="T30" s="8"/>
      <c r="U30" s="8"/>
    </row>
    <row r="31" spans="2:21" ht="15.75">
      <c r="B31" s="8" t="s">
        <v>22</v>
      </c>
      <c r="C31" s="8"/>
      <c r="D31" s="4">
        <f t="shared" ref="D31:U31" si="27">D32*D23</f>
        <v>0</v>
      </c>
      <c r="E31" s="4">
        <f t="shared" si="27"/>
        <v>0</v>
      </c>
      <c r="F31" s="4">
        <f t="shared" si="27"/>
        <v>0</v>
      </c>
      <c r="G31" s="4">
        <f t="shared" si="27"/>
        <v>0</v>
      </c>
      <c r="H31" s="4">
        <f t="shared" si="27"/>
        <v>0</v>
      </c>
      <c r="I31" s="4">
        <f t="shared" si="27"/>
        <v>0</v>
      </c>
      <c r="J31" s="4">
        <f t="shared" si="27"/>
        <v>0</v>
      </c>
      <c r="K31" s="4">
        <f t="shared" si="27"/>
        <v>0</v>
      </c>
      <c r="L31" s="4">
        <f t="shared" si="27"/>
        <v>0</v>
      </c>
      <c r="M31" s="4">
        <f t="shared" si="27"/>
        <v>0</v>
      </c>
      <c r="N31" s="4">
        <f t="shared" si="27"/>
        <v>0</v>
      </c>
      <c r="O31" s="4">
        <f t="shared" si="27"/>
        <v>0</v>
      </c>
      <c r="P31" s="4">
        <f t="shared" si="27"/>
        <v>0</v>
      </c>
      <c r="Q31" s="4">
        <f t="shared" si="27"/>
        <v>0</v>
      </c>
      <c r="R31" s="4">
        <f t="shared" si="27"/>
        <v>0</v>
      </c>
      <c r="S31" s="4">
        <f t="shared" si="27"/>
        <v>0</v>
      </c>
      <c r="T31" s="4">
        <f t="shared" si="27"/>
        <v>0</v>
      </c>
      <c r="U31" s="4">
        <f t="shared" si="27"/>
        <v>0</v>
      </c>
    </row>
    <row r="32" spans="2:21" ht="15.75">
      <c r="B32" s="8" t="s">
        <v>23</v>
      </c>
      <c r="C32" s="8"/>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row>
    <row r="33" spans="2:21" ht="15.75">
      <c r="B33" s="8"/>
      <c r="C33" s="8"/>
      <c r="D33" s="8"/>
      <c r="E33" s="8"/>
      <c r="F33" s="8"/>
      <c r="G33" s="8"/>
      <c r="H33" s="8"/>
      <c r="I33" s="8"/>
      <c r="J33" s="8"/>
      <c r="K33" s="8"/>
      <c r="L33" s="8"/>
      <c r="M33" s="8"/>
      <c r="N33" s="8"/>
      <c r="O33" s="8"/>
      <c r="P33" s="8"/>
      <c r="Q33" s="8"/>
      <c r="R33" s="8"/>
      <c r="S33" s="8"/>
      <c r="T33" s="8"/>
      <c r="U33" s="8"/>
    </row>
    <row r="34" spans="2:21" ht="15.75">
      <c r="B34" s="8" t="s">
        <v>24</v>
      </c>
      <c r="C34" s="8"/>
      <c r="D34" s="4">
        <f>D29-D31</f>
        <v>0</v>
      </c>
      <c r="E34" s="4">
        <f t="shared" ref="E34:P34" si="28">E29-E31</f>
        <v>0</v>
      </c>
      <c r="F34" s="4">
        <f t="shared" si="28"/>
        <v>0</v>
      </c>
      <c r="G34" s="4">
        <f t="shared" si="28"/>
        <v>0</v>
      </c>
      <c r="H34" s="4">
        <f t="shared" si="28"/>
        <v>0</v>
      </c>
      <c r="I34" s="4">
        <f t="shared" si="28"/>
        <v>0</v>
      </c>
      <c r="J34" s="4">
        <f t="shared" si="28"/>
        <v>0</v>
      </c>
      <c r="K34" s="4">
        <f t="shared" si="28"/>
        <v>-19.62</v>
      </c>
      <c r="L34" s="4">
        <f t="shared" si="28"/>
        <v>0</v>
      </c>
      <c r="M34" s="4">
        <f t="shared" si="28"/>
        <v>54.169760999999994</v>
      </c>
      <c r="N34" s="4">
        <f t="shared" si="28"/>
        <v>67.321376400000005</v>
      </c>
      <c r="O34" s="4">
        <f t="shared" si="28"/>
        <v>69.35926434793808</v>
      </c>
      <c r="P34" s="4">
        <f t="shared" si="28"/>
        <v>106.69650507343934</v>
      </c>
      <c r="Q34" s="4">
        <f t="shared" ref="Q34:U34" si="29">Q29-Q31</f>
        <v>161.17232475115671</v>
      </c>
      <c r="R34" s="4">
        <f t="shared" si="29"/>
        <v>204.15161135146516</v>
      </c>
      <c r="S34" s="4">
        <f t="shared" si="29"/>
        <v>247.13089795177362</v>
      </c>
      <c r="T34" s="4">
        <f t="shared" si="29"/>
        <v>290.11018455208199</v>
      </c>
      <c r="U34" s="4">
        <f t="shared" si="29"/>
        <v>333.08947115239044</v>
      </c>
    </row>
    <row r="35" spans="2:21" ht="15.75">
      <c r="B35" s="8"/>
      <c r="C35" s="8"/>
      <c r="D35" s="8"/>
      <c r="E35" s="8"/>
      <c r="F35" s="8"/>
      <c r="G35" s="8"/>
      <c r="H35" s="8"/>
      <c r="I35" s="8"/>
      <c r="J35" s="8"/>
      <c r="K35" s="8"/>
      <c r="L35" s="8"/>
      <c r="M35" s="8"/>
      <c r="N35" s="8"/>
      <c r="O35" s="8"/>
      <c r="P35" s="8"/>
      <c r="Q35" s="8"/>
      <c r="R35" s="8"/>
      <c r="S35" s="8"/>
      <c r="T35" s="8"/>
      <c r="U35" s="8"/>
    </row>
    <row r="36" spans="2:21" ht="15.75">
      <c r="B36" s="8" t="s">
        <v>431</v>
      </c>
      <c r="C36" s="8"/>
      <c r="D36" s="10">
        <f>D23/Fixed!H97</f>
        <v>0</v>
      </c>
      <c r="E36" s="10">
        <f>E23/Fixed!I97</f>
        <v>0</v>
      </c>
      <c r="F36" s="10">
        <f>F23/Fixed!J97</f>
        <v>0</v>
      </c>
      <c r="G36" s="10">
        <f>G23/Fixed!K97</f>
        <v>0</v>
      </c>
      <c r="H36" s="10">
        <f>H23/Fixed!L97</f>
        <v>0</v>
      </c>
      <c r="I36" s="10">
        <f>I23/Fixed!M97</f>
        <v>0</v>
      </c>
      <c r="J36" s="10">
        <f>J23/Fixed!N97</f>
        <v>0</v>
      </c>
      <c r="K36" s="10">
        <f>K23/Fixed!O97</f>
        <v>5.8416513222832329E-3</v>
      </c>
      <c r="L36" s="10">
        <f>L23/Fixed!P97</f>
        <v>1.4679474990984152E-2</v>
      </c>
      <c r="M36" s="10">
        <f>M23/Fixed!Q97</f>
        <v>1.9948142334398108E-2</v>
      </c>
      <c r="N36" s="10">
        <f>N23/Fixed!R97</f>
        <v>2.2537715805013368E-2</v>
      </c>
      <c r="O36" s="10">
        <f>O23/Fixed!S97</f>
        <v>2.0963489670666326E-2</v>
      </c>
      <c r="P36" s="10">
        <f>P23/Fixed!T97</f>
        <v>2.9615948400595119E-2</v>
      </c>
      <c r="Q36" s="10">
        <f>Q23/Fixed!U97</f>
        <v>4.1594078511694735E-2</v>
      </c>
      <c r="R36" s="10">
        <f>R23/Fixed!V97</f>
        <v>4.9807435201413008E-2</v>
      </c>
      <c r="S36" s="10">
        <f>S23/Fixed!W97</f>
        <v>5.7391151629731581E-2</v>
      </c>
      <c r="T36" s="10">
        <f>T23/Fixed!X97</f>
        <v>6.4333964168553429E-2</v>
      </c>
      <c r="U36" s="10">
        <f>U23/Fixed!Y97</f>
        <v>7.0609754167778191E-2</v>
      </c>
    </row>
    <row r="37" spans="2:21" ht="15.75">
      <c r="B37" s="8" t="s">
        <v>432</v>
      </c>
      <c r="C37" s="8"/>
      <c r="D37" s="10">
        <f>D34/Master!M52</f>
        <v>0</v>
      </c>
      <c r="E37" s="10">
        <f>E34/Master!N52</f>
        <v>0</v>
      </c>
      <c r="F37" s="10">
        <f>F34/Master!O52</f>
        <v>0</v>
      </c>
      <c r="G37" s="10">
        <f>G34/Master!P52</f>
        <v>0</v>
      </c>
      <c r="H37" s="10">
        <f>H34/Master!Q52</f>
        <v>0</v>
      </c>
      <c r="I37" s="10">
        <f>I34/Master!R52</f>
        <v>0</v>
      </c>
      <c r="J37" s="10">
        <f>J34/Master!S52</f>
        <v>0</v>
      </c>
      <c r="K37" s="10">
        <f>K34/Master!T52</f>
        <v>-6.637347767253045E-3</v>
      </c>
      <c r="L37" s="10">
        <f>L34/Master!U52</f>
        <v>0</v>
      </c>
      <c r="M37" s="10">
        <f>M34/Master!V52</f>
        <v>5.8058645170832708E-2</v>
      </c>
      <c r="N37" s="10">
        <f>N34/Master!W52</f>
        <v>0.18146265940327697</v>
      </c>
      <c r="O37" s="10">
        <f>O34/Master!X52</f>
        <v>1.6775581161083467E-2</v>
      </c>
      <c r="P37" s="10">
        <f>P34/Master!Y52</f>
        <v>1.6125871038038586E-2</v>
      </c>
      <c r="Q37" s="10">
        <f>Q34/Master!Z52</f>
        <v>1.8653071687638797E-2</v>
      </c>
      <c r="R37" s="10">
        <f>R34/Master!AA52</f>
        <v>2.0510342801423186E-2</v>
      </c>
      <c r="S37" s="10">
        <f>S34/Master!AB52</f>
        <v>2.3660601473371647E-2</v>
      </c>
      <c r="T37" s="10">
        <f>T34/Master!AC52</f>
        <v>2.656178418153516E-2</v>
      </c>
      <c r="U37" s="10">
        <f>U34/Master!AD52</f>
        <v>2.9200550196367456E-2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D301"/>
  <sheetViews>
    <sheetView showGridLines="0" zoomScale="72" zoomScaleNormal="72" workbookViewId="0">
      <pane xSplit="2" ySplit="4" topLeftCell="BF5" activePane="bottomRight" state="frozen"/>
      <selection activeCell="R10" sqref="R10"/>
      <selection pane="topRight" activeCell="R10" sqref="R10"/>
      <selection pane="bottomLeft" activeCell="R10" sqref="R10"/>
      <selection pane="bottomRight" activeCell="BR4" sqref="BR4"/>
    </sheetView>
  </sheetViews>
  <sheetFormatPr defaultRowHeight="15" outlineLevelCol="1"/>
  <cols>
    <col min="1" max="1" width="1.28515625" customWidth="1"/>
    <col min="2" max="2" width="52.7109375" bestFit="1" customWidth="1"/>
    <col min="3" max="46" width="9.140625" customWidth="1" outlineLevel="1"/>
    <col min="47" max="47" width="9.140625" customWidth="1" outlineLevel="1" collapsed="1"/>
    <col min="48" max="50" width="9.140625" customWidth="1" outlineLevel="1"/>
    <col min="51" max="56" width="9.140625" customWidth="1"/>
    <col min="58" max="62" width="8.85546875" customWidth="1"/>
    <col min="64" max="64" width="9.85546875" customWidth="1"/>
    <col min="67" max="68" width="8.7109375" bestFit="1" customWidth="1"/>
    <col min="71" max="74" width="0" hidden="1" customWidth="1"/>
    <col min="75" max="75" width="10" customWidth="1"/>
    <col min="76" max="83" width="9.140625" hidden="1" customWidth="1" outlineLevel="1"/>
    <col min="84" max="91" width="9" hidden="1" customWidth="1" outlineLevel="1"/>
    <col min="92" max="99" width="8.85546875" hidden="1" customWidth="1" outlineLevel="1"/>
    <col min="100" max="100" width="9.140625" hidden="1" customWidth="1" outlineLevel="1" collapsed="1"/>
    <col min="101" max="103" width="9.140625" hidden="1" customWidth="1" outlineLevel="1"/>
    <col min="104" max="104" width="9.140625" hidden="1" customWidth="1" outlineLevel="1" collapsed="1"/>
    <col min="105" max="107" width="9.140625" hidden="1" customWidth="1" outlineLevel="1"/>
    <col min="108" max="108" width="0" hidden="1" customWidth="1" outlineLevel="1" collapsed="1"/>
    <col min="109" max="110" width="0" hidden="1" customWidth="1" outlineLevel="1"/>
    <col min="111" max="111" width="8.85546875" hidden="1" customWidth="1" outlineLevel="1"/>
    <col min="112" max="112" width="8.85546875" customWidth="1" collapsed="1"/>
    <col min="113" max="115" width="8.85546875" customWidth="1"/>
    <col min="154" max="160" width="0" hidden="1" customWidth="1"/>
  </cols>
  <sheetData>
    <row r="1" spans="1:160">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V1" s="203"/>
      <c r="DW1" s="203"/>
      <c r="DX1" s="203"/>
      <c r="DY1" s="203"/>
      <c r="DZ1" s="203"/>
      <c r="EA1" s="203"/>
      <c r="EB1" s="203"/>
      <c r="EX1" s="400"/>
      <c r="EY1" s="400"/>
      <c r="EZ1" s="487"/>
      <c r="FA1" s="573" t="s">
        <v>3161</v>
      </c>
      <c r="FB1" s="400"/>
      <c r="FC1" s="487"/>
      <c r="FD1" s="573" t="s">
        <v>3161</v>
      </c>
    </row>
    <row r="2" spans="1:160">
      <c r="A2" s="203"/>
      <c r="B2" s="340" t="s">
        <v>196</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V2" s="203"/>
      <c r="DW2" s="203"/>
      <c r="DX2" s="203"/>
      <c r="DY2" s="203"/>
      <c r="DZ2" s="203"/>
      <c r="EA2" s="203"/>
      <c r="EB2" s="203"/>
      <c r="EX2" s="400"/>
      <c r="EY2" s="400"/>
      <c r="EZ2" s="487"/>
      <c r="FA2" s="574"/>
      <c r="FB2" s="400"/>
      <c r="FC2" s="487"/>
      <c r="FD2" s="574"/>
    </row>
    <row r="3" spans="1:160">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V3" s="203"/>
      <c r="DW3" s="203"/>
      <c r="DX3" s="203"/>
      <c r="DY3" s="203"/>
      <c r="DZ3" s="203"/>
      <c r="EA3" s="203"/>
      <c r="EB3" s="203"/>
      <c r="EX3" s="400"/>
      <c r="EY3" s="400"/>
      <c r="EZ3" s="487"/>
      <c r="FA3" s="574"/>
      <c r="FB3" s="400"/>
      <c r="FC3" s="487"/>
      <c r="FD3" s="574"/>
    </row>
    <row r="4" spans="1:160">
      <c r="A4" s="203"/>
      <c r="B4" s="341" t="s">
        <v>224</v>
      </c>
      <c r="C4" s="203"/>
      <c r="D4" s="203"/>
      <c r="E4" s="203"/>
      <c r="F4" s="226" t="s">
        <v>201</v>
      </c>
      <c r="G4" s="226" t="s">
        <v>202</v>
      </c>
      <c r="H4" s="226" t="s">
        <v>203</v>
      </c>
      <c r="I4" s="226" t="s">
        <v>204</v>
      </c>
      <c r="J4" s="226" t="s">
        <v>205</v>
      </c>
      <c r="K4" s="226" t="s">
        <v>206</v>
      </c>
      <c r="L4" s="226" t="s">
        <v>207</v>
      </c>
      <c r="M4" s="226" t="s">
        <v>208</v>
      </c>
      <c r="N4" s="226" t="s">
        <v>209</v>
      </c>
      <c r="O4" s="226" t="s">
        <v>210</v>
      </c>
      <c r="P4" s="226" t="s">
        <v>211</v>
      </c>
      <c r="Q4" s="226" t="s">
        <v>212</v>
      </c>
      <c r="R4" s="226" t="s">
        <v>213</v>
      </c>
      <c r="S4" s="226" t="s">
        <v>214</v>
      </c>
      <c r="T4" s="226" t="s">
        <v>215</v>
      </c>
      <c r="U4" s="226" t="s">
        <v>216</v>
      </c>
      <c r="V4" s="226" t="s">
        <v>217</v>
      </c>
      <c r="W4" s="226" t="s">
        <v>218</v>
      </c>
      <c r="X4" s="226" t="s">
        <v>219</v>
      </c>
      <c r="Y4" s="226" t="s">
        <v>220</v>
      </c>
      <c r="Z4" s="226" t="s">
        <v>221</v>
      </c>
      <c r="AA4" s="226" t="s">
        <v>222</v>
      </c>
      <c r="AB4" s="226" t="s">
        <v>223</v>
      </c>
      <c r="AC4" s="226" t="s">
        <v>225</v>
      </c>
      <c r="AD4" s="226" t="s">
        <v>533</v>
      </c>
      <c r="AE4" s="226" t="s">
        <v>672</v>
      </c>
      <c r="AF4" s="226" t="s">
        <v>677</v>
      </c>
      <c r="AG4" s="226" t="s">
        <v>689</v>
      </c>
      <c r="AH4" s="226" t="s">
        <v>721</v>
      </c>
      <c r="AI4" s="226" t="s">
        <v>731</v>
      </c>
      <c r="AJ4" s="226" t="s">
        <v>814</v>
      </c>
      <c r="AK4" s="226" t="s">
        <v>875</v>
      </c>
      <c r="AL4" s="226" t="s">
        <v>1089</v>
      </c>
      <c r="AM4" s="226" t="s">
        <v>1093</v>
      </c>
      <c r="AN4" s="226" t="s">
        <v>1094</v>
      </c>
      <c r="AO4" s="226" t="s">
        <v>1300</v>
      </c>
      <c r="AP4" s="226" t="s">
        <v>1301</v>
      </c>
      <c r="AQ4" s="226" t="s">
        <v>1365</v>
      </c>
      <c r="AR4" s="226" t="s">
        <v>1367</v>
      </c>
      <c r="AS4" s="226" t="s">
        <v>1381</v>
      </c>
      <c r="AT4" s="226" t="s">
        <v>1382</v>
      </c>
      <c r="AU4" s="226" t="s">
        <v>1421</v>
      </c>
      <c r="AV4" s="226" t="s">
        <v>1422</v>
      </c>
      <c r="AW4" s="226" t="s">
        <v>1423</v>
      </c>
      <c r="AX4" s="226" t="s">
        <v>1424</v>
      </c>
      <c r="AY4" s="226" t="s">
        <v>1729</v>
      </c>
      <c r="AZ4" s="226" t="s">
        <v>1871</v>
      </c>
      <c r="BA4" s="226" t="s">
        <v>2066</v>
      </c>
      <c r="BB4" s="226" t="s">
        <v>2157</v>
      </c>
      <c r="BC4" s="226" t="s">
        <v>2190</v>
      </c>
      <c r="BD4" s="226" t="s">
        <v>2298</v>
      </c>
      <c r="BE4" s="226" t="s">
        <v>2307</v>
      </c>
      <c r="BF4" s="226" t="s">
        <v>2542</v>
      </c>
      <c r="BG4" s="226" t="s">
        <v>2687</v>
      </c>
      <c r="BH4" s="226" t="s">
        <v>2693</v>
      </c>
      <c r="BI4" s="226" t="s">
        <v>2697</v>
      </c>
      <c r="BJ4" s="226" t="s">
        <v>2880</v>
      </c>
      <c r="BK4" s="226" t="s">
        <v>2890</v>
      </c>
      <c r="BL4" s="226" t="s">
        <v>2997</v>
      </c>
      <c r="BM4" s="226" t="s">
        <v>3010</v>
      </c>
      <c r="BN4" s="226" t="s">
        <v>3162</v>
      </c>
      <c r="BO4" s="226" t="s">
        <v>3210</v>
      </c>
      <c r="BP4" s="226" t="s">
        <v>3079</v>
      </c>
      <c r="BQ4" s="226" t="s">
        <v>3080</v>
      </c>
      <c r="BR4" s="226" t="s">
        <v>3081</v>
      </c>
      <c r="BS4" s="226" t="s">
        <v>3132</v>
      </c>
      <c r="BT4" s="226" t="s">
        <v>3133</v>
      </c>
      <c r="BU4" s="226" t="s">
        <v>3134</v>
      </c>
      <c r="BV4" s="226" t="s">
        <v>3135</v>
      </c>
      <c r="BW4" s="342"/>
      <c r="BX4" s="226" t="str">
        <f t="shared" ref="BX4:DP4" si="0">W4</f>
        <v>Q1 13</v>
      </c>
      <c r="BY4" s="226" t="str">
        <f t="shared" si="0"/>
        <v>Q2 13</v>
      </c>
      <c r="BZ4" s="226" t="str">
        <f t="shared" si="0"/>
        <v>Q3 13</v>
      </c>
      <c r="CA4" s="226" t="str">
        <f t="shared" si="0"/>
        <v>Q4 13</v>
      </c>
      <c r="CB4" s="226" t="str">
        <f t="shared" si="0"/>
        <v>Q1 14</v>
      </c>
      <c r="CC4" s="226" t="str">
        <f t="shared" si="0"/>
        <v>Q2 14</v>
      </c>
      <c r="CD4" s="226" t="str">
        <f t="shared" si="0"/>
        <v>Q3 14</v>
      </c>
      <c r="CE4" s="226" t="str">
        <f t="shared" si="0"/>
        <v>Q4 14</v>
      </c>
      <c r="CF4" s="226" t="str">
        <f t="shared" si="0"/>
        <v>Q1 15</v>
      </c>
      <c r="CG4" s="226" t="str">
        <f t="shared" si="0"/>
        <v>Q2 15</v>
      </c>
      <c r="CH4" s="226" t="str">
        <f t="shared" si="0"/>
        <v>Q3 15</v>
      </c>
      <c r="CI4" s="226" t="str">
        <f t="shared" si="0"/>
        <v>Q4 15</v>
      </c>
      <c r="CJ4" s="226" t="str">
        <f t="shared" si="0"/>
        <v>Q1 16</v>
      </c>
      <c r="CK4" s="226" t="str">
        <f t="shared" si="0"/>
        <v>Q2 16</v>
      </c>
      <c r="CL4" s="226" t="str">
        <f t="shared" si="0"/>
        <v>Q3 16</v>
      </c>
      <c r="CM4" s="226" t="str">
        <f t="shared" si="0"/>
        <v>Q4 16</v>
      </c>
      <c r="CN4" s="226" t="str">
        <f t="shared" si="0"/>
        <v>Q1 17</v>
      </c>
      <c r="CO4" s="226" t="str">
        <f t="shared" si="0"/>
        <v>Q2 17</v>
      </c>
      <c r="CP4" s="226" t="str">
        <f t="shared" si="0"/>
        <v>Q3 17</v>
      </c>
      <c r="CQ4" s="226" t="str">
        <f t="shared" si="0"/>
        <v>Q4 17</v>
      </c>
      <c r="CR4" s="226" t="str">
        <f t="shared" si="0"/>
        <v>Q1 18</v>
      </c>
      <c r="CS4" s="226" t="str">
        <f t="shared" si="0"/>
        <v>Q2 18</v>
      </c>
      <c r="CT4" s="226" t="str">
        <f t="shared" si="0"/>
        <v>Q3 18</v>
      </c>
      <c r="CU4" s="226" t="str">
        <f t="shared" si="0"/>
        <v>Q4 18</v>
      </c>
      <c r="CV4" s="226" t="str">
        <f t="shared" si="0"/>
        <v>Q1 19</v>
      </c>
      <c r="CW4" s="226" t="str">
        <f t="shared" si="0"/>
        <v>Q2 19</v>
      </c>
      <c r="CX4" s="226" t="str">
        <f t="shared" si="0"/>
        <v>Q3 19</v>
      </c>
      <c r="CY4" s="226" t="str">
        <f t="shared" si="0"/>
        <v>Q4 19</v>
      </c>
      <c r="CZ4" s="226" t="str">
        <f t="shared" si="0"/>
        <v>Q1 20</v>
      </c>
      <c r="DA4" s="226" t="str">
        <f t="shared" si="0"/>
        <v>Q2 20</v>
      </c>
      <c r="DB4" s="226" t="str">
        <f t="shared" si="0"/>
        <v>Q3 20</v>
      </c>
      <c r="DC4" s="226" t="str">
        <f t="shared" si="0"/>
        <v>Q4 20</v>
      </c>
      <c r="DD4" s="226" t="str">
        <f t="shared" si="0"/>
        <v>Q1 21</v>
      </c>
      <c r="DE4" s="226" t="str">
        <f t="shared" si="0"/>
        <v>Q2 21</v>
      </c>
      <c r="DF4" s="226" t="str">
        <f t="shared" si="0"/>
        <v>Q3 21</v>
      </c>
      <c r="DG4" s="226" t="str">
        <f t="shared" si="0"/>
        <v>Q4 21</v>
      </c>
      <c r="DH4" s="226" t="str">
        <f t="shared" si="0"/>
        <v>Q1 22</v>
      </c>
      <c r="DI4" s="226" t="str">
        <f t="shared" si="0"/>
        <v>Q2 22</v>
      </c>
      <c r="DJ4" s="226" t="str">
        <f t="shared" si="0"/>
        <v>Q3 22</v>
      </c>
      <c r="DK4" s="226" t="str">
        <f t="shared" si="0"/>
        <v>Q4 22</v>
      </c>
      <c r="DL4" s="226" t="str">
        <f t="shared" si="0"/>
        <v>Q1 23</v>
      </c>
      <c r="DM4" s="226" t="str">
        <f t="shared" si="0"/>
        <v>Q2 23</v>
      </c>
      <c r="DN4" s="226" t="str">
        <f t="shared" si="0"/>
        <v>Q3 23</v>
      </c>
      <c r="DO4" s="226" t="str">
        <f t="shared" si="0"/>
        <v>Q4 23</v>
      </c>
      <c r="DP4" s="226" t="str">
        <f t="shared" si="0"/>
        <v>Q1 24</v>
      </c>
      <c r="DQ4" s="226" t="str">
        <f t="shared" ref="DQ4" si="1">BP4</f>
        <v>Q2 24e</v>
      </c>
      <c r="DR4" s="226" t="str">
        <f t="shared" ref="DR4" si="2">BQ4</f>
        <v>Q3 24e</v>
      </c>
      <c r="DS4" s="226" t="str">
        <f t="shared" ref="DS4" si="3">BR4</f>
        <v>Q4 24e</v>
      </c>
      <c r="DT4" s="203"/>
      <c r="DV4" s="203"/>
      <c r="DW4" s="203"/>
      <c r="DX4" s="203"/>
      <c r="DY4" s="203"/>
      <c r="DZ4" s="203"/>
      <c r="EA4" s="203"/>
      <c r="EB4" s="203"/>
      <c r="EX4" s="401" t="s">
        <v>2592</v>
      </c>
      <c r="EY4" s="401" t="s">
        <v>2593</v>
      </c>
      <c r="EZ4" s="488" t="s">
        <v>2594</v>
      </c>
      <c r="FA4" s="575" t="s">
        <v>2595</v>
      </c>
      <c r="FB4" s="401" t="s">
        <v>2593</v>
      </c>
      <c r="FC4" s="488" t="s">
        <v>2594</v>
      </c>
      <c r="FD4" s="575" t="s">
        <v>2595</v>
      </c>
    </row>
    <row r="5" spans="1:160">
      <c r="A5" s="203"/>
      <c r="B5" s="341"/>
      <c r="C5" s="203"/>
      <c r="D5" s="203"/>
      <c r="E5" s="203"/>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336"/>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V5" s="203"/>
      <c r="DW5" s="203"/>
      <c r="DX5" s="203"/>
      <c r="DY5" s="203"/>
      <c r="DZ5" s="203"/>
      <c r="EA5" s="203"/>
      <c r="EB5" s="203"/>
      <c r="EX5" s="336"/>
      <c r="EY5" s="203"/>
      <c r="EZ5" s="203"/>
      <c r="FA5" s="574"/>
      <c r="FB5" s="203"/>
      <c r="FC5" s="203"/>
      <c r="FD5" s="574"/>
    </row>
    <row r="6" spans="1:160">
      <c r="A6" s="203"/>
      <c r="B6" s="205" t="s">
        <v>229</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6"/>
      <c r="BK6" s="337"/>
      <c r="BL6" s="337"/>
      <c r="BM6" s="337"/>
      <c r="BN6" s="337"/>
      <c r="BO6" s="337"/>
      <c r="BP6" s="337"/>
      <c r="BQ6" s="337"/>
      <c r="BR6" s="337"/>
      <c r="BS6" s="337"/>
      <c r="BT6" s="337"/>
      <c r="BU6" s="337"/>
      <c r="BV6" s="337"/>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V6" s="203"/>
      <c r="DW6" s="203"/>
      <c r="DX6" s="203"/>
      <c r="DY6" s="203"/>
      <c r="DZ6" s="203"/>
      <c r="EA6" s="203"/>
      <c r="EB6" s="203"/>
      <c r="EX6" s="337"/>
      <c r="EY6" s="337"/>
      <c r="EZ6" s="337"/>
      <c r="FA6" s="576"/>
      <c r="FB6" s="203"/>
      <c r="FC6" s="203"/>
      <c r="FD6" s="574"/>
    </row>
    <row r="7" spans="1:160">
      <c r="A7" s="203"/>
      <c r="B7" s="203" t="s">
        <v>169</v>
      </c>
      <c r="C7" s="203"/>
      <c r="D7" s="203"/>
      <c r="E7" s="203"/>
      <c r="F7" s="203">
        <v>4153</v>
      </c>
      <c r="G7" s="203">
        <v>4253</v>
      </c>
      <c r="H7" s="203">
        <v>4375</v>
      </c>
      <c r="I7" s="203">
        <v>4524</v>
      </c>
      <c r="J7" s="203">
        <v>4599</v>
      </c>
      <c r="K7" s="203">
        <v>4701</v>
      </c>
      <c r="L7" s="336">
        <v>5026.3130000000001</v>
      </c>
      <c r="M7" s="336">
        <v>5134</v>
      </c>
      <c r="N7" s="336">
        <v>5214</v>
      </c>
      <c r="O7" s="336">
        <v>5280</v>
      </c>
      <c r="P7" s="336">
        <v>5398.0020000000004</v>
      </c>
      <c r="Q7" s="336">
        <v>5607</v>
      </c>
      <c r="R7" s="336">
        <v>5720</v>
      </c>
      <c r="S7" s="336">
        <v>5879</v>
      </c>
      <c r="T7" s="336">
        <v>5999.65</v>
      </c>
      <c r="U7" s="336">
        <v>6115</v>
      </c>
      <c r="V7" s="336">
        <v>6210</v>
      </c>
      <c r="W7" s="336">
        <v>6325</v>
      </c>
      <c r="X7" s="336">
        <v>6442</v>
      </c>
      <c r="Y7" s="336">
        <v>6516</v>
      </c>
      <c r="Z7" s="336">
        <v>6573</v>
      </c>
      <c r="AA7" s="336">
        <v>6655.26</v>
      </c>
      <c r="AB7" s="336">
        <v>6709.1610000000001</v>
      </c>
      <c r="AC7" s="336">
        <v>6821.2780000000002</v>
      </c>
      <c r="AD7" s="336">
        <v>7174.2719999999999</v>
      </c>
      <c r="AE7" s="336">
        <v>7208.4</v>
      </c>
      <c r="AF7" s="336">
        <v>7334.6</v>
      </c>
      <c r="AG7" s="336">
        <v>7430.8</v>
      </c>
      <c r="AH7" s="336">
        <v>7487.165</v>
      </c>
      <c r="AI7" s="336">
        <v>7542.98</v>
      </c>
      <c r="AJ7" s="336">
        <v>7627.1120000000001</v>
      </c>
      <c r="AK7" s="336">
        <v>7748.6</v>
      </c>
      <c r="AL7" s="336">
        <v>7867.9949999999999</v>
      </c>
      <c r="AM7" s="336">
        <v>7914.0609999999997</v>
      </c>
      <c r="AN7" s="336">
        <v>7987.9669999999996</v>
      </c>
      <c r="AO7" s="336">
        <v>8058.6750000000002</v>
      </c>
      <c r="AP7" s="336">
        <v>8135.4279999999999</v>
      </c>
      <c r="AQ7" s="336">
        <v>8207</v>
      </c>
      <c r="AR7" s="336">
        <v>8283</v>
      </c>
      <c r="AS7" s="336">
        <v>8362</v>
      </c>
      <c r="AT7" s="336">
        <v>8427.9169999999995</v>
      </c>
      <c r="AU7" s="343">
        <v>8057</v>
      </c>
      <c r="AV7" s="343">
        <v>8702.1319999999996</v>
      </c>
      <c r="AW7" s="343">
        <v>8764</v>
      </c>
      <c r="AX7" s="343">
        <v>8836.6749999999993</v>
      </c>
      <c r="AY7" s="468">
        <v>8853.7849999999999</v>
      </c>
      <c r="AZ7" s="468">
        <v>8876.2999999999993</v>
      </c>
      <c r="BA7" s="468">
        <v>8901.7469999999994</v>
      </c>
      <c r="BB7" s="468">
        <v>8955.4570000000003</v>
      </c>
      <c r="BC7" s="468">
        <v>9007.223</v>
      </c>
      <c r="BD7" s="468">
        <v>9097</v>
      </c>
      <c r="BE7" s="468">
        <v>9292.1260000000002</v>
      </c>
      <c r="BF7" s="468">
        <f>Fixed!P3</f>
        <v>9568.6</v>
      </c>
      <c r="BG7" s="468">
        <v>9686.3050000000003</v>
      </c>
      <c r="BH7" s="468">
        <v>10114.51</v>
      </c>
      <c r="BI7" s="468">
        <v>10566.498</v>
      </c>
      <c r="BJ7" s="468">
        <v>11560.218000000001</v>
      </c>
      <c r="BK7" s="468">
        <v>12487.578</v>
      </c>
      <c r="BL7" s="468">
        <v>13450.7</v>
      </c>
      <c r="BM7" s="468">
        <v>14552.598</v>
      </c>
      <c r="BN7" s="468">
        <v>15437.906999999999</v>
      </c>
      <c r="BO7" s="468">
        <v>15951.418</v>
      </c>
      <c r="BP7" s="470">
        <f>BO7+400</f>
        <v>16351.418</v>
      </c>
      <c r="BQ7" s="470">
        <f>BP7+350</f>
        <v>16701.417999999998</v>
      </c>
      <c r="BR7" s="392">
        <f>Fixed!S3</f>
        <v>16937.906999999999</v>
      </c>
      <c r="BS7" s="344">
        <f>BR7+350</f>
        <v>17287.906999999999</v>
      </c>
      <c r="BT7" s="344">
        <f>BS7+350</f>
        <v>17637.906999999999</v>
      </c>
      <c r="BU7" s="344">
        <f>BT7+150</f>
        <v>17787.906999999999</v>
      </c>
      <c r="BV7" s="336">
        <f>Fixed!T3</f>
        <v>17937.906999999999</v>
      </c>
      <c r="BW7" s="336"/>
      <c r="BX7" s="337">
        <f t="shared" ref="BX7:DS7" si="4">W7/S7-1</f>
        <v>7.5863242047967239E-2</v>
      </c>
      <c r="BY7" s="337">
        <f t="shared" si="4"/>
        <v>7.3729300875884585E-2</v>
      </c>
      <c r="BZ7" s="337">
        <f t="shared" si="4"/>
        <v>6.5576451349141474E-2</v>
      </c>
      <c r="CA7" s="337">
        <f t="shared" si="4"/>
        <v>5.8454106280193319E-2</v>
      </c>
      <c r="CB7" s="337">
        <f t="shared" si="4"/>
        <v>5.2215019762845927E-2</v>
      </c>
      <c r="CC7" s="337">
        <f t="shared" si="4"/>
        <v>4.1471747904377576E-2</v>
      </c>
      <c r="CD7" s="337">
        <f t="shared" si="4"/>
        <v>4.6850521792510813E-2</v>
      </c>
      <c r="CE7" s="337">
        <f t="shared" si="4"/>
        <v>9.1476038338658139E-2</v>
      </c>
      <c r="CF7" s="337">
        <f t="shared" si="4"/>
        <v>8.3113206696657782E-2</v>
      </c>
      <c r="CG7" s="337">
        <f t="shared" si="4"/>
        <v>9.3221641275265332E-2</v>
      </c>
      <c r="CH7" s="337">
        <f t="shared" si="4"/>
        <v>8.9355982852480142E-2</v>
      </c>
      <c r="CI7" s="337">
        <f t="shared" si="4"/>
        <v>4.3613205632571539E-2</v>
      </c>
      <c r="CJ7" s="337">
        <f t="shared" si="4"/>
        <v>4.6415293268963875E-2</v>
      </c>
      <c r="CK7" s="337">
        <f t="shared" si="4"/>
        <v>3.9881111444386885E-2</v>
      </c>
      <c r="CL7" s="337">
        <f t="shared" si="4"/>
        <v>4.2767938849114451E-2</v>
      </c>
      <c r="CM7" s="337">
        <f t="shared" si="4"/>
        <v>5.0864379241007729E-2</v>
      </c>
      <c r="CN7" s="337">
        <f t="shared" si="4"/>
        <v>4.9195543405921915E-2</v>
      </c>
      <c r="CO7" s="337">
        <f t="shared" si="4"/>
        <v>4.7312141214131742E-2</v>
      </c>
      <c r="CP7" s="337">
        <f t="shared" si="4"/>
        <v>4.0016906279844111E-2</v>
      </c>
      <c r="CQ7" s="337">
        <f t="shared" si="4"/>
        <v>3.3989980929067798E-2</v>
      </c>
      <c r="CR7" s="337">
        <f t="shared" si="4"/>
        <v>3.701500405417657E-2</v>
      </c>
      <c r="CS7" s="337">
        <f t="shared" si="4"/>
        <v>3.6934679374614365E-2</v>
      </c>
      <c r="CT7" s="337">
        <f t="shared" si="4"/>
        <v>3.763956233499921E-2</v>
      </c>
      <c r="CU7" s="337">
        <f t="shared" si="4"/>
        <v>3.5952503052082863E-2</v>
      </c>
      <c r="CV7" s="337">
        <f t="shared" si="4"/>
        <v>-1.8277080541001633E-2</v>
      </c>
      <c r="CW7" s="337">
        <f t="shared" si="4"/>
        <v>5.0601472896293576E-2</v>
      </c>
      <c r="CX7" s="337">
        <f t="shared" si="4"/>
        <v>4.8074623295862207E-2</v>
      </c>
      <c r="CY7" s="337">
        <f t="shared" si="4"/>
        <v>4.8500477638780737E-2</v>
      </c>
      <c r="CZ7" s="337">
        <f t="shared" si="4"/>
        <v>9.8893508750155235E-2</v>
      </c>
      <c r="DA7" s="337">
        <f t="shared" si="4"/>
        <v>2.0014405665186308E-2</v>
      </c>
      <c r="DB7" s="337">
        <f t="shared" si="4"/>
        <v>1.5717366499315322E-2</v>
      </c>
      <c r="DC7" s="337">
        <f t="shared" si="4"/>
        <v>1.3441933759021474E-2</v>
      </c>
      <c r="DD7" s="337">
        <f t="shared" si="4"/>
        <v>1.7330215269514726E-2</v>
      </c>
      <c r="DE7" s="337">
        <f t="shared" si="4"/>
        <v>2.4863963588432236E-2</v>
      </c>
      <c r="DF7" s="337">
        <f t="shared" si="4"/>
        <v>4.3854200754076755E-2</v>
      </c>
      <c r="DG7" s="337">
        <f t="shared" si="4"/>
        <v>6.8465852719743925E-2</v>
      </c>
      <c r="DH7" s="337">
        <f t="shared" si="4"/>
        <v>7.5393048445675293E-2</v>
      </c>
      <c r="DI7" s="337">
        <f t="shared" si="4"/>
        <v>0.11185115972298565</v>
      </c>
      <c r="DJ7" s="337">
        <f t="shared" si="4"/>
        <v>0.13714536371977726</v>
      </c>
      <c r="DK7" s="337">
        <f t="shared" si="4"/>
        <v>0.20814100286353288</v>
      </c>
      <c r="DL7" s="337">
        <f t="shared" si="4"/>
        <v>0.28919933865390357</v>
      </c>
      <c r="DM7" s="337">
        <f t="shared" si="4"/>
        <v>0.32984197949282756</v>
      </c>
      <c r="DN7" s="337">
        <f t="shared" si="4"/>
        <v>0.37723946003680697</v>
      </c>
      <c r="DO7" s="337">
        <f t="shared" si="4"/>
        <v>0.33543389925691702</v>
      </c>
      <c r="DP7" s="337">
        <f t="shared" si="4"/>
        <v>0.27738285198298662</v>
      </c>
      <c r="DQ7" s="337">
        <f t="shared" si="4"/>
        <v>0.21565554209074622</v>
      </c>
      <c r="DR7" s="337">
        <f t="shared" si="4"/>
        <v>0.14765885788915467</v>
      </c>
      <c r="DS7" s="337">
        <f t="shared" si="4"/>
        <v>9.716343024996843E-2</v>
      </c>
      <c r="DT7" s="203"/>
      <c r="DV7" s="203"/>
      <c r="DW7" s="203"/>
      <c r="DX7" s="203"/>
      <c r="DY7" s="203"/>
      <c r="DZ7" s="203"/>
      <c r="EA7" s="203"/>
      <c r="EB7" s="203"/>
      <c r="EX7" s="336">
        <v>12060.218000000001</v>
      </c>
      <c r="EY7" s="336">
        <v>13387.218000000001</v>
      </c>
      <c r="EZ7" s="336">
        <v>14060.7</v>
      </c>
      <c r="FA7" s="577">
        <v>15560.218000000001</v>
      </c>
      <c r="FB7" s="337">
        <v>0.32356564974477275</v>
      </c>
      <c r="FC7" s="337">
        <v>0.33068685575864398</v>
      </c>
      <c r="FD7" s="576">
        <v>0.3460142360637144</v>
      </c>
    </row>
    <row r="8" spans="1:160">
      <c r="A8" s="203"/>
      <c r="B8" s="203" t="s">
        <v>226</v>
      </c>
      <c r="C8" s="203"/>
      <c r="D8" s="203"/>
      <c r="E8" s="203"/>
      <c r="F8" s="203"/>
      <c r="G8" s="336">
        <f t="shared" ref="G8:AL8" si="5">G7-F7</f>
        <v>100</v>
      </c>
      <c r="H8" s="336">
        <f t="shared" si="5"/>
        <v>122</v>
      </c>
      <c r="I8" s="336">
        <f t="shared" si="5"/>
        <v>149</v>
      </c>
      <c r="J8" s="336">
        <f t="shared" si="5"/>
        <v>75</v>
      </c>
      <c r="K8" s="336">
        <f t="shared" si="5"/>
        <v>102</v>
      </c>
      <c r="L8" s="336">
        <f t="shared" si="5"/>
        <v>325.3130000000001</v>
      </c>
      <c r="M8" s="336">
        <f t="shared" si="5"/>
        <v>107.6869999999999</v>
      </c>
      <c r="N8" s="336">
        <f t="shared" si="5"/>
        <v>80</v>
      </c>
      <c r="O8" s="336">
        <f t="shared" si="5"/>
        <v>66</v>
      </c>
      <c r="P8" s="336">
        <f t="shared" si="5"/>
        <v>118.00200000000041</v>
      </c>
      <c r="Q8" s="336">
        <f t="shared" si="5"/>
        <v>208.99799999999959</v>
      </c>
      <c r="R8" s="336">
        <f t="shared" si="5"/>
        <v>113</v>
      </c>
      <c r="S8" s="336">
        <f t="shared" si="5"/>
        <v>159</v>
      </c>
      <c r="T8" s="336">
        <f t="shared" si="5"/>
        <v>120.64999999999964</v>
      </c>
      <c r="U8" s="336">
        <f t="shared" si="5"/>
        <v>115.35000000000036</v>
      </c>
      <c r="V8" s="336">
        <f t="shared" si="5"/>
        <v>95</v>
      </c>
      <c r="W8" s="336">
        <f t="shared" si="5"/>
        <v>115</v>
      </c>
      <c r="X8" s="336">
        <f t="shared" si="5"/>
        <v>117</v>
      </c>
      <c r="Y8" s="336">
        <f t="shared" si="5"/>
        <v>74</v>
      </c>
      <c r="Z8" s="336">
        <f t="shared" si="5"/>
        <v>57</v>
      </c>
      <c r="AA8" s="336">
        <f t="shared" si="5"/>
        <v>82.260000000000218</v>
      </c>
      <c r="AB8" s="336">
        <f t="shared" si="5"/>
        <v>53.90099999999984</v>
      </c>
      <c r="AC8" s="336">
        <f t="shared" si="5"/>
        <v>112.11700000000019</v>
      </c>
      <c r="AD8" s="336">
        <f t="shared" si="5"/>
        <v>352.99399999999969</v>
      </c>
      <c r="AE8" s="336">
        <f t="shared" si="5"/>
        <v>34.127999999999702</v>
      </c>
      <c r="AF8" s="336">
        <f t="shared" si="5"/>
        <v>126.20000000000073</v>
      </c>
      <c r="AG8" s="336">
        <f t="shared" si="5"/>
        <v>96.199999999999818</v>
      </c>
      <c r="AH8" s="336">
        <f t="shared" si="5"/>
        <v>56.364999999999782</v>
      </c>
      <c r="AI8" s="336">
        <f t="shared" si="5"/>
        <v>55.8149999999996</v>
      </c>
      <c r="AJ8" s="336">
        <f t="shared" si="5"/>
        <v>84.132000000000517</v>
      </c>
      <c r="AK8" s="336">
        <f t="shared" si="5"/>
        <v>121.48800000000028</v>
      </c>
      <c r="AL8" s="336">
        <f t="shared" si="5"/>
        <v>119.39499999999953</v>
      </c>
      <c r="AM8" s="336">
        <f t="shared" ref="AM8:BD8" si="6">AM7-AL7</f>
        <v>46.065999999999804</v>
      </c>
      <c r="AN8" s="336">
        <f t="shared" si="6"/>
        <v>73.905999999999949</v>
      </c>
      <c r="AO8" s="336">
        <f t="shared" si="6"/>
        <v>70.708000000000538</v>
      </c>
      <c r="AP8" s="336">
        <f t="shared" si="6"/>
        <v>76.752999999999702</v>
      </c>
      <c r="AQ8" s="336">
        <f t="shared" si="6"/>
        <v>71.572000000000116</v>
      </c>
      <c r="AR8" s="336">
        <f t="shared" si="6"/>
        <v>76</v>
      </c>
      <c r="AS8" s="336">
        <f t="shared" si="6"/>
        <v>79</v>
      </c>
      <c r="AT8" s="336">
        <f t="shared" si="6"/>
        <v>65.916999999999462</v>
      </c>
      <c r="AU8" s="336">
        <f t="shared" si="6"/>
        <v>-370.91699999999946</v>
      </c>
      <c r="AV8" s="336">
        <f t="shared" si="6"/>
        <v>645.13199999999961</v>
      </c>
      <c r="AW8" s="336">
        <f t="shared" si="6"/>
        <v>61.868000000000393</v>
      </c>
      <c r="AX8" s="336">
        <f t="shared" si="6"/>
        <v>72.674999999999272</v>
      </c>
      <c r="AY8" s="336">
        <f t="shared" si="6"/>
        <v>17.110000000000582</v>
      </c>
      <c r="AZ8" s="336">
        <f t="shared" si="6"/>
        <v>22.514999999999418</v>
      </c>
      <c r="BA8" s="336">
        <f t="shared" si="6"/>
        <v>25.447000000000116</v>
      </c>
      <c r="BB8" s="336">
        <f t="shared" si="6"/>
        <v>53.710000000000946</v>
      </c>
      <c r="BC8" s="336">
        <f t="shared" si="6"/>
        <v>51.765999999999622</v>
      </c>
      <c r="BD8" s="336">
        <f t="shared" si="6"/>
        <v>89.777000000000044</v>
      </c>
      <c r="BE8" s="336">
        <v>9.5</v>
      </c>
      <c r="BF8" s="336">
        <f t="shared" ref="BF8:BM8" si="7">BF7-BE7</f>
        <v>276.47400000000016</v>
      </c>
      <c r="BG8" s="336">
        <f t="shared" si="7"/>
        <v>117.70499999999993</v>
      </c>
      <c r="BH8" s="336">
        <f t="shared" si="7"/>
        <v>428.20499999999993</v>
      </c>
      <c r="BI8" s="336">
        <f t="shared" si="7"/>
        <v>451.98799999999937</v>
      </c>
      <c r="BJ8" s="336">
        <f t="shared" si="7"/>
        <v>993.72000000000116</v>
      </c>
      <c r="BK8" s="336">
        <f t="shared" si="7"/>
        <v>927.35999999999876</v>
      </c>
      <c r="BL8" s="336">
        <f t="shared" si="7"/>
        <v>963.12200000000121</v>
      </c>
      <c r="BM8" s="336">
        <f t="shared" si="7"/>
        <v>1101.8979999999992</v>
      </c>
      <c r="BN8" s="336">
        <f>BN7-BM7</f>
        <v>885.30899999999929</v>
      </c>
      <c r="BO8" s="336">
        <f>BO7-BN7</f>
        <v>513.51100000000042</v>
      </c>
      <c r="BP8" s="336">
        <f>BP7-BO7</f>
        <v>400</v>
      </c>
      <c r="BQ8" s="336">
        <f t="shared" ref="BQ8:BT8" si="8">BQ7-BP7</f>
        <v>349.99999999999818</v>
      </c>
      <c r="BR8" s="336">
        <f t="shared" si="8"/>
        <v>236.4890000000014</v>
      </c>
      <c r="BS8" s="336">
        <f t="shared" si="8"/>
        <v>350</v>
      </c>
      <c r="BT8" s="336">
        <f t="shared" si="8"/>
        <v>350</v>
      </c>
      <c r="BU8" s="336">
        <f t="shared" ref="BU8" si="9">BU7-BT7</f>
        <v>150</v>
      </c>
      <c r="BV8" s="336">
        <f t="shared" ref="BV8" si="10">BV7-BU7</f>
        <v>150</v>
      </c>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V8" s="203"/>
      <c r="DW8" s="203"/>
      <c r="DX8" s="203"/>
      <c r="DY8" s="203"/>
      <c r="DZ8" s="203"/>
      <c r="EA8" s="203"/>
      <c r="EB8" s="203"/>
      <c r="EX8" s="344">
        <v>500</v>
      </c>
      <c r="EY8" s="344">
        <v>900</v>
      </c>
      <c r="EZ8" s="344">
        <v>610</v>
      </c>
      <c r="FA8" s="577">
        <v>1007.6200000000008</v>
      </c>
      <c r="FB8" s="203"/>
      <c r="FC8" s="203"/>
      <c r="FD8" s="574"/>
    </row>
    <row r="9" spans="1:160">
      <c r="A9" s="203"/>
      <c r="B9" s="203"/>
      <c r="C9" s="203"/>
      <c r="D9" s="203"/>
      <c r="E9" s="203"/>
      <c r="F9" s="203"/>
      <c r="G9" s="336"/>
      <c r="H9" s="336"/>
      <c r="I9" s="336"/>
      <c r="J9" s="336"/>
      <c r="K9" s="336"/>
      <c r="L9" s="336"/>
      <c r="M9" s="336"/>
      <c r="N9" s="336"/>
      <c r="O9" s="336"/>
      <c r="P9" s="336"/>
      <c r="Q9" s="336"/>
      <c r="R9" s="336"/>
      <c r="S9" s="336"/>
      <c r="T9" s="336"/>
      <c r="U9" s="336"/>
      <c r="V9" s="336"/>
      <c r="W9" s="336"/>
      <c r="X9" s="336"/>
      <c r="Y9" s="336"/>
      <c r="Z9" s="336"/>
      <c r="AA9" s="336"/>
      <c r="AB9" s="336"/>
      <c r="AC9" s="336"/>
      <c r="AD9" s="336"/>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V9" s="203"/>
      <c r="DW9" s="203"/>
      <c r="DX9" s="203"/>
      <c r="DY9" s="203"/>
      <c r="DZ9" s="203"/>
      <c r="EA9" s="203"/>
      <c r="EB9" s="203"/>
      <c r="EX9" s="203"/>
      <c r="EY9" s="203"/>
      <c r="EZ9" s="203"/>
      <c r="FA9" s="574"/>
      <c r="FB9" s="203"/>
      <c r="FC9" s="203"/>
      <c r="FD9" s="574"/>
    </row>
    <row r="10" spans="1:160">
      <c r="A10" s="203"/>
      <c r="B10" s="205" t="s">
        <v>232</v>
      </c>
      <c r="C10" s="203"/>
      <c r="D10" s="203"/>
      <c r="E10" s="203"/>
      <c r="F10" s="203"/>
      <c r="G10" s="336"/>
      <c r="H10" s="336"/>
      <c r="I10" s="336"/>
      <c r="J10" s="336"/>
      <c r="K10" s="336"/>
      <c r="L10" s="336"/>
      <c r="M10" s="336"/>
      <c r="N10" s="336"/>
      <c r="O10" s="336"/>
      <c r="P10" s="336"/>
      <c r="Q10" s="336"/>
      <c r="R10" s="336"/>
      <c r="S10" s="336"/>
      <c r="T10" s="336"/>
      <c r="U10" s="336"/>
      <c r="V10" s="336"/>
      <c r="W10" s="336"/>
      <c r="X10" s="336"/>
      <c r="Y10" s="336"/>
      <c r="Z10" s="336"/>
      <c r="AA10" s="336"/>
      <c r="AB10" s="336"/>
      <c r="AC10" s="337"/>
      <c r="AD10" s="337"/>
      <c r="AE10" s="203"/>
      <c r="AF10" s="336"/>
      <c r="AG10" s="336"/>
      <c r="AH10" s="336"/>
      <c r="AI10" s="336"/>
      <c r="AJ10" s="336">
        <f>AJ11</f>
        <v>3007.0169999999998</v>
      </c>
      <c r="AK10" s="336">
        <f>AK11-(AK12-AK13)</f>
        <v>3011.9</v>
      </c>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36"/>
      <c r="BM10" s="336"/>
      <c r="BN10" s="336"/>
      <c r="BO10" s="336"/>
      <c r="BP10" s="336"/>
      <c r="BQ10" s="336"/>
      <c r="BR10" s="336"/>
      <c r="BS10" s="336"/>
      <c r="BT10" s="336"/>
      <c r="BU10" s="336"/>
      <c r="BV10" s="336"/>
      <c r="BW10" s="345"/>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V10" s="203"/>
      <c r="DW10" s="203"/>
      <c r="DX10" s="203"/>
      <c r="DY10" s="203"/>
      <c r="DZ10" s="203"/>
      <c r="EA10" s="203"/>
      <c r="EB10" s="203"/>
      <c r="EX10" s="336"/>
      <c r="EY10" s="336"/>
      <c r="EZ10" s="336"/>
      <c r="FA10" s="577"/>
      <c r="FB10" s="203"/>
      <c r="FC10" s="203"/>
      <c r="FD10" s="574"/>
    </row>
    <row r="11" spans="1:160">
      <c r="A11" s="203"/>
      <c r="B11" s="203" t="s">
        <v>170</v>
      </c>
      <c r="C11" s="203"/>
      <c r="D11" s="203"/>
      <c r="E11" s="203"/>
      <c r="F11" s="203">
        <v>1483</v>
      </c>
      <c r="G11" s="203">
        <v>1491</v>
      </c>
      <c r="H11" s="203">
        <v>1506</v>
      </c>
      <c r="I11" s="203">
        <v>1545</v>
      </c>
      <c r="J11" s="203">
        <v>1593</v>
      </c>
      <c r="K11" s="203">
        <v>1607</v>
      </c>
      <c r="L11" s="336">
        <v>1727.3679999999999</v>
      </c>
      <c r="M11" s="336">
        <v>1746</v>
      </c>
      <c r="N11" s="336">
        <v>1757</v>
      </c>
      <c r="O11" s="336">
        <v>1731</v>
      </c>
      <c r="P11" s="336">
        <v>1770.279</v>
      </c>
      <c r="Q11" s="336">
        <v>1864</v>
      </c>
      <c r="R11" s="336">
        <v>1944</v>
      </c>
      <c r="S11" s="336">
        <v>1988</v>
      </c>
      <c r="T11" s="336">
        <v>2010</v>
      </c>
      <c r="U11" s="336">
        <v>2037</v>
      </c>
      <c r="V11" s="336">
        <v>2100</v>
      </c>
      <c r="W11" s="336">
        <v>2112</v>
      </c>
      <c r="X11" s="336">
        <v>2127</v>
      </c>
      <c r="Y11" s="336">
        <v>2134</v>
      </c>
      <c r="Z11" s="336">
        <v>2143</v>
      </c>
      <c r="AA11" s="336">
        <v>2180.6</v>
      </c>
      <c r="AB11" s="336">
        <v>2249.0459999999998</v>
      </c>
      <c r="AC11" s="336">
        <v>2298.8000000000002</v>
      </c>
      <c r="AD11" s="336">
        <v>2406.0500000000002</v>
      </c>
      <c r="AE11" s="336">
        <v>2490.6999999999998</v>
      </c>
      <c r="AF11" s="336">
        <v>2570</v>
      </c>
      <c r="AG11" s="336">
        <v>2646.5</v>
      </c>
      <c r="AH11" s="336">
        <v>2834.1509999999998</v>
      </c>
      <c r="AI11" s="336">
        <v>2967.4</v>
      </c>
      <c r="AJ11" s="336">
        <v>3007.0169999999998</v>
      </c>
      <c r="AK11" s="336">
        <v>3029.9</v>
      </c>
      <c r="AL11" s="336">
        <v>2971.2</v>
      </c>
      <c r="AM11" s="336">
        <v>2907.9940000000001</v>
      </c>
      <c r="AN11" s="336">
        <v>2923</v>
      </c>
      <c r="AO11" s="336">
        <v>2969.3490000000002</v>
      </c>
      <c r="AP11" s="336">
        <v>3040.2779999999998</v>
      </c>
      <c r="AQ11" s="336">
        <v>3101</v>
      </c>
      <c r="AR11" s="336">
        <v>3153.7</v>
      </c>
      <c r="AS11" s="336">
        <v>3179.4</v>
      </c>
      <c r="AT11" s="336">
        <v>3202.1840000000002</v>
      </c>
      <c r="AU11" s="343">
        <v>3196.8</v>
      </c>
      <c r="AV11" s="343">
        <v>3217.5610000000001</v>
      </c>
      <c r="AW11" s="343">
        <v>3224</v>
      </c>
      <c r="AX11" s="343">
        <v>3224.7979999999998</v>
      </c>
      <c r="AY11" s="343">
        <v>3233.5030000000002</v>
      </c>
      <c r="AZ11" s="343">
        <v>3261.4</v>
      </c>
      <c r="BA11" s="343">
        <v>3361.4720000000002</v>
      </c>
      <c r="BB11" s="343">
        <v>3412.6469999999999</v>
      </c>
      <c r="BC11" s="343">
        <v>3436.2669999999998</v>
      </c>
      <c r="BD11" s="343">
        <v>3458</v>
      </c>
      <c r="BE11" s="343">
        <v>3516.194</v>
      </c>
      <c r="BF11" s="343">
        <f>Fixed!P12</f>
        <v>3539.82</v>
      </c>
      <c r="BG11" s="343">
        <v>3541.998</v>
      </c>
      <c r="BH11" s="343">
        <v>3543.4780000000001</v>
      </c>
      <c r="BI11" s="343">
        <v>3592.1880000000001</v>
      </c>
      <c r="BJ11" s="343">
        <v>3675.6149999999998</v>
      </c>
      <c r="BK11" s="343">
        <v>3761.9119999999998</v>
      </c>
      <c r="BL11" s="343">
        <v>3845.8440000000001</v>
      </c>
      <c r="BM11" s="343">
        <v>3888.886</v>
      </c>
      <c r="BN11" s="343">
        <v>3914.09</v>
      </c>
      <c r="BO11" s="343">
        <v>3928.9389999999999</v>
      </c>
      <c r="BP11" s="344">
        <f>BO11+50</f>
        <v>3978.9389999999999</v>
      </c>
      <c r="BQ11" s="344">
        <f>BP11+50</f>
        <v>4028.9389999999999</v>
      </c>
      <c r="BR11" s="336">
        <f>Fixed!S12</f>
        <v>4064.09</v>
      </c>
      <c r="BS11" s="344">
        <f>BR11+35</f>
        <v>4099.09</v>
      </c>
      <c r="BT11" s="344">
        <f t="shared" ref="BT11:BU11" si="11">BS11+35</f>
        <v>4134.09</v>
      </c>
      <c r="BU11" s="344">
        <f t="shared" si="11"/>
        <v>4169.09</v>
      </c>
      <c r="BV11" s="336">
        <f>Fixed!T12</f>
        <v>4214.09</v>
      </c>
      <c r="BW11" s="346"/>
      <c r="BX11" s="337">
        <f t="shared" ref="BX11:DS11" si="12">W11/S11-1</f>
        <v>6.2374245472837098E-2</v>
      </c>
      <c r="BY11" s="337">
        <f t="shared" si="12"/>
        <v>5.8208955223880698E-2</v>
      </c>
      <c r="BZ11" s="337">
        <f t="shared" si="12"/>
        <v>4.7619047619047672E-2</v>
      </c>
      <c r="CA11" s="337">
        <f t="shared" si="12"/>
        <v>2.0476190476190537E-2</v>
      </c>
      <c r="CB11" s="337">
        <f t="shared" si="12"/>
        <v>3.2481060606060597E-2</v>
      </c>
      <c r="CC11" s="337">
        <f t="shared" si="12"/>
        <v>5.7379407616360956E-2</v>
      </c>
      <c r="CD11" s="337">
        <f t="shared" si="12"/>
        <v>7.7225866916588615E-2</v>
      </c>
      <c r="CE11" s="337">
        <f t="shared" si="12"/>
        <v>0.12274848343443789</v>
      </c>
      <c r="CF11" s="337">
        <f t="shared" si="12"/>
        <v>0.14220856644960089</v>
      </c>
      <c r="CG11" s="337">
        <f t="shared" si="12"/>
        <v>0.14270672987568966</v>
      </c>
      <c r="CH11" s="337">
        <f t="shared" si="12"/>
        <v>0.15125282756220626</v>
      </c>
      <c r="CI11" s="337">
        <f t="shared" si="12"/>
        <v>0.1779268926248414</v>
      </c>
      <c r="CJ11" s="337">
        <f t="shared" si="12"/>
        <v>0.19139197815875075</v>
      </c>
      <c r="CK11" s="337">
        <f t="shared" si="12"/>
        <v>0.1700455252918287</v>
      </c>
      <c r="CL11" s="337">
        <f t="shared" si="12"/>
        <v>0.14487058378991113</v>
      </c>
      <c r="CM11" s="337">
        <f t="shared" si="12"/>
        <v>4.835628024053773E-2</v>
      </c>
      <c r="CN11" s="337">
        <f t="shared" si="12"/>
        <v>-2.0019545730268873E-2</v>
      </c>
      <c r="CO11" s="337">
        <f t="shared" si="12"/>
        <v>-2.7940314271585387E-2</v>
      </c>
      <c r="CP11" s="337">
        <f t="shared" si="12"/>
        <v>-1.9984487936895556E-2</v>
      </c>
      <c r="CQ11" s="337">
        <f t="shared" si="12"/>
        <v>2.3249192245557326E-2</v>
      </c>
      <c r="CR11" s="337">
        <f t="shared" si="12"/>
        <v>6.6370838454274717E-2</v>
      </c>
      <c r="CS11" s="337">
        <f t="shared" si="12"/>
        <v>7.8925761204242217E-2</v>
      </c>
      <c r="CT11" s="337">
        <f t="shared" si="12"/>
        <v>7.0739748005370862E-2</v>
      </c>
      <c r="CU11" s="337">
        <f t="shared" si="12"/>
        <v>5.3253682722435469E-2</v>
      </c>
      <c r="CV11" s="337">
        <f t="shared" si="12"/>
        <v>3.0893260238632703E-2</v>
      </c>
      <c r="CW11" s="337">
        <f t="shared" si="12"/>
        <v>2.0249548149792407E-2</v>
      </c>
      <c r="CX11" s="337">
        <f t="shared" si="12"/>
        <v>1.4027803988173826E-2</v>
      </c>
      <c r="CY11" s="337">
        <f t="shared" si="12"/>
        <v>7.0620551473616899E-3</v>
      </c>
      <c r="CZ11" s="337">
        <f t="shared" si="12"/>
        <v>1.1481168668668662E-2</v>
      </c>
      <c r="DA11" s="337">
        <f t="shared" si="12"/>
        <v>1.362491651284925E-2</v>
      </c>
      <c r="DB11" s="337">
        <f t="shared" si="12"/>
        <v>4.2640198511166405E-2</v>
      </c>
      <c r="DC11" s="337">
        <f t="shared" si="12"/>
        <v>5.8251400552840948E-2</v>
      </c>
      <c r="DD11" s="337">
        <f t="shared" si="12"/>
        <v>6.2707224950773188E-2</v>
      </c>
      <c r="DE11" s="337">
        <f t="shared" si="12"/>
        <v>6.0280860979947226E-2</v>
      </c>
      <c r="DF11" s="337">
        <f t="shared" si="12"/>
        <v>4.6028049616358535E-2</v>
      </c>
      <c r="DG11" s="337">
        <f t="shared" si="12"/>
        <v>3.7265207916318488E-2</v>
      </c>
      <c r="DH11" s="337">
        <f t="shared" si="12"/>
        <v>3.0769145703753553E-2</v>
      </c>
      <c r="DI11" s="337">
        <f t="shared" si="12"/>
        <v>2.4718912666281012E-2</v>
      </c>
      <c r="DJ11" s="337">
        <f t="shared" si="12"/>
        <v>2.1612573140162405E-2</v>
      </c>
      <c r="DK11" s="337">
        <f t="shared" si="12"/>
        <v>3.8362120107801934E-2</v>
      </c>
      <c r="DL11" s="337">
        <f t="shared" si="12"/>
        <v>6.2087556232386376E-2</v>
      </c>
      <c r="DM11" s="337">
        <f t="shared" si="12"/>
        <v>8.5330288490573336E-2</v>
      </c>
      <c r="DN11" s="337">
        <f t="shared" si="12"/>
        <v>8.259534300543292E-2</v>
      </c>
      <c r="DO11" s="337">
        <f t="shared" si="12"/>
        <v>6.4880298943170267E-2</v>
      </c>
      <c r="DP11" s="337">
        <f t="shared" si="12"/>
        <v>4.439949685160105E-2</v>
      </c>
      <c r="DQ11" s="337">
        <f t="shared" si="12"/>
        <v>3.4607487979231522E-2</v>
      </c>
      <c r="DR11" s="337">
        <f t="shared" si="12"/>
        <v>3.6013655324429683E-2</v>
      </c>
      <c r="DS11" s="337">
        <f t="shared" si="12"/>
        <v>3.8323084037413579E-2</v>
      </c>
      <c r="DT11" s="203"/>
      <c r="DV11" s="203"/>
      <c r="DW11" s="203"/>
      <c r="DX11" s="203"/>
      <c r="DY11" s="203"/>
      <c r="DZ11" s="203"/>
      <c r="EA11" s="203"/>
      <c r="EB11" s="203"/>
      <c r="EX11" s="336">
        <v>3725.6149999999998</v>
      </c>
      <c r="EY11" s="336">
        <v>3831.9119999999998</v>
      </c>
      <c r="EZ11" s="336">
        <v>3920.8440000000001</v>
      </c>
      <c r="FA11" s="577">
        <v>3940.6149999999998</v>
      </c>
      <c r="FB11" s="337">
        <v>8.1398558139771149E-2</v>
      </c>
      <c r="FC11" s="337">
        <v>9.1491870692736565E-2</v>
      </c>
      <c r="FD11" s="576">
        <v>7.2096778362260361E-2</v>
      </c>
    </row>
    <row r="12" spans="1:160">
      <c r="A12" s="203"/>
      <c r="B12" s="203" t="s">
        <v>227</v>
      </c>
      <c r="C12" s="203"/>
      <c r="D12" s="203"/>
      <c r="E12" s="203"/>
      <c r="F12" s="203"/>
      <c r="G12" s="336">
        <f t="shared" ref="G12:AL12" si="13">G11-F11</f>
        <v>8</v>
      </c>
      <c r="H12" s="336">
        <f t="shared" si="13"/>
        <v>15</v>
      </c>
      <c r="I12" s="336">
        <f t="shared" si="13"/>
        <v>39</v>
      </c>
      <c r="J12" s="336">
        <f t="shared" si="13"/>
        <v>48</v>
      </c>
      <c r="K12" s="336">
        <f t="shared" si="13"/>
        <v>14</v>
      </c>
      <c r="L12" s="336">
        <f t="shared" si="13"/>
        <v>120.36799999999994</v>
      </c>
      <c r="M12" s="336">
        <f t="shared" si="13"/>
        <v>18.632000000000062</v>
      </c>
      <c r="N12" s="336">
        <f t="shared" si="13"/>
        <v>11</v>
      </c>
      <c r="O12" s="336">
        <f t="shared" si="13"/>
        <v>-26</v>
      </c>
      <c r="P12" s="336">
        <f t="shared" si="13"/>
        <v>39.278999999999996</v>
      </c>
      <c r="Q12" s="336">
        <f t="shared" si="13"/>
        <v>93.721000000000004</v>
      </c>
      <c r="R12" s="336">
        <f t="shared" si="13"/>
        <v>80</v>
      </c>
      <c r="S12" s="336">
        <f t="shared" si="13"/>
        <v>44</v>
      </c>
      <c r="T12" s="336">
        <f t="shared" si="13"/>
        <v>22</v>
      </c>
      <c r="U12" s="336">
        <f t="shared" si="13"/>
        <v>27</v>
      </c>
      <c r="V12" s="336">
        <f t="shared" si="13"/>
        <v>63</v>
      </c>
      <c r="W12" s="336">
        <f t="shared" si="13"/>
        <v>12</v>
      </c>
      <c r="X12" s="336">
        <f t="shared" si="13"/>
        <v>15</v>
      </c>
      <c r="Y12" s="336">
        <f t="shared" si="13"/>
        <v>7</v>
      </c>
      <c r="Z12" s="336">
        <f t="shared" si="13"/>
        <v>9</v>
      </c>
      <c r="AA12" s="336">
        <f t="shared" si="13"/>
        <v>37.599999999999909</v>
      </c>
      <c r="AB12" s="336">
        <f t="shared" si="13"/>
        <v>68.445999999999913</v>
      </c>
      <c r="AC12" s="336">
        <f t="shared" si="13"/>
        <v>49.75400000000036</v>
      </c>
      <c r="AD12" s="336">
        <f t="shared" si="13"/>
        <v>107.25</v>
      </c>
      <c r="AE12" s="336">
        <f t="shared" si="13"/>
        <v>84.649999999999636</v>
      </c>
      <c r="AF12" s="336">
        <f t="shared" si="13"/>
        <v>79.300000000000182</v>
      </c>
      <c r="AG12" s="336">
        <f t="shared" si="13"/>
        <v>76.5</v>
      </c>
      <c r="AH12" s="336">
        <f t="shared" si="13"/>
        <v>187.65099999999984</v>
      </c>
      <c r="AI12" s="336">
        <f t="shared" si="13"/>
        <v>133.24900000000025</v>
      </c>
      <c r="AJ12" s="336">
        <f t="shared" si="13"/>
        <v>39.616999999999734</v>
      </c>
      <c r="AK12" s="336">
        <f t="shared" si="13"/>
        <v>22.883000000000266</v>
      </c>
      <c r="AL12" s="336">
        <f t="shared" si="13"/>
        <v>-58.700000000000273</v>
      </c>
      <c r="AM12" s="336">
        <f t="shared" ref="AM12:BM12" si="14">AM11-AL11</f>
        <v>-63.205999999999676</v>
      </c>
      <c r="AN12" s="336">
        <f t="shared" si="14"/>
        <v>15.005999999999858</v>
      </c>
      <c r="AO12" s="336">
        <f t="shared" si="14"/>
        <v>46.34900000000016</v>
      </c>
      <c r="AP12" s="336">
        <f t="shared" si="14"/>
        <v>70.928999999999633</v>
      </c>
      <c r="AQ12" s="336">
        <f t="shared" si="14"/>
        <v>60.722000000000207</v>
      </c>
      <c r="AR12" s="336">
        <f t="shared" si="14"/>
        <v>52.699999999999818</v>
      </c>
      <c r="AS12" s="336">
        <f t="shared" si="14"/>
        <v>25.700000000000273</v>
      </c>
      <c r="AT12" s="336">
        <f t="shared" si="14"/>
        <v>22.784000000000106</v>
      </c>
      <c r="AU12" s="336">
        <f t="shared" si="14"/>
        <v>-5.3840000000000146</v>
      </c>
      <c r="AV12" s="336">
        <f t="shared" si="14"/>
        <v>20.760999999999967</v>
      </c>
      <c r="AW12" s="336">
        <f t="shared" si="14"/>
        <v>6.4389999999998508</v>
      </c>
      <c r="AX12" s="336">
        <f t="shared" si="14"/>
        <v>0.79799999999977445</v>
      </c>
      <c r="AY12" s="336">
        <f t="shared" si="14"/>
        <v>8.705000000000382</v>
      </c>
      <c r="AZ12" s="336">
        <f t="shared" si="14"/>
        <v>27.896999999999935</v>
      </c>
      <c r="BA12" s="336">
        <f t="shared" si="14"/>
        <v>100.07200000000012</v>
      </c>
      <c r="BB12" s="336">
        <f t="shared" si="14"/>
        <v>51.174999999999727</v>
      </c>
      <c r="BC12" s="336">
        <f t="shared" si="14"/>
        <v>23.619999999999891</v>
      </c>
      <c r="BD12" s="336">
        <f t="shared" si="14"/>
        <v>21.733000000000175</v>
      </c>
      <c r="BE12" s="336">
        <f t="shared" si="14"/>
        <v>58.19399999999996</v>
      </c>
      <c r="BF12" s="336">
        <f t="shared" si="14"/>
        <v>23.626000000000204</v>
      </c>
      <c r="BG12" s="336">
        <f t="shared" si="14"/>
        <v>2.1779999999998836</v>
      </c>
      <c r="BH12" s="336">
        <f t="shared" si="14"/>
        <v>1.4800000000000182</v>
      </c>
      <c r="BI12" s="336">
        <f t="shared" si="14"/>
        <v>48.710000000000036</v>
      </c>
      <c r="BJ12" s="336">
        <f t="shared" si="14"/>
        <v>83.42699999999968</v>
      </c>
      <c r="BK12" s="336">
        <f t="shared" si="14"/>
        <v>86.297000000000025</v>
      </c>
      <c r="BL12" s="336">
        <f t="shared" si="14"/>
        <v>83.932000000000244</v>
      </c>
      <c r="BM12" s="336">
        <f t="shared" si="14"/>
        <v>43.041999999999916</v>
      </c>
      <c r="BN12" s="336">
        <f>BN11-BM11</f>
        <v>25.204000000000178</v>
      </c>
      <c r="BO12" s="336">
        <f>BO11-BN11</f>
        <v>14.848999999999705</v>
      </c>
      <c r="BP12" s="336">
        <f>BP11-BO11</f>
        <v>50</v>
      </c>
      <c r="BQ12" s="336">
        <f t="shared" ref="BQ12:BR12" si="15">BQ11-BP11</f>
        <v>50</v>
      </c>
      <c r="BR12" s="336">
        <f t="shared" si="15"/>
        <v>35.151000000000295</v>
      </c>
      <c r="BS12" s="336">
        <f t="shared" ref="BS12" si="16">BS11-BR11</f>
        <v>35</v>
      </c>
      <c r="BT12" s="336">
        <f t="shared" ref="BT12" si="17">BT11-BS11</f>
        <v>35</v>
      </c>
      <c r="BU12" s="336">
        <f t="shared" ref="BU12" si="18">BU11-BT11</f>
        <v>35</v>
      </c>
      <c r="BV12" s="336">
        <f t="shared" ref="BV12" si="19">BV11-BU11</f>
        <v>45</v>
      </c>
      <c r="BW12" s="346"/>
      <c r="BX12" s="203"/>
      <c r="BY12" s="203"/>
      <c r="BZ12" s="203"/>
      <c r="CA12" s="203"/>
      <c r="CB12" s="203"/>
      <c r="CC12" s="203"/>
      <c r="CD12" s="203"/>
      <c r="CE12" s="203"/>
      <c r="CF12" s="336">
        <f>BW12-AM12</f>
        <v>63.205999999999676</v>
      </c>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V12" s="203"/>
      <c r="DW12" s="203"/>
      <c r="DX12" s="203"/>
      <c r="DY12" s="203"/>
      <c r="DZ12" s="203"/>
      <c r="EA12" s="203"/>
      <c r="EB12" s="203"/>
      <c r="EX12" s="344">
        <v>50</v>
      </c>
      <c r="EY12" s="344">
        <v>70</v>
      </c>
      <c r="EZ12" s="344">
        <v>75</v>
      </c>
      <c r="FA12" s="577">
        <v>51.728999999999814</v>
      </c>
      <c r="FB12" s="203"/>
      <c r="FC12" s="203"/>
      <c r="FD12" s="574"/>
    </row>
    <row r="13" spans="1:160">
      <c r="A13" s="203"/>
      <c r="B13" s="347" t="s">
        <v>994</v>
      </c>
      <c r="C13" s="203"/>
      <c r="D13" s="203"/>
      <c r="E13" s="203"/>
      <c r="F13" s="203"/>
      <c r="G13" s="203"/>
      <c r="H13" s="203"/>
      <c r="I13" s="203"/>
      <c r="J13" s="203"/>
      <c r="K13" s="203"/>
      <c r="L13" s="336"/>
      <c r="M13" s="336"/>
      <c r="N13" s="336"/>
      <c r="O13" s="336">
        <v>590</v>
      </c>
      <c r="P13" s="336">
        <v>738</v>
      </c>
      <c r="Q13" s="203">
        <v>834</v>
      </c>
      <c r="R13" s="203">
        <v>976</v>
      </c>
      <c r="S13" s="336">
        <v>1048</v>
      </c>
      <c r="T13" s="336">
        <v>1069</v>
      </c>
      <c r="U13" s="336">
        <v>1093</v>
      </c>
      <c r="V13" s="336">
        <v>1171</v>
      </c>
      <c r="W13" s="336">
        <v>1211</v>
      </c>
      <c r="X13" s="336">
        <v>1217</v>
      </c>
      <c r="Y13" s="336">
        <v>1251</v>
      </c>
      <c r="Z13" s="336">
        <v>1324</v>
      </c>
      <c r="AA13" s="336">
        <v>1358</v>
      </c>
      <c r="AB13" s="336">
        <v>1432</v>
      </c>
      <c r="AC13" s="336">
        <f>Y13+270</f>
        <v>1521</v>
      </c>
      <c r="AD13" s="336"/>
      <c r="AE13" s="203"/>
      <c r="AF13" s="203"/>
      <c r="AG13" s="203"/>
      <c r="AH13" s="203"/>
      <c r="AI13" s="203"/>
      <c r="AJ13" s="203"/>
      <c r="AK13" s="336">
        <f>AK12-18</f>
        <v>4.8830000000002656</v>
      </c>
      <c r="AL13" s="336"/>
      <c r="AM13" s="336"/>
      <c r="AN13" s="337"/>
      <c r="AO13" s="337"/>
      <c r="AP13" s="337"/>
      <c r="AQ13" s="337"/>
      <c r="AR13" s="337"/>
      <c r="AS13" s="337"/>
      <c r="AT13" s="337"/>
      <c r="AU13" s="337"/>
      <c r="AV13" s="336">
        <f>AV12-20</f>
        <v>0.76099999999996726</v>
      </c>
      <c r="AW13" s="336"/>
      <c r="AX13" s="336"/>
      <c r="AY13" s="336"/>
      <c r="AZ13" s="336"/>
      <c r="BA13" s="336"/>
      <c r="BB13" s="336"/>
      <c r="BC13" s="336"/>
      <c r="BD13" s="336"/>
      <c r="BE13" s="336"/>
      <c r="BF13" s="337"/>
      <c r="BG13" s="337"/>
      <c r="BH13" s="337"/>
      <c r="BI13" s="337"/>
      <c r="BJ13" s="337"/>
      <c r="BK13" s="337"/>
      <c r="BL13" s="337"/>
      <c r="BM13" s="337"/>
      <c r="BN13" s="336"/>
      <c r="BO13" s="336"/>
      <c r="BP13" s="336"/>
      <c r="BQ13" s="336"/>
      <c r="BR13" s="336"/>
      <c r="BS13" s="336"/>
      <c r="BT13" s="336"/>
      <c r="BU13" s="336"/>
      <c r="BV13" s="336"/>
      <c r="BW13" s="346"/>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V13" s="203"/>
      <c r="DW13" s="203"/>
      <c r="DX13" s="203"/>
      <c r="DY13" s="203"/>
      <c r="DZ13" s="203"/>
      <c r="EA13" s="203"/>
      <c r="EB13" s="203"/>
      <c r="EX13" s="337"/>
      <c r="EY13" s="337"/>
      <c r="EZ13" s="337"/>
      <c r="FA13" s="577"/>
      <c r="FB13" s="203"/>
      <c r="FC13" s="203"/>
      <c r="FD13" s="574"/>
    </row>
    <row r="14" spans="1:160">
      <c r="A14" s="203"/>
      <c r="B14" s="203" t="s">
        <v>543</v>
      </c>
      <c r="C14" s="203"/>
      <c r="D14" s="203"/>
      <c r="E14" s="203"/>
      <c r="F14" s="203"/>
      <c r="G14" s="336"/>
      <c r="H14" s="336"/>
      <c r="I14" s="336"/>
      <c r="J14" s="337">
        <f t="shared" ref="J14" si="20">J11/F11-1</f>
        <v>7.417397167902906E-2</v>
      </c>
      <c r="K14" s="337">
        <f t="shared" ref="K14" si="21">K11/G11-1</f>
        <v>7.7800134138162225E-2</v>
      </c>
      <c r="L14" s="337">
        <f t="shared" ref="L14" si="22">L11/H11-1</f>
        <v>0.14699070385126167</v>
      </c>
      <c r="M14" s="337">
        <f t="shared" ref="M14" si="23">M11/I11-1</f>
        <v>0.13009708737864067</v>
      </c>
      <c r="N14" s="337">
        <f t="shared" ref="N14" si="24">N11/J11-1</f>
        <v>0.10295040803515376</v>
      </c>
      <c r="O14" s="337">
        <f t="shared" ref="O14" si="25">O11/K11-1</f>
        <v>7.71624144368388E-2</v>
      </c>
      <c r="P14" s="337">
        <f t="shared" ref="P14" si="26">P11/L11-1</f>
        <v>2.4841840302703311E-2</v>
      </c>
      <c r="Q14" s="337">
        <f t="shared" ref="Q14" si="27">Q11/M11-1</f>
        <v>6.7583046964490245E-2</v>
      </c>
      <c r="R14" s="337">
        <f t="shared" ref="R14" si="28">R11/N11-1</f>
        <v>0.10643141718838933</v>
      </c>
      <c r="S14" s="337">
        <f t="shared" ref="S14" si="29">S11/O11-1</f>
        <v>0.14846909300982092</v>
      </c>
      <c r="T14" s="337">
        <f t="shared" ref="T14" si="30">T11/P11-1</f>
        <v>0.13541424826256199</v>
      </c>
      <c r="U14" s="337">
        <f t="shared" ref="U14" si="31">U11/Q11-1</f>
        <v>9.2811158798283167E-2</v>
      </c>
      <c r="V14" s="337">
        <f t="shared" ref="V14" si="32">V11/R11-1</f>
        <v>8.0246913580246826E-2</v>
      </c>
      <c r="W14" s="337">
        <f t="shared" ref="W14" si="33">W11/S11-1</f>
        <v>6.2374245472837098E-2</v>
      </c>
      <c r="X14" s="337">
        <f t="shared" ref="X14" si="34">X11/T11-1</f>
        <v>5.8208955223880698E-2</v>
      </c>
      <c r="Y14" s="337">
        <f t="shared" ref="Y14" si="35">Y11/U11-1</f>
        <v>4.7619047619047672E-2</v>
      </c>
      <c r="Z14" s="337">
        <f t="shared" ref="Z14" si="36">Z11/V11-1</f>
        <v>2.0476190476190537E-2</v>
      </c>
      <c r="AA14" s="337">
        <f t="shared" ref="AA14" si="37">AA11/W11-1</f>
        <v>3.2481060606060597E-2</v>
      </c>
      <c r="AB14" s="337">
        <f t="shared" ref="AB14" si="38">AB11/X11-1</f>
        <v>5.7379407616360956E-2</v>
      </c>
      <c r="AC14" s="337">
        <f t="shared" ref="AC14" si="39">AC11/Y11-1</f>
        <v>7.7225866916588615E-2</v>
      </c>
      <c r="AD14" s="337">
        <f t="shared" ref="AD14" si="40">AD11/Z11-1</f>
        <v>0.12274848343443789</v>
      </c>
      <c r="AE14" s="337">
        <f t="shared" ref="AE14" si="41">AE11/AA11-1</f>
        <v>0.14220856644960089</v>
      </c>
      <c r="AF14" s="337">
        <f t="shared" ref="AF14" si="42">AF11/AB11-1</f>
        <v>0.14270672987568966</v>
      </c>
      <c r="AG14" s="337">
        <f t="shared" ref="AG14" si="43">AG11/AC11-1</f>
        <v>0.15125282756220626</v>
      </c>
      <c r="AH14" s="337">
        <f t="shared" ref="AH14" si="44">AH11/AD11-1</f>
        <v>0.1779268926248414</v>
      </c>
      <c r="AI14" s="337">
        <f t="shared" ref="AI14" si="45">AI11/AE11-1</f>
        <v>0.19139197815875075</v>
      </c>
      <c r="AJ14" s="337">
        <f t="shared" ref="AJ14" si="46">AJ11/AF11-1</f>
        <v>0.1700455252918287</v>
      </c>
      <c r="AK14" s="337">
        <f t="shared" ref="AK14" si="47">AK11/AG11-1</f>
        <v>0.14487058378991113</v>
      </c>
      <c r="AL14" s="337">
        <f t="shared" ref="AL14" si="48">AL11/AH11-1</f>
        <v>4.835628024053773E-2</v>
      </c>
      <c r="AM14" s="337">
        <f t="shared" ref="AM14" si="49">AM11/AI11-1</f>
        <v>-2.0019545730268873E-2</v>
      </c>
      <c r="AN14" s="337">
        <f t="shared" ref="AN14" si="50">AN11/AJ11-1</f>
        <v>-2.7940314271585387E-2</v>
      </c>
      <c r="AO14" s="337">
        <f t="shared" ref="AO14" si="51">AO11/AK11-1</f>
        <v>-1.9984487936895556E-2</v>
      </c>
      <c r="AP14" s="337">
        <f t="shared" ref="AP14" si="52">AP11/AL11-1</f>
        <v>2.3249192245557326E-2</v>
      </c>
      <c r="AQ14" s="337">
        <f t="shared" ref="AQ14" si="53">AQ11/AM11-1</f>
        <v>6.6370838454274717E-2</v>
      </c>
      <c r="AR14" s="337">
        <f t="shared" ref="AR14" si="54">AR11/AN11-1</f>
        <v>7.8925761204242217E-2</v>
      </c>
      <c r="AS14" s="337">
        <f t="shared" ref="AS14" si="55">AS11/AO11-1</f>
        <v>7.0739748005370862E-2</v>
      </c>
      <c r="AT14" s="337">
        <f t="shared" ref="AT14" si="56">AT11/AP11-1</f>
        <v>5.3253682722435469E-2</v>
      </c>
      <c r="AU14" s="337">
        <f t="shared" ref="AU14" si="57">AU11/AQ11-1</f>
        <v>3.0893260238632703E-2</v>
      </c>
      <c r="AV14" s="337">
        <f t="shared" ref="AV14" si="58">AV11/AR11-1</f>
        <v>2.0249548149792407E-2</v>
      </c>
      <c r="AW14" s="337">
        <f t="shared" ref="AW14" si="59">AW11/AS11-1</f>
        <v>1.4027803988173826E-2</v>
      </c>
      <c r="AX14" s="337">
        <f t="shared" ref="AX14" si="60">AX11/AT11-1</f>
        <v>7.0620551473616899E-3</v>
      </c>
      <c r="AY14" s="337">
        <f t="shared" ref="AY14" si="61">AY11/AU11-1</f>
        <v>1.1481168668668662E-2</v>
      </c>
      <c r="AZ14" s="337">
        <f t="shared" ref="AZ14" si="62">AZ11/AV11-1</f>
        <v>1.362491651284925E-2</v>
      </c>
      <c r="BA14" s="337">
        <f t="shared" ref="BA14" si="63">BA11/AW11-1</f>
        <v>4.2640198511166405E-2</v>
      </c>
      <c r="BB14" s="337">
        <f t="shared" ref="BB14" si="64">BB11/AX11-1</f>
        <v>5.8251400552840948E-2</v>
      </c>
      <c r="BC14" s="337">
        <f t="shared" ref="BC14" si="65">BC11/AY11-1</f>
        <v>6.2707224950773188E-2</v>
      </c>
      <c r="BD14" s="337">
        <f t="shared" ref="BD14" si="66">BD11/AZ11-1</f>
        <v>6.0280860979947226E-2</v>
      </c>
      <c r="BE14" s="337">
        <f t="shared" ref="BE14" si="67">BE11/BA11-1</f>
        <v>4.6028049616358535E-2</v>
      </c>
      <c r="BF14" s="337">
        <f t="shared" ref="BF14" si="68">BF11/BB11-1</f>
        <v>3.7265207916318488E-2</v>
      </c>
      <c r="BG14" s="337">
        <f t="shared" ref="BG14" si="69">BG11/BC11-1</f>
        <v>3.0769145703753553E-2</v>
      </c>
      <c r="BH14" s="337">
        <f t="shared" ref="BH14" si="70">BH11/BD11-1</f>
        <v>2.4718912666281012E-2</v>
      </c>
      <c r="BI14" s="337">
        <f t="shared" ref="BI14" si="71">BI11/BE11-1</f>
        <v>2.1612573140162405E-2</v>
      </c>
      <c r="BJ14" s="337">
        <f t="shared" ref="BJ14" si="72">BJ11/BF11-1</f>
        <v>3.8362120107801934E-2</v>
      </c>
      <c r="BK14" s="337">
        <f t="shared" ref="BK14" si="73">BK11/BG11-1</f>
        <v>6.2087556232386376E-2</v>
      </c>
      <c r="BL14" s="337">
        <f t="shared" ref="BL14" si="74">BL11/BH11-1</f>
        <v>8.5330288490573336E-2</v>
      </c>
      <c r="BM14" s="337">
        <f t="shared" ref="BM14" si="75">BM11/BI11-1</f>
        <v>8.259534300543292E-2</v>
      </c>
      <c r="BN14" s="337">
        <f t="shared" ref="BN14" si="76">BN11/BJ11-1</f>
        <v>6.4880298943170267E-2</v>
      </c>
      <c r="BO14" s="337">
        <f>BO11/BK11-1</f>
        <v>4.439949685160105E-2</v>
      </c>
      <c r="BP14" s="337">
        <f>BP11/BL11-1</f>
        <v>3.4607487979231522E-2</v>
      </c>
      <c r="BQ14" s="337">
        <f>BQ11/BM11-1</f>
        <v>3.6013655324429683E-2</v>
      </c>
      <c r="BR14" s="337">
        <f>BR11/BN11-1</f>
        <v>3.8323084037413579E-2</v>
      </c>
      <c r="BS14" s="337">
        <f>BS11/BO11-1</f>
        <v>4.3307111665515929E-2</v>
      </c>
      <c r="BT14" s="337">
        <f t="shared" ref="BT14" si="77">BT11/BP11-1</f>
        <v>3.8993058199686015E-2</v>
      </c>
      <c r="BU14" s="337">
        <f t="shared" ref="BU14" si="78">BU11/BQ11-1</f>
        <v>3.4786081397608637E-2</v>
      </c>
      <c r="BV14" s="337">
        <f t="shared" ref="BV14" si="79">BV11/BR11-1</f>
        <v>3.6908631452551521E-2</v>
      </c>
      <c r="BW14" s="346"/>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V14" s="203"/>
      <c r="DW14" s="203"/>
      <c r="DX14" s="203"/>
      <c r="DY14" s="203"/>
      <c r="DZ14" s="203"/>
      <c r="EA14" s="203"/>
      <c r="EB14" s="203"/>
      <c r="EX14" s="337"/>
      <c r="EY14" s="337"/>
      <c r="EZ14" s="337"/>
      <c r="FA14" s="577"/>
      <c r="FB14" s="203"/>
      <c r="FC14" s="203"/>
      <c r="FD14" s="574"/>
    </row>
    <row r="15" spans="1:160">
      <c r="A15" s="203"/>
      <c r="B15" s="347" t="s">
        <v>1476</v>
      </c>
      <c r="C15" s="203"/>
      <c r="D15" s="203"/>
      <c r="E15" s="203"/>
      <c r="F15" s="203"/>
      <c r="G15" s="203"/>
      <c r="H15" s="203"/>
      <c r="I15" s="203"/>
      <c r="J15" s="203"/>
      <c r="K15" s="203"/>
      <c r="L15" s="336"/>
      <c r="M15" s="336"/>
      <c r="N15" s="336"/>
      <c r="O15" s="336"/>
      <c r="P15" s="336"/>
      <c r="Q15" s="203"/>
      <c r="R15" s="203"/>
      <c r="S15" s="336"/>
      <c r="T15" s="336"/>
      <c r="U15" s="336"/>
      <c r="V15" s="336"/>
      <c r="W15" s="336"/>
      <c r="X15" s="336"/>
      <c r="Y15" s="336"/>
      <c r="Z15" s="336"/>
      <c r="AA15" s="336"/>
      <c r="AB15" s="336"/>
      <c r="AC15" s="336"/>
      <c r="AD15" s="336"/>
      <c r="AE15" s="203"/>
      <c r="AF15" s="203"/>
      <c r="AG15" s="203"/>
      <c r="AH15" s="203"/>
      <c r="AI15" s="203"/>
      <c r="AJ15" s="203"/>
      <c r="AK15" s="336"/>
      <c r="AL15" s="336"/>
      <c r="AM15" s="336"/>
      <c r="AN15" s="337"/>
      <c r="AO15" s="337"/>
      <c r="AP15" s="337"/>
      <c r="AQ15" s="337"/>
      <c r="AR15" s="337"/>
      <c r="AS15" s="337"/>
      <c r="AT15" s="337"/>
      <c r="AU15" s="336">
        <v>503</v>
      </c>
      <c r="AV15" s="336">
        <v>503</v>
      </c>
      <c r="AW15" s="336"/>
      <c r="AX15" s="336"/>
      <c r="AY15" s="336">
        <v>874</v>
      </c>
      <c r="AZ15" s="336"/>
      <c r="BA15" s="336"/>
      <c r="BB15" s="336"/>
      <c r="BC15" s="336">
        <v>1404</v>
      </c>
      <c r="BD15" s="336"/>
      <c r="BE15" s="336"/>
      <c r="BF15" s="337"/>
      <c r="BG15" s="337"/>
      <c r="BH15" s="337"/>
      <c r="BI15" s="337"/>
      <c r="BJ15" s="337"/>
      <c r="BK15" s="337"/>
      <c r="BL15" s="337"/>
      <c r="BM15" s="337"/>
      <c r="BN15" s="336"/>
      <c r="BO15" s="336"/>
      <c r="BP15" s="336"/>
      <c r="BQ15" s="336"/>
      <c r="BR15" s="336"/>
      <c r="BS15" s="336"/>
      <c r="BT15" s="336"/>
      <c r="BU15" s="336"/>
      <c r="BV15" s="336"/>
      <c r="BW15" s="346"/>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V15" s="203"/>
      <c r="DW15" s="203"/>
      <c r="DX15" s="203"/>
      <c r="DY15" s="203"/>
      <c r="DZ15" s="203"/>
      <c r="EA15" s="203"/>
      <c r="EB15" s="203"/>
      <c r="EX15" s="337"/>
      <c r="EY15" s="337"/>
      <c r="EZ15" s="337"/>
      <c r="FA15" s="577"/>
      <c r="FB15" s="203"/>
      <c r="FC15" s="203"/>
      <c r="FD15" s="574"/>
    </row>
    <row r="16" spans="1:160">
      <c r="A16" s="203"/>
      <c r="B16" s="347" t="s">
        <v>1477</v>
      </c>
      <c r="C16" s="203"/>
      <c r="D16" s="203"/>
      <c r="E16" s="203"/>
      <c r="F16" s="203"/>
      <c r="G16" s="203"/>
      <c r="H16" s="203"/>
      <c r="I16" s="203"/>
      <c r="J16" s="203"/>
      <c r="K16" s="203"/>
      <c r="L16" s="336"/>
      <c r="M16" s="336"/>
      <c r="N16" s="336"/>
      <c r="O16" s="336"/>
      <c r="P16" s="336"/>
      <c r="Q16" s="203"/>
      <c r="R16" s="203"/>
      <c r="S16" s="336"/>
      <c r="T16" s="336"/>
      <c r="U16" s="336"/>
      <c r="V16" s="336"/>
      <c r="W16" s="336"/>
      <c r="X16" s="336"/>
      <c r="Y16" s="336"/>
      <c r="Z16" s="336"/>
      <c r="AA16" s="336"/>
      <c r="AB16" s="336"/>
      <c r="AC16" s="336"/>
      <c r="AD16" s="336"/>
      <c r="AE16" s="203"/>
      <c r="AF16" s="203"/>
      <c r="AG16" s="203"/>
      <c r="AH16" s="203"/>
      <c r="AI16" s="203"/>
      <c r="AJ16" s="203"/>
      <c r="AK16" s="336"/>
      <c r="AL16" s="336"/>
      <c r="AM16" s="336"/>
      <c r="AN16" s="337"/>
      <c r="AO16" s="337"/>
      <c r="AP16" s="337"/>
      <c r="AQ16" s="337"/>
      <c r="AR16" s="337"/>
      <c r="AS16" s="337"/>
      <c r="AT16" s="337"/>
      <c r="AU16" s="337">
        <f>AU15/AU11</f>
        <v>0.15734484484484484</v>
      </c>
      <c r="AV16" s="337">
        <f>AV15/AV11</f>
        <v>0.15632959250811407</v>
      </c>
      <c r="AW16" s="337"/>
      <c r="AX16" s="337"/>
      <c r="AY16" s="337">
        <f>AY15/AY11</f>
        <v>0.27029509482440561</v>
      </c>
      <c r="AZ16" s="337"/>
      <c r="BA16" s="337"/>
      <c r="BB16" s="337"/>
      <c r="BC16" s="337">
        <f>BC15/BC11</f>
        <v>0.40858291861488066</v>
      </c>
      <c r="BD16" s="337"/>
      <c r="BE16" s="337"/>
      <c r="BF16" s="337"/>
      <c r="BG16" s="337"/>
      <c r="BH16" s="337"/>
      <c r="BI16" s="337"/>
      <c r="BJ16" s="337"/>
      <c r="BK16" s="337"/>
      <c r="BL16" s="337"/>
      <c r="BM16" s="337"/>
      <c r="BN16" s="336"/>
      <c r="BO16" s="336"/>
      <c r="BP16" s="336"/>
      <c r="BQ16" s="336"/>
      <c r="BR16" s="336"/>
      <c r="BS16" s="336"/>
      <c r="BT16" s="336"/>
      <c r="BU16" s="336"/>
      <c r="BV16" s="336"/>
      <c r="BW16" s="346"/>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V16" s="203"/>
      <c r="DW16" s="203"/>
      <c r="DX16" s="203"/>
      <c r="DY16" s="203"/>
      <c r="DZ16" s="203"/>
      <c r="EA16" s="203"/>
      <c r="EB16" s="203"/>
      <c r="EX16" s="337"/>
      <c r="EY16" s="337"/>
      <c r="EZ16" s="337"/>
      <c r="FA16" s="577"/>
      <c r="FB16" s="203"/>
      <c r="FC16" s="203"/>
      <c r="FD16" s="574"/>
    </row>
    <row r="17" spans="1:160">
      <c r="A17" s="203"/>
      <c r="B17" s="340"/>
      <c r="C17" s="203"/>
      <c r="D17" s="203"/>
      <c r="E17" s="203"/>
      <c r="F17" s="203"/>
      <c r="G17" s="203"/>
      <c r="H17" s="203"/>
      <c r="I17" s="203"/>
      <c r="J17" s="203"/>
      <c r="K17" s="203"/>
      <c r="L17" s="336"/>
      <c r="M17" s="336"/>
      <c r="N17" s="336"/>
      <c r="O17" s="336"/>
      <c r="P17" s="336"/>
      <c r="Q17" s="203"/>
      <c r="R17" s="203"/>
      <c r="S17" s="336"/>
      <c r="T17" s="203"/>
      <c r="U17" s="203"/>
      <c r="V17" s="203"/>
      <c r="W17" s="203"/>
      <c r="X17" s="203"/>
      <c r="Y17" s="203"/>
      <c r="Z17" s="203"/>
      <c r="AA17" s="203"/>
      <c r="AB17" s="203"/>
      <c r="AC17" s="336"/>
      <c r="AD17" s="336"/>
      <c r="AE17" s="203"/>
      <c r="AF17" s="203"/>
      <c r="AG17" s="203"/>
      <c r="AH17" s="203"/>
      <c r="AI17" s="203"/>
      <c r="AJ17" s="336">
        <f>AJ18</f>
        <v>1976.549</v>
      </c>
      <c r="AK17" s="336">
        <f>AK18-(AK19-AK20)</f>
        <v>2075.3000000000002</v>
      </c>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45"/>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V17" s="203"/>
      <c r="DW17" s="203"/>
      <c r="DX17" s="203"/>
      <c r="DY17" s="203"/>
      <c r="DZ17" s="203"/>
      <c r="EA17" s="203"/>
      <c r="EB17" s="203"/>
      <c r="EX17" s="336"/>
      <c r="EY17" s="336"/>
      <c r="EZ17" s="336"/>
      <c r="FA17" s="577"/>
      <c r="FB17" s="203"/>
      <c r="FC17" s="203"/>
      <c r="FD17" s="574"/>
    </row>
    <row r="18" spans="1:160">
      <c r="A18" s="203"/>
      <c r="B18" s="203" t="s">
        <v>172</v>
      </c>
      <c r="C18" s="203"/>
      <c r="D18" s="203"/>
      <c r="E18" s="203"/>
      <c r="F18" s="203">
        <v>427</v>
      </c>
      <c r="G18" s="203">
        <v>437</v>
      </c>
      <c r="H18" s="203">
        <v>454</v>
      </c>
      <c r="I18" s="203">
        <v>495</v>
      </c>
      <c r="J18" s="203">
        <v>516</v>
      </c>
      <c r="K18" s="203">
        <v>532</v>
      </c>
      <c r="L18" s="336">
        <v>542.745</v>
      </c>
      <c r="M18" s="336">
        <v>585</v>
      </c>
      <c r="N18" s="336">
        <v>594</v>
      </c>
      <c r="O18" s="336">
        <v>590.52599999999995</v>
      </c>
      <c r="P18" s="336">
        <v>593.76499999999999</v>
      </c>
      <c r="Q18" s="336">
        <v>645</v>
      </c>
      <c r="R18" s="336">
        <v>683</v>
      </c>
      <c r="S18" s="336">
        <v>720</v>
      </c>
      <c r="T18" s="336">
        <v>739</v>
      </c>
      <c r="U18" s="336">
        <v>800</v>
      </c>
      <c r="V18" s="336">
        <v>835</v>
      </c>
      <c r="W18" s="336">
        <v>870</v>
      </c>
      <c r="X18" s="336">
        <v>884</v>
      </c>
      <c r="Y18" s="336">
        <v>900</v>
      </c>
      <c r="Z18" s="336">
        <v>951</v>
      </c>
      <c r="AA18" s="336">
        <v>1032</v>
      </c>
      <c r="AB18" s="336">
        <v>1099.665</v>
      </c>
      <c r="AC18" s="336">
        <v>1208.3969999999999</v>
      </c>
      <c r="AD18" s="336">
        <v>1330.6</v>
      </c>
      <c r="AE18" s="336">
        <v>1453.6</v>
      </c>
      <c r="AF18" s="336">
        <v>1556</v>
      </c>
      <c r="AG18" s="336">
        <v>1701.3</v>
      </c>
      <c r="AH18" s="336">
        <v>1830.9659999999999</v>
      </c>
      <c r="AI18" s="336">
        <v>1924.58</v>
      </c>
      <c r="AJ18" s="336">
        <v>1976.549</v>
      </c>
      <c r="AK18" s="336">
        <v>2115.3000000000002</v>
      </c>
      <c r="AL18" s="336">
        <v>2227.6</v>
      </c>
      <c r="AM18" s="336">
        <v>2303.3910000000001</v>
      </c>
      <c r="AN18" s="336">
        <v>2412.6089999999999</v>
      </c>
      <c r="AO18" s="336">
        <v>2513.8150000000001</v>
      </c>
      <c r="AP18" s="336">
        <v>2625.0410000000002</v>
      </c>
      <c r="AQ18" s="336">
        <v>2736</v>
      </c>
      <c r="AR18" s="336">
        <v>2815.8670000000002</v>
      </c>
      <c r="AS18" s="336">
        <v>2893.8</v>
      </c>
      <c r="AT18" s="336">
        <v>2942.4029999999998</v>
      </c>
      <c r="AU18" s="343">
        <v>2953.6</v>
      </c>
      <c r="AV18" s="343">
        <v>3022.9630000000002</v>
      </c>
      <c r="AW18" s="343">
        <v>3067</v>
      </c>
      <c r="AX18" s="343">
        <v>3097.6280000000002</v>
      </c>
      <c r="AY18" s="343">
        <v>3146.3809999999999</v>
      </c>
      <c r="AZ18" s="343">
        <v>3229.4</v>
      </c>
      <c r="BA18" s="343">
        <v>3413.9949999999999</v>
      </c>
      <c r="BB18" s="343">
        <v>3510.3240000000001</v>
      </c>
      <c r="BC18" s="343">
        <v>3589.74</v>
      </c>
      <c r="BD18" s="343">
        <v>3647.9</v>
      </c>
      <c r="BE18" s="343">
        <v>3752.9119999999998</v>
      </c>
      <c r="BF18" s="343">
        <f>Fixed!P21</f>
        <v>3833.893</v>
      </c>
      <c r="BG18" s="343">
        <v>3893.297</v>
      </c>
      <c r="BH18" s="343">
        <v>3912.4749999999999</v>
      </c>
      <c r="BI18" s="343">
        <v>4013.1320000000001</v>
      </c>
      <c r="BJ18" s="343">
        <v>4137.8599999999997</v>
      </c>
      <c r="BK18" s="343">
        <v>4285.165</v>
      </c>
      <c r="BL18" s="343">
        <v>4448.4769999999999</v>
      </c>
      <c r="BM18" s="343">
        <v>4565.6040000000003</v>
      </c>
      <c r="BN18" s="343">
        <v>4721.5519999999997</v>
      </c>
      <c r="BO18" s="343">
        <v>4872.8819999999996</v>
      </c>
      <c r="BP18" s="344">
        <f>BO18+140</f>
        <v>5012.8819999999996</v>
      </c>
      <c r="BQ18" s="344">
        <f>BP18+125</f>
        <v>5137.8819999999996</v>
      </c>
      <c r="BR18" s="336">
        <f>Fixed!S21</f>
        <v>5281.5519999999997</v>
      </c>
      <c r="BS18" s="344">
        <f>BR18+125</f>
        <v>5406.5519999999997</v>
      </c>
      <c r="BT18" s="344">
        <f t="shared" ref="BT18:BU18" si="80">BS18+125</f>
        <v>5531.5519999999997</v>
      </c>
      <c r="BU18" s="344">
        <f t="shared" si="80"/>
        <v>5656.5519999999997</v>
      </c>
      <c r="BV18" s="336">
        <f>Fixed!T21</f>
        <v>5731.5519999999997</v>
      </c>
      <c r="BW18" s="346"/>
      <c r="BX18" s="337">
        <f t="shared" ref="BX18:DS18" si="81">W18/S18-1</f>
        <v>0.20833333333333326</v>
      </c>
      <c r="BY18" s="337">
        <f t="shared" si="81"/>
        <v>0.19621109607577814</v>
      </c>
      <c r="BZ18" s="337">
        <f t="shared" si="81"/>
        <v>0.125</v>
      </c>
      <c r="CA18" s="337">
        <f t="shared" si="81"/>
        <v>0.13892215568862265</v>
      </c>
      <c r="CB18" s="337">
        <f t="shared" si="81"/>
        <v>0.18620689655172407</v>
      </c>
      <c r="CC18" s="337">
        <f t="shared" si="81"/>
        <v>0.24396493212669679</v>
      </c>
      <c r="CD18" s="337">
        <f t="shared" si="81"/>
        <v>0.34266333333333332</v>
      </c>
      <c r="CE18" s="337">
        <f t="shared" si="81"/>
        <v>0.39915878023133544</v>
      </c>
      <c r="CF18" s="337">
        <f t="shared" si="81"/>
        <v>0.40852713178294575</v>
      </c>
      <c r="CG18" s="337">
        <f t="shared" si="81"/>
        <v>0.41497637917002006</v>
      </c>
      <c r="CH18" s="337">
        <f t="shared" si="81"/>
        <v>0.40789823212073517</v>
      </c>
      <c r="CI18" s="337">
        <f t="shared" si="81"/>
        <v>0.37604539305576434</v>
      </c>
      <c r="CJ18" s="337">
        <f t="shared" si="81"/>
        <v>0.32400935608145298</v>
      </c>
      <c r="CK18" s="337">
        <f t="shared" si="81"/>
        <v>0.27027570694087411</v>
      </c>
      <c r="CL18" s="337">
        <f t="shared" si="81"/>
        <v>0.24334332569211803</v>
      </c>
      <c r="CM18" s="337">
        <f t="shared" si="81"/>
        <v>0.21662554083472885</v>
      </c>
      <c r="CN18" s="337">
        <f t="shared" si="81"/>
        <v>0.19682787932951618</v>
      </c>
      <c r="CO18" s="337">
        <f t="shared" si="81"/>
        <v>0.2206168427901356</v>
      </c>
      <c r="CP18" s="337">
        <f t="shared" si="81"/>
        <v>0.188396444948707</v>
      </c>
      <c r="CQ18" s="337">
        <f t="shared" si="81"/>
        <v>0.17841668163045443</v>
      </c>
      <c r="CR18" s="337">
        <f t="shared" si="81"/>
        <v>0.18781396645206994</v>
      </c>
      <c r="CS18" s="337">
        <f t="shared" si="81"/>
        <v>0.16714602324703276</v>
      </c>
      <c r="CT18" s="337">
        <f t="shared" si="81"/>
        <v>0.15115869704015616</v>
      </c>
      <c r="CU18" s="337">
        <f t="shared" si="81"/>
        <v>0.12089792121342091</v>
      </c>
      <c r="CV18" s="337">
        <f t="shared" si="81"/>
        <v>7.953216374269001E-2</v>
      </c>
      <c r="CW18" s="337">
        <f t="shared" si="81"/>
        <v>7.3546087226420864E-2</v>
      </c>
      <c r="CX18" s="337">
        <f t="shared" si="81"/>
        <v>5.9852097587946629E-2</v>
      </c>
      <c r="CY18" s="337">
        <f t="shared" si="81"/>
        <v>5.2754500318277442E-2</v>
      </c>
      <c r="CZ18" s="337">
        <f t="shared" si="81"/>
        <v>6.5269840195016249E-2</v>
      </c>
      <c r="DA18" s="337">
        <f t="shared" si="81"/>
        <v>6.828962180483189E-2</v>
      </c>
      <c r="DB18" s="337">
        <f t="shared" si="81"/>
        <v>0.11313824584284315</v>
      </c>
      <c r="DC18" s="337">
        <f t="shared" si="81"/>
        <v>0.13322968413250402</v>
      </c>
      <c r="DD18" s="337">
        <f t="shared" si="81"/>
        <v>0.14091077971803156</v>
      </c>
      <c r="DE18" s="337">
        <f t="shared" si="81"/>
        <v>0.12959063603146093</v>
      </c>
      <c r="DF18" s="337">
        <f t="shared" si="81"/>
        <v>9.92728460352168E-2</v>
      </c>
      <c r="DG18" s="337">
        <f t="shared" si="81"/>
        <v>9.2176391694897664E-2</v>
      </c>
      <c r="DH18" s="337">
        <f t="shared" si="81"/>
        <v>8.4562391705248929E-2</v>
      </c>
      <c r="DI18" s="337">
        <f t="shared" si="81"/>
        <v>7.2528029825378981E-2</v>
      </c>
      <c r="DJ18" s="337">
        <f t="shared" si="81"/>
        <v>6.9338156610120327E-2</v>
      </c>
      <c r="DK18" s="337">
        <f t="shared" si="81"/>
        <v>7.9284163642542982E-2</v>
      </c>
      <c r="DL18" s="337">
        <f t="shared" si="81"/>
        <v>0.10065196670071663</v>
      </c>
      <c r="DM18" s="337">
        <f t="shared" si="81"/>
        <v>0.13699819168173599</v>
      </c>
      <c r="DN18" s="337">
        <f t="shared" si="81"/>
        <v>0.13766604238285707</v>
      </c>
      <c r="DO18" s="337">
        <f t="shared" si="81"/>
        <v>0.14106132155268658</v>
      </c>
      <c r="DP18" s="337">
        <f t="shared" si="81"/>
        <v>0.13715154492300763</v>
      </c>
      <c r="DQ18" s="337">
        <f t="shared" si="81"/>
        <v>0.12687600722674297</v>
      </c>
      <c r="DR18" s="337">
        <f t="shared" si="81"/>
        <v>0.12534551835857854</v>
      </c>
      <c r="DS18" s="337">
        <f t="shared" si="81"/>
        <v>0.11860506884177058</v>
      </c>
      <c r="DT18" s="203"/>
      <c r="DV18" s="203"/>
      <c r="DW18" s="203"/>
      <c r="DX18" s="203"/>
      <c r="DY18" s="203"/>
      <c r="DZ18" s="203"/>
      <c r="EA18" s="203"/>
      <c r="EB18" s="203"/>
      <c r="EX18" s="336">
        <v>4217.8599999999997</v>
      </c>
      <c r="EY18" s="336">
        <v>4415.165</v>
      </c>
      <c r="EZ18" s="336">
        <v>4573.4769999999999</v>
      </c>
      <c r="FA18" s="577">
        <v>4697.8599999999997</v>
      </c>
      <c r="FB18" s="337">
        <v>0.12848388807596223</v>
      </c>
      <c r="FC18" s="337">
        <v>0.13962785176266324</v>
      </c>
      <c r="FD18" s="576">
        <v>0.13533565659543823</v>
      </c>
    </row>
    <row r="19" spans="1:160">
      <c r="A19" s="203"/>
      <c r="B19" s="203" t="s">
        <v>227</v>
      </c>
      <c r="C19" s="203"/>
      <c r="D19" s="203"/>
      <c r="E19" s="203"/>
      <c r="F19" s="203"/>
      <c r="G19" s="336">
        <f t="shared" ref="G19:AL19" si="82">G18-F18</f>
        <v>10</v>
      </c>
      <c r="H19" s="336">
        <f t="shared" si="82"/>
        <v>17</v>
      </c>
      <c r="I19" s="336">
        <f t="shared" si="82"/>
        <v>41</v>
      </c>
      <c r="J19" s="336">
        <f t="shared" si="82"/>
        <v>21</v>
      </c>
      <c r="K19" s="336">
        <f t="shared" si="82"/>
        <v>16</v>
      </c>
      <c r="L19" s="336">
        <f t="shared" si="82"/>
        <v>10.745000000000005</v>
      </c>
      <c r="M19" s="336">
        <f t="shared" si="82"/>
        <v>42.254999999999995</v>
      </c>
      <c r="N19" s="336">
        <f t="shared" si="82"/>
        <v>9</v>
      </c>
      <c r="O19" s="336">
        <f t="shared" si="82"/>
        <v>-3.4740000000000464</v>
      </c>
      <c r="P19" s="336">
        <f t="shared" si="82"/>
        <v>3.2390000000000327</v>
      </c>
      <c r="Q19" s="336">
        <f t="shared" si="82"/>
        <v>51.235000000000014</v>
      </c>
      <c r="R19" s="336">
        <f t="shared" si="82"/>
        <v>38</v>
      </c>
      <c r="S19" s="336">
        <f t="shared" si="82"/>
        <v>37</v>
      </c>
      <c r="T19" s="336">
        <f t="shared" si="82"/>
        <v>19</v>
      </c>
      <c r="U19" s="336">
        <f t="shared" si="82"/>
        <v>61</v>
      </c>
      <c r="V19" s="336">
        <f t="shared" si="82"/>
        <v>35</v>
      </c>
      <c r="W19" s="336">
        <f t="shared" si="82"/>
        <v>35</v>
      </c>
      <c r="X19" s="336">
        <f t="shared" si="82"/>
        <v>14</v>
      </c>
      <c r="Y19" s="336">
        <f t="shared" si="82"/>
        <v>16</v>
      </c>
      <c r="Z19" s="336">
        <f t="shared" si="82"/>
        <v>51</v>
      </c>
      <c r="AA19" s="336">
        <f t="shared" si="82"/>
        <v>81</v>
      </c>
      <c r="AB19" s="336">
        <f t="shared" si="82"/>
        <v>67.664999999999964</v>
      </c>
      <c r="AC19" s="336">
        <f t="shared" si="82"/>
        <v>108.73199999999997</v>
      </c>
      <c r="AD19" s="336">
        <f t="shared" si="82"/>
        <v>122.20299999999997</v>
      </c>
      <c r="AE19" s="336">
        <f t="shared" si="82"/>
        <v>123</v>
      </c>
      <c r="AF19" s="336">
        <f t="shared" si="82"/>
        <v>102.40000000000009</v>
      </c>
      <c r="AG19" s="336">
        <f t="shared" si="82"/>
        <v>145.29999999999995</v>
      </c>
      <c r="AH19" s="336">
        <f t="shared" si="82"/>
        <v>129.66599999999994</v>
      </c>
      <c r="AI19" s="336">
        <f t="shared" si="82"/>
        <v>93.614000000000033</v>
      </c>
      <c r="AJ19" s="336">
        <f t="shared" si="82"/>
        <v>51.969000000000051</v>
      </c>
      <c r="AK19" s="336">
        <f t="shared" si="82"/>
        <v>138.7510000000002</v>
      </c>
      <c r="AL19" s="336">
        <f t="shared" si="82"/>
        <v>112.29999999999973</v>
      </c>
      <c r="AM19" s="336">
        <f t="shared" ref="AM19:BM19" si="83">AM18-AL18</f>
        <v>75.791000000000167</v>
      </c>
      <c r="AN19" s="336">
        <f t="shared" si="83"/>
        <v>109.21799999999985</v>
      </c>
      <c r="AO19" s="336">
        <f t="shared" si="83"/>
        <v>101.20600000000013</v>
      </c>
      <c r="AP19" s="336">
        <f t="shared" si="83"/>
        <v>111.22600000000011</v>
      </c>
      <c r="AQ19" s="336">
        <f t="shared" si="83"/>
        <v>110.95899999999983</v>
      </c>
      <c r="AR19" s="336">
        <f t="shared" si="83"/>
        <v>79.867000000000189</v>
      </c>
      <c r="AS19" s="336">
        <f t="shared" si="83"/>
        <v>77.932999999999993</v>
      </c>
      <c r="AT19" s="336">
        <f t="shared" si="83"/>
        <v>48.602999999999611</v>
      </c>
      <c r="AU19" s="336">
        <f t="shared" si="83"/>
        <v>11.197000000000116</v>
      </c>
      <c r="AV19" s="336">
        <f t="shared" si="83"/>
        <v>69.363000000000284</v>
      </c>
      <c r="AW19" s="336">
        <f t="shared" si="83"/>
        <v>44.036999999999807</v>
      </c>
      <c r="AX19" s="336">
        <f t="shared" si="83"/>
        <v>30.628000000000156</v>
      </c>
      <c r="AY19" s="336">
        <f t="shared" si="83"/>
        <v>48.752999999999702</v>
      </c>
      <c r="AZ19" s="336">
        <f t="shared" si="83"/>
        <v>83.019000000000233</v>
      </c>
      <c r="BA19" s="336">
        <f t="shared" si="83"/>
        <v>184.5949999999998</v>
      </c>
      <c r="BB19" s="336">
        <f t="shared" si="83"/>
        <v>96.329000000000178</v>
      </c>
      <c r="BC19" s="336">
        <f t="shared" si="83"/>
        <v>79.415999999999713</v>
      </c>
      <c r="BD19" s="336">
        <f t="shared" si="83"/>
        <v>58.160000000000309</v>
      </c>
      <c r="BE19" s="336">
        <f t="shared" si="83"/>
        <v>105.01199999999972</v>
      </c>
      <c r="BF19" s="336">
        <f t="shared" si="83"/>
        <v>80.981000000000222</v>
      </c>
      <c r="BG19" s="336">
        <f t="shared" si="83"/>
        <v>59.403999999999996</v>
      </c>
      <c r="BH19" s="336">
        <f t="shared" si="83"/>
        <v>19.177999999999884</v>
      </c>
      <c r="BI19" s="336">
        <f t="shared" si="83"/>
        <v>100.65700000000015</v>
      </c>
      <c r="BJ19" s="336">
        <f t="shared" si="83"/>
        <v>124.72799999999961</v>
      </c>
      <c r="BK19" s="336">
        <f t="shared" si="83"/>
        <v>147.30500000000029</v>
      </c>
      <c r="BL19" s="336">
        <f t="shared" si="83"/>
        <v>163.3119999999999</v>
      </c>
      <c r="BM19" s="336">
        <f t="shared" si="83"/>
        <v>117.12700000000041</v>
      </c>
      <c r="BN19" s="336">
        <f>BN18-BM18</f>
        <v>155.94799999999941</v>
      </c>
      <c r="BO19" s="336">
        <f>BO18-BN18</f>
        <v>151.32999999999993</v>
      </c>
      <c r="BP19" s="336">
        <f>BP18-BO18</f>
        <v>140</v>
      </c>
      <c r="BQ19" s="336">
        <f t="shared" ref="BQ19:BR19" si="84">BQ18-BP18</f>
        <v>125</v>
      </c>
      <c r="BR19" s="336">
        <f t="shared" si="84"/>
        <v>143.67000000000007</v>
      </c>
      <c r="BS19" s="336">
        <f t="shared" ref="BS19" si="85">BS18-BR18</f>
        <v>125</v>
      </c>
      <c r="BT19" s="336">
        <f t="shared" ref="BT19" si="86">BT18-BS18</f>
        <v>125</v>
      </c>
      <c r="BU19" s="336">
        <f t="shared" ref="BU19" si="87">BU18-BT18</f>
        <v>125</v>
      </c>
      <c r="BV19" s="336">
        <f t="shared" ref="BV19" si="88">BV18-BU18</f>
        <v>75</v>
      </c>
      <c r="BW19" s="346"/>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V19" s="203"/>
      <c r="DW19" s="203"/>
      <c r="DX19" s="203"/>
      <c r="DY19" s="203"/>
      <c r="DZ19" s="203"/>
      <c r="EA19" s="203"/>
      <c r="EB19" s="203"/>
      <c r="EX19" s="344">
        <v>80</v>
      </c>
      <c r="EY19" s="344">
        <v>130</v>
      </c>
      <c r="EZ19" s="344">
        <v>125</v>
      </c>
      <c r="FA19" s="577">
        <v>132.2559999999994</v>
      </c>
      <c r="FB19" s="203"/>
      <c r="FC19" s="203"/>
      <c r="FD19" s="574"/>
    </row>
    <row r="20" spans="1:160">
      <c r="A20" s="203"/>
      <c r="B20" s="203" t="s">
        <v>994</v>
      </c>
      <c r="C20" s="203"/>
      <c r="D20" s="203"/>
      <c r="E20" s="203"/>
      <c r="F20" s="203"/>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f>AK19-40</f>
        <v>98.751000000000204</v>
      </c>
      <c r="AL20" s="336"/>
      <c r="AM20" s="336"/>
      <c r="AN20" s="336"/>
      <c r="AO20" s="336"/>
      <c r="AP20" s="336"/>
      <c r="AQ20" s="336"/>
      <c r="AR20" s="336"/>
      <c r="AS20" s="336"/>
      <c r="AT20" s="336"/>
      <c r="AU20" s="336"/>
      <c r="AV20" s="336">
        <f>AV19-50</f>
        <v>19.363000000000284</v>
      </c>
      <c r="AW20" s="336"/>
      <c r="AX20" s="336"/>
      <c r="AY20" s="336"/>
      <c r="AZ20" s="336"/>
      <c r="BA20" s="336"/>
      <c r="BB20" s="336"/>
      <c r="BC20" s="336"/>
      <c r="BD20" s="336"/>
      <c r="BE20" s="336"/>
      <c r="BF20" s="337"/>
      <c r="BG20" s="337"/>
      <c r="BH20" s="337"/>
      <c r="BI20" s="337"/>
      <c r="BJ20" s="337"/>
      <c r="BK20" s="337"/>
      <c r="BL20" s="337"/>
      <c r="BM20" s="337"/>
      <c r="BN20" s="336"/>
      <c r="BO20" s="336"/>
      <c r="BP20" s="336"/>
      <c r="BQ20" s="336"/>
      <c r="BR20" s="336"/>
      <c r="BS20" s="336"/>
      <c r="BT20" s="336"/>
      <c r="BU20" s="336"/>
      <c r="BV20" s="336"/>
      <c r="BW20" s="346"/>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V20" s="203"/>
      <c r="DW20" s="203"/>
      <c r="DX20" s="203"/>
      <c r="DY20" s="203"/>
      <c r="DZ20" s="203"/>
      <c r="EA20" s="203"/>
      <c r="EB20" s="203"/>
      <c r="EX20" s="337"/>
      <c r="EY20" s="337"/>
      <c r="EZ20" s="337"/>
      <c r="FA20" s="577"/>
      <c r="FB20" s="203"/>
      <c r="FC20" s="203"/>
      <c r="FD20" s="574"/>
    </row>
    <row r="21" spans="1:160">
      <c r="A21" s="203"/>
      <c r="B21" s="203" t="s">
        <v>543</v>
      </c>
      <c r="C21" s="203"/>
      <c r="D21" s="203"/>
      <c r="E21" s="203"/>
      <c r="F21" s="203"/>
      <c r="G21" s="336"/>
      <c r="H21" s="336"/>
      <c r="I21" s="336"/>
      <c r="J21" s="337">
        <f t="shared" ref="J21" si="89">J18/F18-1</f>
        <v>0.20843091334894615</v>
      </c>
      <c r="K21" s="337">
        <f t="shared" ref="K21" si="90">K18/G18-1</f>
        <v>0.21739130434782616</v>
      </c>
      <c r="L21" s="337">
        <f t="shared" ref="L21" si="91">L18/H18-1</f>
        <v>0.1954735682819384</v>
      </c>
      <c r="M21" s="337">
        <f t="shared" ref="M21" si="92">M18/I18-1</f>
        <v>0.18181818181818188</v>
      </c>
      <c r="N21" s="337">
        <f t="shared" ref="N21" si="93">N18/J18-1</f>
        <v>0.15116279069767447</v>
      </c>
      <c r="O21" s="337">
        <f t="shared" ref="O21" si="94">O18/K18-1</f>
        <v>0.11001127819548873</v>
      </c>
      <c r="P21" s="337">
        <f t="shared" ref="P21" si="95">P18/L18-1</f>
        <v>9.4003629697187341E-2</v>
      </c>
      <c r="Q21" s="337">
        <f t="shared" ref="Q21" si="96">Q18/M18-1</f>
        <v>0.10256410256410264</v>
      </c>
      <c r="R21" s="337">
        <f t="shared" ref="R21" si="97">R18/N18-1</f>
        <v>0.14983164983164987</v>
      </c>
      <c r="S21" s="337">
        <f t="shared" ref="S21" si="98">S18/O18-1</f>
        <v>0.21925198890480702</v>
      </c>
      <c r="T21" s="337">
        <f t="shared" ref="T21" si="99">T18/P18-1</f>
        <v>0.24460013641760625</v>
      </c>
      <c r="U21" s="337">
        <f t="shared" ref="U21" si="100">U18/Q18-1</f>
        <v>0.24031007751937983</v>
      </c>
      <c r="V21" s="337">
        <f t="shared" ref="V21" si="101">V18/R18-1</f>
        <v>0.2225475841874085</v>
      </c>
      <c r="W21" s="337">
        <f t="shared" ref="W21" si="102">W18/S18-1</f>
        <v>0.20833333333333326</v>
      </c>
      <c r="X21" s="337">
        <f t="shared" ref="X21" si="103">X18/T18-1</f>
        <v>0.19621109607577814</v>
      </c>
      <c r="Y21" s="337">
        <f t="shared" ref="Y21" si="104">Y18/U18-1</f>
        <v>0.125</v>
      </c>
      <c r="Z21" s="337">
        <f t="shared" ref="Z21" si="105">Z18/V18-1</f>
        <v>0.13892215568862265</v>
      </c>
      <c r="AA21" s="337">
        <f t="shared" ref="AA21" si="106">AA18/W18-1</f>
        <v>0.18620689655172407</v>
      </c>
      <c r="AB21" s="337">
        <f t="shared" ref="AB21" si="107">AB18/X18-1</f>
        <v>0.24396493212669679</v>
      </c>
      <c r="AC21" s="337">
        <f t="shared" ref="AC21" si="108">AC18/Y18-1</f>
        <v>0.34266333333333332</v>
      </c>
      <c r="AD21" s="337">
        <f t="shared" ref="AD21" si="109">AD18/Z18-1</f>
        <v>0.39915878023133544</v>
      </c>
      <c r="AE21" s="337">
        <f t="shared" ref="AE21" si="110">AE18/AA18-1</f>
        <v>0.40852713178294575</v>
      </c>
      <c r="AF21" s="337">
        <f t="shared" ref="AF21" si="111">AF18/AB18-1</f>
        <v>0.41497637917002006</v>
      </c>
      <c r="AG21" s="337">
        <f t="shared" ref="AG21" si="112">AG18/AC18-1</f>
        <v>0.40789823212073517</v>
      </c>
      <c r="AH21" s="337">
        <f t="shared" ref="AH21" si="113">AH18/AD18-1</f>
        <v>0.37604539305576434</v>
      </c>
      <c r="AI21" s="337">
        <f t="shared" ref="AI21" si="114">AI18/AE18-1</f>
        <v>0.32400935608145298</v>
      </c>
      <c r="AJ21" s="337">
        <f t="shared" ref="AJ21" si="115">AJ18/AF18-1</f>
        <v>0.27027570694087411</v>
      </c>
      <c r="AK21" s="337">
        <f t="shared" ref="AK21" si="116">AK18/AG18-1</f>
        <v>0.24334332569211803</v>
      </c>
      <c r="AL21" s="337">
        <f t="shared" ref="AL21" si="117">AL18/AH18-1</f>
        <v>0.21662554083472885</v>
      </c>
      <c r="AM21" s="337">
        <f t="shared" ref="AM21" si="118">AM18/AI18-1</f>
        <v>0.19682787932951618</v>
      </c>
      <c r="AN21" s="337">
        <f t="shared" ref="AN21:AV21" si="119">AN18/AJ18-1</f>
        <v>0.2206168427901356</v>
      </c>
      <c r="AO21" s="337">
        <f t="shared" si="119"/>
        <v>0.188396444948707</v>
      </c>
      <c r="AP21" s="337">
        <f t="shared" si="119"/>
        <v>0.17841668163045443</v>
      </c>
      <c r="AQ21" s="337">
        <f t="shared" si="119"/>
        <v>0.18781396645206994</v>
      </c>
      <c r="AR21" s="337">
        <f t="shared" si="119"/>
        <v>0.16714602324703276</v>
      </c>
      <c r="AS21" s="337">
        <f t="shared" si="119"/>
        <v>0.15115869704015616</v>
      </c>
      <c r="AT21" s="337">
        <f t="shared" si="119"/>
        <v>0.12089792121342091</v>
      </c>
      <c r="AU21" s="337">
        <f t="shared" si="119"/>
        <v>7.953216374269001E-2</v>
      </c>
      <c r="AV21" s="337">
        <f t="shared" si="119"/>
        <v>7.3546087226420864E-2</v>
      </c>
      <c r="AW21" s="337">
        <f t="shared" ref="AW21" si="120">AW18/AS18-1</f>
        <v>5.9852097587946629E-2</v>
      </c>
      <c r="AX21" s="337">
        <f t="shared" ref="AX21" si="121">AX18/AT18-1</f>
        <v>5.2754500318277442E-2</v>
      </c>
      <c r="AY21" s="337">
        <f t="shared" ref="AY21" si="122">AY18/AU18-1</f>
        <v>6.5269840195016249E-2</v>
      </c>
      <c r="AZ21" s="337">
        <f t="shared" ref="AZ21" si="123">AZ18/AV18-1</f>
        <v>6.828962180483189E-2</v>
      </c>
      <c r="BA21" s="337">
        <f t="shared" ref="BA21" si="124">BA18/AW18-1</f>
        <v>0.11313824584284315</v>
      </c>
      <c r="BB21" s="337">
        <f t="shared" ref="BB21" si="125">BB18/AX18-1</f>
        <v>0.13322968413250402</v>
      </c>
      <c r="BC21" s="337">
        <f t="shared" ref="BC21" si="126">BC18/AY18-1</f>
        <v>0.14091077971803156</v>
      </c>
      <c r="BD21" s="337">
        <f t="shared" ref="BD21" si="127">BD18/AZ18-1</f>
        <v>0.12959063603146093</v>
      </c>
      <c r="BE21" s="337">
        <f t="shared" ref="BE21" si="128">BE18/BA18-1</f>
        <v>9.92728460352168E-2</v>
      </c>
      <c r="BF21" s="337">
        <f t="shared" ref="BF21" si="129">BF18/BB18-1</f>
        <v>9.2176391694897664E-2</v>
      </c>
      <c r="BG21" s="337">
        <f t="shared" ref="BG21" si="130">BG18/BC18-1</f>
        <v>8.4562391705248929E-2</v>
      </c>
      <c r="BH21" s="337">
        <f t="shared" ref="BH21" si="131">BH18/BD18-1</f>
        <v>7.2528029825378981E-2</v>
      </c>
      <c r="BI21" s="337">
        <f t="shared" ref="BI21" si="132">BI18/BE18-1</f>
        <v>6.9338156610120327E-2</v>
      </c>
      <c r="BJ21" s="337">
        <f t="shared" ref="BJ21" si="133">BJ18/BF18-1</f>
        <v>7.9284163642542982E-2</v>
      </c>
      <c r="BK21" s="337">
        <f t="shared" ref="BK21" si="134">BK18/BG18-1</f>
        <v>0.10065196670071663</v>
      </c>
      <c r="BL21" s="337">
        <f t="shared" ref="BL21" si="135">BL18/BH18-1</f>
        <v>0.13699819168173599</v>
      </c>
      <c r="BM21" s="337">
        <f t="shared" ref="BM21" si="136">BM18/BI18-1</f>
        <v>0.13766604238285707</v>
      </c>
      <c r="BN21" s="337">
        <f t="shared" ref="BN21" si="137">BN18/BJ18-1</f>
        <v>0.14106132155268658</v>
      </c>
      <c r="BO21" s="337">
        <f>BO18/BK18-1</f>
        <v>0.13715154492300763</v>
      </c>
      <c r="BP21" s="337">
        <f>BP18/BL18-1</f>
        <v>0.12687600722674297</v>
      </c>
      <c r="BQ21" s="337">
        <f>BQ18/BM18-1</f>
        <v>0.12534551835857854</v>
      </c>
      <c r="BR21" s="337">
        <f>BR18/BN18-1</f>
        <v>0.11860506884177058</v>
      </c>
      <c r="BS21" s="337">
        <f>BS18/BO18-1</f>
        <v>0.1095183507419224</v>
      </c>
      <c r="BT21" s="337">
        <f t="shared" ref="BT21" si="138">BT18/BP18-1</f>
        <v>0.10346742652230789</v>
      </c>
      <c r="BU21" s="337">
        <f t="shared" ref="BU21" si="139">BU18/BQ18-1</f>
        <v>0.10095015806123997</v>
      </c>
      <c r="BV21" s="337">
        <f t="shared" ref="BV21" si="140">BV18/BR18-1</f>
        <v>8.5202228435883987E-2</v>
      </c>
      <c r="BW21" s="346"/>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V21" s="203"/>
      <c r="DW21" s="203"/>
      <c r="DX21" s="203"/>
      <c r="DY21" s="203"/>
      <c r="DZ21" s="203"/>
      <c r="EA21" s="203"/>
      <c r="EB21" s="203"/>
      <c r="EX21" s="337"/>
      <c r="EY21" s="337"/>
      <c r="EZ21" s="337"/>
      <c r="FA21" s="577"/>
      <c r="FB21" s="203"/>
      <c r="FC21" s="203"/>
      <c r="FD21" s="574"/>
    </row>
    <row r="22" spans="1:160">
      <c r="A22" s="203"/>
      <c r="B22" s="203"/>
      <c r="C22" s="203"/>
      <c r="D22" s="203"/>
      <c r="E22" s="203"/>
      <c r="F22" s="203"/>
      <c r="G22" s="203"/>
      <c r="H22" s="203"/>
      <c r="I22" s="203"/>
      <c r="J22" s="203"/>
      <c r="K22" s="203"/>
      <c r="L22" s="336"/>
      <c r="M22" s="336"/>
      <c r="N22" s="336"/>
      <c r="O22" s="336"/>
      <c r="P22" s="336"/>
      <c r="Q22" s="336"/>
      <c r="R22" s="336"/>
      <c r="S22" s="336"/>
      <c r="T22" s="336"/>
      <c r="U22" s="336"/>
      <c r="V22" s="336"/>
      <c r="W22" s="336"/>
      <c r="X22" s="336"/>
      <c r="Y22" s="336"/>
      <c r="Z22" s="336"/>
      <c r="AA22" s="336"/>
      <c r="AB22" s="336"/>
      <c r="AC22" s="336"/>
      <c r="AD22" s="336"/>
      <c r="AE22" s="203"/>
      <c r="AF22" s="203"/>
      <c r="AG22" s="203"/>
      <c r="AH22" s="203"/>
      <c r="AI22" s="203"/>
      <c r="AJ22" s="336"/>
      <c r="AK22" s="336"/>
      <c r="AL22" s="336"/>
      <c r="AM22" s="336"/>
      <c r="AN22" s="336"/>
      <c r="AO22" s="336"/>
      <c r="AP22" s="336"/>
      <c r="AQ22" s="336"/>
      <c r="AR22" s="336"/>
      <c r="AS22" s="336"/>
      <c r="AT22" s="336"/>
      <c r="AU22" s="336"/>
      <c r="AV22" s="337"/>
      <c r="AW22" s="337"/>
      <c r="AX22" s="337"/>
      <c r="AY22" s="337"/>
      <c r="AZ22" s="337"/>
      <c r="BA22" s="337"/>
      <c r="BB22" s="337"/>
      <c r="BC22" s="337"/>
      <c r="BD22" s="337"/>
      <c r="BE22" s="337"/>
      <c r="BF22" s="336"/>
      <c r="BG22" s="336"/>
      <c r="BH22" s="336"/>
      <c r="BI22" s="336"/>
      <c r="BJ22" s="336"/>
      <c r="BK22" s="336"/>
      <c r="BL22" s="336"/>
      <c r="BM22" s="336"/>
      <c r="BN22" s="336"/>
      <c r="BO22" s="336"/>
      <c r="BP22" s="336"/>
      <c r="BQ22" s="336"/>
      <c r="BR22" s="336"/>
      <c r="BS22" s="336"/>
      <c r="BT22" s="336"/>
      <c r="BU22" s="336"/>
      <c r="BV22" s="336"/>
      <c r="BW22" s="345"/>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V22" s="203"/>
      <c r="DW22" s="203"/>
      <c r="DX22" s="203"/>
      <c r="DY22" s="203"/>
      <c r="DZ22" s="203"/>
      <c r="EA22" s="203"/>
      <c r="EB22" s="203"/>
      <c r="EX22" s="336"/>
      <c r="EY22" s="336"/>
      <c r="EZ22" s="336"/>
      <c r="FA22" s="577"/>
      <c r="FB22" s="203"/>
      <c r="FC22" s="203"/>
      <c r="FD22" s="574"/>
    </row>
    <row r="23" spans="1:160">
      <c r="A23" s="203"/>
      <c r="B23" s="203" t="s">
        <v>197</v>
      </c>
      <c r="C23" s="203"/>
      <c r="D23" s="203"/>
      <c r="E23" s="203"/>
      <c r="F23" s="203">
        <v>277</v>
      </c>
      <c r="G23" s="203">
        <v>306</v>
      </c>
      <c r="H23" s="203">
        <v>348</v>
      </c>
      <c r="I23" s="203">
        <v>392</v>
      </c>
      <c r="J23" s="203">
        <v>415</v>
      </c>
      <c r="K23" s="203">
        <v>425</v>
      </c>
      <c r="L23" s="336">
        <v>454.87700000000001</v>
      </c>
      <c r="M23" s="336">
        <v>459</v>
      </c>
      <c r="N23" s="336">
        <v>463</v>
      </c>
      <c r="O23" s="336">
        <v>443</v>
      </c>
      <c r="P23" s="336">
        <v>450.851</v>
      </c>
      <c r="Q23" s="336">
        <v>474</v>
      </c>
      <c r="R23" s="336">
        <v>495</v>
      </c>
      <c r="S23" s="336">
        <v>501</v>
      </c>
      <c r="T23" s="336">
        <v>512</v>
      </c>
      <c r="U23" s="336">
        <v>534</v>
      </c>
      <c r="V23" s="336">
        <v>556</v>
      </c>
      <c r="W23" s="336">
        <v>568</v>
      </c>
      <c r="X23" s="336">
        <v>571</v>
      </c>
      <c r="Y23" s="336">
        <v>555</v>
      </c>
      <c r="Z23" s="336">
        <v>578</v>
      </c>
      <c r="AA23" s="336">
        <v>614.49699999999996</v>
      </c>
      <c r="AB23" s="336">
        <v>637.80600000000004</v>
      </c>
      <c r="AC23" s="336">
        <v>678.45500000000004</v>
      </c>
      <c r="AD23" s="336">
        <v>721.44200000000001</v>
      </c>
      <c r="AE23" s="336">
        <v>760</v>
      </c>
      <c r="AF23" s="336">
        <v>800</v>
      </c>
      <c r="AG23" s="336">
        <v>849.5</v>
      </c>
      <c r="AH23" s="336">
        <v>896.31600000000003</v>
      </c>
      <c r="AI23" s="336">
        <v>911.11199999999997</v>
      </c>
      <c r="AJ23" s="336">
        <v>929.57799999999997</v>
      </c>
      <c r="AK23" s="336">
        <v>1059.2</v>
      </c>
      <c r="AL23" s="336">
        <v>1176</v>
      </c>
      <c r="AM23" s="336">
        <v>1198.98</v>
      </c>
      <c r="AN23" s="336">
        <v>1298.4590000000001</v>
      </c>
      <c r="AO23" s="336">
        <v>1382.3589999999999</v>
      </c>
      <c r="AP23" s="336">
        <v>1466.5350000000001</v>
      </c>
      <c r="AQ23" s="336">
        <v>1554</v>
      </c>
      <c r="AR23" s="336">
        <v>1624.135</v>
      </c>
      <c r="AS23" s="336">
        <v>1737.8</v>
      </c>
      <c r="AT23" s="336">
        <v>1812.8810000000001</v>
      </c>
      <c r="AU23" s="343">
        <v>1906.6</v>
      </c>
      <c r="AV23" s="343">
        <v>1988.1020000000001</v>
      </c>
      <c r="AW23" s="343">
        <v>2073</v>
      </c>
      <c r="AX23" s="343">
        <v>2130.538</v>
      </c>
      <c r="AY23" s="343">
        <v>2186.5010000000002</v>
      </c>
      <c r="AZ23" s="343">
        <v>2268.1</v>
      </c>
      <c r="BA23" s="343">
        <v>2511.5810000000001</v>
      </c>
      <c r="BB23" s="343">
        <v>2626.7979999999998</v>
      </c>
      <c r="BC23" s="343">
        <v>2727.4769999999999</v>
      </c>
      <c r="BD23" s="343">
        <v>2805.9</v>
      </c>
      <c r="BE23" s="343">
        <v>2934.54</v>
      </c>
      <c r="BF23" s="343">
        <f>Fixed!P30</f>
        <v>3031.1190000000001</v>
      </c>
      <c r="BG23" s="343">
        <v>3089.2159999999999</v>
      </c>
      <c r="BH23" s="343">
        <v>3134.337</v>
      </c>
      <c r="BI23" s="343">
        <v>3263.2629999999999</v>
      </c>
      <c r="BJ23" s="343">
        <v>3404.125</v>
      </c>
      <c r="BK23" s="343">
        <v>3578.587</v>
      </c>
      <c r="BL23" s="343">
        <v>3762.866</v>
      </c>
      <c r="BM23" s="343">
        <v>3906.433</v>
      </c>
      <c r="BN23" s="343">
        <v>4082.0549999999998</v>
      </c>
      <c r="BO23" s="343">
        <v>4255.1719999999996</v>
      </c>
      <c r="BP23" s="344">
        <f>BO23+150</f>
        <v>4405.1719999999996</v>
      </c>
      <c r="BQ23" s="344">
        <f>BP23+150</f>
        <v>4555.1719999999996</v>
      </c>
      <c r="BR23" s="336">
        <f>Fixed!S30</f>
        <v>4682.0550000000003</v>
      </c>
      <c r="BS23" s="344">
        <f>BR23+85</f>
        <v>4767.0550000000003</v>
      </c>
      <c r="BT23" s="344">
        <f>BS23+85</f>
        <v>4852.0550000000003</v>
      </c>
      <c r="BU23" s="344">
        <f>BT23+85</f>
        <v>4937.0550000000003</v>
      </c>
      <c r="BV23" s="336">
        <f>Fixed!T30</f>
        <v>5082.0550000000003</v>
      </c>
      <c r="BW23" s="346"/>
      <c r="BX23" s="337">
        <f t="shared" ref="BX23:DS23" si="141">W23/S23-1</f>
        <v>0.1337325349301397</v>
      </c>
      <c r="BY23" s="337">
        <f t="shared" si="141"/>
        <v>0.115234375</v>
      </c>
      <c r="BZ23" s="337">
        <f t="shared" si="141"/>
        <v>3.9325842696629199E-2</v>
      </c>
      <c r="CA23" s="337">
        <f t="shared" si="141"/>
        <v>3.9568345323740983E-2</v>
      </c>
      <c r="CB23" s="337">
        <f t="shared" si="141"/>
        <v>8.1860915492957709E-2</v>
      </c>
      <c r="CC23" s="337">
        <f t="shared" si="141"/>
        <v>0.11699824868651487</v>
      </c>
      <c r="CD23" s="337">
        <f t="shared" si="141"/>
        <v>0.22244144144144151</v>
      </c>
      <c r="CE23" s="337">
        <f t="shared" si="141"/>
        <v>0.24816955017301034</v>
      </c>
      <c r="CF23" s="337">
        <f t="shared" si="141"/>
        <v>0.2367839061866861</v>
      </c>
      <c r="CG23" s="337">
        <f t="shared" si="141"/>
        <v>0.25429989683383347</v>
      </c>
      <c r="CH23" s="337">
        <f t="shared" si="141"/>
        <v>0.25210957248454191</v>
      </c>
      <c r="CI23" s="337">
        <f t="shared" si="141"/>
        <v>0.24239509205175191</v>
      </c>
      <c r="CJ23" s="337">
        <f t="shared" si="141"/>
        <v>0.19883157894736847</v>
      </c>
      <c r="CK23" s="337">
        <f t="shared" si="141"/>
        <v>0.16197250000000007</v>
      </c>
      <c r="CL23" s="337">
        <f t="shared" si="141"/>
        <v>0.24685108887580931</v>
      </c>
      <c r="CM23" s="337">
        <f t="shared" si="141"/>
        <v>0.31203727256904923</v>
      </c>
      <c r="CN23" s="337">
        <f t="shared" si="141"/>
        <v>0.3159523746806101</v>
      </c>
      <c r="CO23" s="337">
        <f t="shared" si="141"/>
        <v>0.39682630182728085</v>
      </c>
      <c r="CP23" s="337">
        <f t="shared" si="141"/>
        <v>0.30509724320241682</v>
      </c>
      <c r="CQ23" s="337">
        <f t="shared" si="141"/>
        <v>0.24705357142857154</v>
      </c>
      <c r="CR23" s="337">
        <f t="shared" si="141"/>
        <v>0.29610168643346846</v>
      </c>
      <c r="CS23" s="337">
        <f t="shared" si="141"/>
        <v>0.25081731498645699</v>
      </c>
      <c r="CT23" s="337">
        <f t="shared" si="141"/>
        <v>0.25712640493533168</v>
      </c>
      <c r="CU23" s="337">
        <f t="shared" si="141"/>
        <v>0.23616620128397892</v>
      </c>
      <c r="CV23" s="337">
        <f t="shared" si="141"/>
        <v>0.2268983268983269</v>
      </c>
      <c r="CW23" s="337">
        <f t="shared" si="141"/>
        <v>0.22409898191960642</v>
      </c>
      <c r="CX23" s="337">
        <f t="shared" si="141"/>
        <v>0.19288755898262178</v>
      </c>
      <c r="CY23" s="337">
        <f t="shared" si="141"/>
        <v>0.17522220156756019</v>
      </c>
      <c r="CZ23" s="337">
        <f t="shared" si="141"/>
        <v>0.14680635686562482</v>
      </c>
      <c r="DA23" s="337">
        <f t="shared" si="141"/>
        <v>0.14083683835135208</v>
      </c>
      <c r="DB23" s="337">
        <f t="shared" si="141"/>
        <v>0.21156825856246986</v>
      </c>
      <c r="DC23" s="337">
        <f t="shared" si="141"/>
        <v>0.2329270822674836</v>
      </c>
      <c r="DD23" s="337">
        <f t="shared" si="141"/>
        <v>0.2474163057780443</v>
      </c>
      <c r="DE23" s="337">
        <f t="shared" si="141"/>
        <v>0.2371147656628898</v>
      </c>
      <c r="DF23" s="337">
        <f t="shared" si="141"/>
        <v>0.16840348768365421</v>
      </c>
      <c r="DG23" s="337">
        <f t="shared" si="141"/>
        <v>0.15392161863988041</v>
      </c>
      <c r="DH23" s="337">
        <f t="shared" si="141"/>
        <v>0.13262769951863951</v>
      </c>
      <c r="DI23" s="337">
        <f t="shared" si="141"/>
        <v>0.11705228269004597</v>
      </c>
      <c r="DJ23" s="337">
        <f t="shared" si="141"/>
        <v>0.11201857872102616</v>
      </c>
      <c r="DK23" s="337">
        <f t="shared" si="141"/>
        <v>0.12305884394509081</v>
      </c>
      <c r="DL23" s="337">
        <f t="shared" si="141"/>
        <v>0.15841268464231706</v>
      </c>
      <c r="DM23" s="337">
        <f t="shared" si="141"/>
        <v>0.20053012806217074</v>
      </c>
      <c r="DN23" s="337">
        <f t="shared" si="141"/>
        <v>0.19709413553244093</v>
      </c>
      <c r="DO23" s="337">
        <f t="shared" si="141"/>
        <v>0.1991495611941394</v>
      </c>
      <c r="DP23" s="337">
        <f t="shared" si="141"/>
        <v>0.18906484598530082</v>
      </c>
      <c r="DQ23" s="337">
        <f t="shared" si="141"/>
        <v>0.17069595356305522</v>
      </c>
      <c r="DR23" s="337">
        <f t="shared" si="141"/>
        <v>0.16606940398056214</v>
      </c>
      <c r="DS23" s="337">
        <f t="shared" si="141"/>
        <v>0.14698479074877735</v>
      </c>
      <c r="DT23" s="203"/>
      <c r="DV23" s="203"/>
      <c r="DW23" s="203"/>
      <c r="DX23" s="203"/>
      <c r="DY23" s="203"/>
      <c r="DZ23" s="203"/>
      <c r="EA23" s="203"/>
      <c r="EB23" s="203"/>
      <c r="EX23" s="336">
        <v>3524.125</v>
      </c>
      <c r="EY23" s="336">
        <v>3728.587</v>
      </c>
      <c r="EZ23" s="336">
        <v>3902.866</v>
      </c>
      <c r="FA23" s="577">
        <v>4044.125</v>
      </c>
      <c r="FB23" s="337">
        <v>0.18959352488261483</v>
      </c>
      <c r="FC23" s="337">
        <v>0.19600105783689514</v>
      </c>
      <c r="FD23" s="576">
        <v>0.18800719715051595</v>
      </c>
    </row>
    <row r="24" spans="1:160">
      <c r="A24" s="203"/>
      <c r="B24" s="203" t="s">
        <v>227</v>
      </c>
      <c r="C24" s="203"/>
      <c r="D24" s="203"/>
      <c r="E24" s="203"/>
      <c r="F24" s="203"/>
      <c r="G24" s="336">
        <f t="shared" ref="G24:AL24" si="142">G23-F23</f>
        <v>29</v>
      </c>
      <c r="H24" s="336">
        <f t="shared" si="142"/>
        <v>42</v>
      </c>
      <c r="I24" s="336">
        <f t="shared" si="142"/>
        <v>44</v>
      </c>
      <c r="J24" s="336">
        <f t="shared" si="142"/>
        <v>23</v>
      </c>
      <c r="K24" s="336">
        <f t="shared" si="142"/>
        <v>10</v>
      </c>
      <c r="L24" s="336">
        <f t="shared" si="142"/>
        <v>29.87700000000001</v>
      </c>
      <c r="M24" s="336">
        <f t="shared" si="142"/>
        <v>4.1229999999999905</v>
      </c>
      <c r="N24" s="336">
        <f t="shared" si="142"/>
        <v>4</v>
      </c>
      <c r="O24" s="336">
        <f t="shared" si="142"/>
        <v>-20</v>
      </c>
      <c r="P24" s="336">
        <f t="shared" si="142"/>
        <v>7.8509999999999991</v>
      </c>
      <c r="Q24" s="336">
        <f t="shared" si="142"/>
        <v>23.149000000000001</v>
      </c>
      <c r="R24" s="336">
        <f t="shared" si="142"/>
        <v>21</v>
      </c>
      <c r="S24" s="336">
        <f t="shared" si="142"/>
        <v>6</v>
      </c>
      <c r="T24" s="336">
        <f t="shared" si="142"/>
        <v>11</v>
      </c>
      <c r="U24" s="336">
        <f t="shared" si="142"/>
        <v>22</v>
      </c>
      <c r="V24" s="336">
        <f t="shared" si="142"/>
        <v>22</v>
      </c>
      <c r="W24" s="336">
        <f t="shared" si="142"/>
        <v>12</v>
      </c>
      <c r="X24" s="336">
        <f t="shared" si="142"/>
        <v>3</v>
      </c>
      <c r="Y24" s="336">
        <f t="shared" si="142"/>
        <v>-16</v>
      </c>
      <c r="Z24" s="336">
        <f t="shared" si="142"/>
        <v>23</v>
      </c>
      <c r="AA24" s="336">
        <f t="shared" si="142"/>
        <v>36.496999999999957</v>
      </c>
      <c r="AB24" s="336">
        <f t="shared" si="142"/>
        <v>23.309000000000083</v>
      </c>
      <c r="AC24" s="336">
        <f t="shared" si="142"/>
        <v>40.649000000000001</v>
      </c>
      <c r="AD24" s="336">
        <f t="shared" si="142"/>
        <v>42.986999999999966</v>
      </c>
      <c r="AE24" s="336">
        <f t="shared" si="142"/>
        <v>38.557999999999993</v>
      </c>
      <c r="AF24" s="336">
        <f t="shared" si="142"/>
        <v>40</v>
      </c>
      <c r="AG24" s="336">
        <f t="shared" si="142"/>
        <v>49.5</v>
      </c>
      <c r="AH24" s="336">
        <f t="shared" si="142"/>
        <v>46.816000000000031</v>
      </c>
      <c r="AI24" s="336">
        <f t="shared" si="142"/>
        <v>14.795999999999935</v>
      </c>
      <c r="AJ24" s="336">
        <f t="shared" si="142"/>
        <v>18.466000000000008</v>
      </c>
      <c r="AK24" s="336">
        <f t="shared" si="142"/>
        <v>129.62200000000007</v>
      </c>
      <c r="AL24" s="336">
        <f t="shared" si="142"/>
        <v>116.79999999999995</v>
      </c>
      <c r="AM24" s="336">
        <f t="shared" ref="AM24:BM24" si="143">AM23-AL23</f>
        <v>22.980000000000018</v>
      </c>
      <c r="AN24" s="336">
        <f t="shared" si="143"/>
        <v>99.479000000000042</v>
      </c>
      <c r="AO24" s="336">
        <f t="shared" si="143"/>
        <v>83.899999999999864</v>
      </c>
      <c r="AP24" s="336">
        <f t="shared" si="143"/>
        <v>84.176000000000158</v>
      </c>
      <c r="AQ24" s="336">
        <f t="shared" si="143"/>
        <v>87.464999999999918</v>
      </c>
      <c r="AR24" s="336">
        <f t="shared" si="143"/>
        <v>70.134999999999991</v>
      </c>
      <c r="AS24" s="336">
        <f t="shared" si="143"/>
        <v>113.66499999999996</v>
      </c>
      <c r="AT24" s="336">
        <f t="shared" si="143"/>
        <v>75.081000000000131</v>
      </c>
      <c r="AU24" s="336">
        <f t="shared" si="143"/>
        <v>93.718999999999824</v>
      </c>
      <c r="AV24" s="336">
        <f t="shared" si="143"/>
        <v>81.50200000000018</v>
      </c>
      <c r="AW24" s="336">
        <f t="shared" si="143"/>
        <v>84.897999999999911</v>
      </c>
      <c r="AX24" s="336">
        <f t="shared" si="143"/>
        <v>57.538000000000011</v>
      </c>
      <c r="AY24" s="336">
        <f t="shared" si="143"/>
        <v>55.963000000000193</v>
      </c>
      <c r="AZ24" s="336">
        <f t="shared" si="143"/>
        <v>81.598999999999705</v>
      </c>
      <c r="BA24" s="336">
        <f t="shared" si="143"/>
        <v>243.48100000000022</v>
      </c>
      <c r="BB24" s="336">
        <f t="shared" si="143"/>
        <v>115.21699999999964</v>
      </c>
      <c r="BC24" s="336">
        <f t="shared" si="143"/>
        <v>100.67900000000009</v>
      </c>
      <c r="BD24" s="336">
        <f t="shared" si="143"/>
        <v>78.423000000000229</v>
      </c>
      <c r="BE24" s="336">
        <f t="shared" si="143"/>
        <v>128.63999999999987</v>
      </c>
      <c r="BF24" s="336">
        <f t="shared" si="143"/>
        <v>96.579000000000178</v>
      </c>
      <c r="BG24" s="336">
        <f t="shared" si="143"/>
        <v>58.096999999999753</v>
      </c>
      <c r="BH24" s="336">
        <f t="shared" si="143"/>
        <v>45.121000000000095</v>
      </c>
      <c r="BI24" s="336">
        <f t="shared" si="143"/>
        <v>128.92599999999993</v>
      </c>
      <c r="BJ24" s="336">
        <f t="shared" si="143"/>
        <v>140.86200000000008</v>
      </c>
      <c r="BK24" s="336">
        <f t="shared" si="143"/>
        <v>174.46199999999999</v>
      </c>
      <c r="BL24" s="336">
        <f t="shared" si="143"/>
        <v>184.279</v>
      </c>
      <c r="BM24" s="336">
        <f t="shared" si="143"/>
        <v>143.56700000000001</v>
      </c>
      <c r="BN24" s="336">
        <f>BN23-BM23</f>
        <v>175.62199999999984</v>
      </c>
      <c r="BO24" s="336">
        <f>BO23-BN23</f>
        <v>173.11699999999973</v>
      </c>
      <c r="BP24" s="336">
        <f>BP23-BO23</f>
        <v>150</v>
      </c>
      <c r="BQ24" s="336">
        <f t="shared" ref="BQ24:BR24" si="144">BQ23-BP23</f>
        <v>150</v>
      </c>
      <c r="BR24" s="336">
        <f t="shared" si="144"/>
        <v>126.88300000000072</v>
      </c>
      <c r="BS24" s="336">
        <f t="shared" ref="BS24" si="145">BS23-BR23</f>
        <v>85</v>
      </c>
      <c r="BT24" s="336">
        <f t="shared" ref="BT24" si="146">BT23-BS23</f>
        <v>85</v>
      </c>
      <c r="BU24" s="336">
        <f t="shared" ref="BU24" si="147">BU23-BT23</f>
        <v>85</v>
      </c>
      <c r="BV24" s="336">
        <f t="shared" ref="BV24" si="148">BV23-BU23</f>
        <v>145</v>
      </c>
      <c r="BW24" s="346"/>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V24" s="203"/>
      <c r="DW24" s="203"/>
      <c r="DX24" s="203"/>
      <c r="DY24" s="203"/>
      <c r="DZ24" s="203"/>
      <c r="EA24" s="203"/>
      <c r="EB24" s="203"/>
      <c r="EX24" s="344">
        <v>120</v>
      </c>
      <c r="EY24" s="344">
        <v>150</v>
      </c>
      <c r="EZ24" s="344">
        <v>140</v>
      </c>
      <c r="FA24" s="577">
        <v>137.69200000000001</v>
      </c>
      <c r="FB24" s="203"/>
      <c r="FC24" s="203"/>
      <c r="FD24" s="574"/>
    </row>
    <row r="25" spans="1:160">
      <c r="A25" s="203"/>
      <c r="B25" s="203" t="s">
        <v>994</v>
      </c>
      <c r="C25" s="203"/>
      <c r="D25" s="203"/>
      <c r="E25" s="203"/>
      <c r="F25" s="203"/>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f>AK24-40</f>
        <v>89.622000000000071</v>
      </c>
      <c r="AL25" s="336"/>
      <c r="AM25" s="336"/>
      <c r="AN25" s="336"/>
      <c r="AO25" s="336"/>
      <c r="AP25" s="336"/>
      <c r="AQ25" s="336"/>
      <c r="AR25" s="336"/>
      <c r="AS25" s="336"/>
      <c r="AT25" s="336"/>
      <c r="AU25" s="336"/>
      <c r="AV25" s="336">
        <f>AV24-50</f>
        <v>31.50200000000018</v>
      </c>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46"/>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V25" s="203"/>
      <c r="DW25" s="203"/>
      <c r="DX25" s="203"/>
      <c r="DY25" s="203"/>
      <c r="DZ25" s="203"/>
      <c r="EA25" s="203"/>
      <c r="EB25" s="203"/>
      <c r="EX25" s="336"/>
      <c r="EY25" s="336"/>
      <c r="EZ25" s="336"/>
      <c r="FA25" s="577"/>
      <c r="FB25" s="203"/>
      <c r="FC25" s="203"/>
      <c r="FD25" s="574"/>
    </row>
    <row r="26" spans="1:160">
      <c r="A26" s="203"/>
      <c r="B26" s="203" t="s">
        <v>543</v>
      </c>
      <c r="C26" s="203"/>
      <c r="D26" s="203"/>
      <c r="E26" s="203"/>
      <c r="F26" s="203"/>
      <c r="G26" s="336"/>
      <c r="H26" s="336"/>
      <c r="I26" s="336"/>
      <c r="J26" s="337">
        <f t="shared" ref="J26" si="149">J23/F23-1</f>
        <v>0.49819494584837543</v>
      </c>
      <c r="K26" s="337">
        <f t="shared" ref="K26" si="150">K23/G23-1</f>
        <v>0.38888888888888884</v>
      </c>
      <c r="L26" s="337">
        <f t="shared" ref="L26" si="151">L23/H23-1</f>
        <v>0.3071178160919541</v>
      </c>
      <c r="M26" s="337">
        <f t="shared" ref="M26" si="152">M23/I23-1</f>
        <v>0.17091836734693877</v>
      </c>
      <c r="N26" s="337">
        <f t="shared" ref="N26" si="153">N23/J23-1</f>
        <v>0.11566265060240966</v>
      </c>
      <c r="O26" s="337">
        <f t="shared" ref="O26" si="154">O23/K23-1</f>
        <v>4.2352941176470482E-2</v>
      </c>
      <c r="P26" s="337">
        <f t="shared" ref="P26" si="155">P23/L23-1</f>
        <v>-8.8507442671316161E-3</v>
      </c>
      <c r="Q26" s="337">
        <f t="shared" ref="Q26" si="156">Q23/M23-1</f>
        <v>3.2679738562091609E-2</v>
      </c>
      <c r="R26" s="337">
        <f t="shared" ref="R26" si="157">R23/N23-1</f>
        <v>6.9114470842332576E-2</v>
      </c>
      <c r="S26" s="337">
        <f t="shared" ref="S26" si="158">S23/O23-1</f>
        <v>0.13092550790067725</v>
      </c>
      <c r="T26" s="337">
        <f t="shared" ref="T26" si="159">T23/P23-1</f>
        <v>0.13563017493584351</v>
      </c>
      <c r="U26" s="337">
        <f t="shared" ref="U26" si="160">U23/Q23-1</f>
        <v>0.12658227848101267</v>
      </c>
      <c r="V26" s="337">
        <f t="shared" ref="V26" si="161">V23/R23-1</f>
        <v>0.12323232323232314</v>
      </c>
      <c r="W26" s="337">
        <f t="shared" ref="W26" si="162">W23/S23-1</f>
        <v>0.1337325349301397</v>
      </c>
      <c r="X26" s="337">
        <f t="shared" ref="X26" si="163">X23/T23-1</f>
        <v>0.115234375</v>
      </c>
      <c r="Y26" s="337">
        <f t="shared" ref="Y26" si="164">Y23/U23-1</f>
        <v>3.9325842696629199E-2</v>
      </c>
      <c r="Z26" s="337">
        <f t="shared" ref="Z26" si="165">Z23/V23-1</f>
        <v>3.9568345323740983E-2</v>
      </c>
      <c r="AA26" s="337">
        <f t="shared" ref="AA26" si="166">AA23/W23-1</f>
        <v>8.1860915492957709E-2</v>
      </c>
      <c r="AB26" s="337">
        <f t="shared" ref="AB26" si="167">AB23/X23-1</f>
        <v>0.11699824868651487</v>
      </c>
      <c r="AC26" s="337">
        <f t="shared" ref="AC26" si="168">AC23/Y23-1</f>
        <v>0.22244144144144151</v>
      </c>
      <c r="AD26" s="337">
        <f t="shared" ref="AD26" si="169">AD23/Z23-1</f>
        <v>0.24816955017301034</v>
      </c>
      <c r="AE26" s="337">
        <f t="shared" ref="AE26" si="170">AE23/AA23-1</f>
        <v>0.2367839061866861</v>
      </c>
      <c r="AF26" s="337">
        <f t="shared" ref="AF26" si="171">AF23/AB23-1</f>
        <v>0.25429989683383347</v>
      </c>
      <c r="AG26" s="337">
        <f t="shared" ref="AG26" si="172">AG23/AC23-1</f>
        <v>0.25210957248454191</v>
      </c>
      <c r="AH26" s="337">
        <f t="shared" ref="AH26" si="173">AH23/AD23-1</f>
        <v>0.24239509205175191</v>
      </c>
      <c r="AI26" s="337">
        <f t="shared" ref="AI26" si="174">AI23/AE23-1</f>
        <v>0.19883157894736847</v>
      </c>
      <c r="AJ26" s="337">
        <f t="shared" ref="AJ26" si="175">AJ23/AF23-1</f>
        <v>0.16197250000000007</v>
      </c>
      <c r="AK26" s="337">
        <f t="shared" ref="AK26" si="176">AK23/AG23-1</f>
        <v>0.24685108887580931</v>
      </c>
      <c r="AL26" s="337">
        <f t="shared" ref="AL26" si="177">AL23/AH23-1</f>
        <v>0.31203727256904923</v>
      </c>
      <c r="AM26" s="337">
        <f t="shared" ref="AM26" si="178">AM23/AI23-1</f>
        <v>0.3159523746806101</v>
      </c>
      <c r="AN26" s="337">
        <f t="shared" ref="AN26:BK26" si="179">AN23/AJ23-1</f>
        <v>0.39682630182728085</v>
      </c>
      <c r="AO26" s="337">
        <f t="shared" si="179"/>
        <v>0.30509724320241682</v>
      </c>
      <c r="AP26" s="337">
        <f t="shared" si="179"/>
        <v>0.24705357142857154</v>
      </c>
      <c r="AQ26" s="337">
        <f t="shared" si="179"/>
        <v>0.29610168643346846</v>
      </c>
      <c r="AR26" s="337">
        <f t="shared" si="179"/>
        <v>0.25081731498645699</v>
      </c>
      <c r="AS26" s="337">
        <f t="shared" si="179"/>
        <v>0.25712640493533168</v>
      </c>
      <c r="AT26" s="337">
        <f t="shared" si="179"/>
        <v>0.23616620128397892</v>
      </c>
      <c r="AU26" s="337">
        <f t="shared" si="179"/>
        <v>0.2268983268983269</v>
      </c>
      <c r="AV26" s="337">
        <f t="shared" si="179"/>
        <v>0.22409898191960642</v>
      </c>
      <c r="AW26" s="337">
        <f t="shared" si="179"/>
        <v>0.19288755898262178</v>
      </c>
      <c r="AX26" s="337">
        <f t="shared" si="179"/>
        <v>0.17522220156756019</v>
      </c>
      <c r="AY26" s="337">
        <f t="shared" si="179"/>
        <v>0.14680635686562482</v>
      </c>
      <c r="AZ26" s="337">
        <f t="shared" si="179"/>
        <v>0.14083683835135208</v>
      </c>
      <c r="BA26" s="337">
        <f t="shared" si="179"/>
        <v>0.21156825856246986</v>
      </c>
      <c r="BB26" s="337">
        <f t="shared" si="179"/>
        <v>0.2329270822674836</v>
      </c>
      <c r="BC26" s="337">
        <f t="shared" si="179"/>
        <v>0.2474163057780443</v>
      </c>
      <c r="BD26" s="337">
        <f t="shared" si="179"/>
        <v>0.2371147656628898</v>
      </c>
      <c r="BE26" s="337">
        <f t="shared" si="179"/>
        <v>0.16840348768365421</v>
      </c>
      <c r="BF26" s="337">
        <f t="shared" si="179"/>
        <v>0.15392161863988041</v>
      </c>
      <c r="BG26" s="337">
        <f t="shared" si="179"/>
        <v>0.13262769951863951</v>
      </c>
      <c r="BH26" s="337">
        <f t="shared" si="179"/>
        <v>0.11705228269004597</v>
      </c>
      <c r="BI26" s="337">
        <f t="shared" si="179"/>
        <v>0.11201857872102616</v>
      </c>
      <c r="BJ26" s="337">
        <f t="shared" si="179"/>
        <v>0.12305884394509081</v>
      </c>
      <c r="BK26" s="337">
        <f t="shared" si="179"/>
        <v>0.15841268464231706</v>
      </c>
      <c r="BL26" s="337">
        <f t="shared" ref="BL26:BN26" si="180">BL23/BH23-1</f>
        <v>0.20053012806217074</v>
      </c>
      <c r="BM26" s="337">
        <f t="shared" si="180"/>
        <v>0.19709413553244093</v>
      </c>
      <c r="BN26" s="337">
        <f t="shared" si="180"/>
        <v>0.1991495611941394</v>
      </c>
      <c r="BO26" s="337">
        <f>BO23/BK23-1</f>
        <v>0.18906484598530082</v>
      </c>
      <c r="BP26" s="337">
        <f>BP23/BL23-1</f>
        <v>0.17069595356305522</v>
      </c>
      <c r="BQ26" s="337">
        <f>BQ23/BM23-1</f>
        <v>0.16606940398056214</v>
      </c>
      <c r="BR26" s="337">
        <f>BR23/BN23-1</f>
        <v>0.14698479074877735</v>
      </c>
      <c r="BS26" s="337">
        <f>BV23/BO23-1</f>
        <v>0.19432422473169142</v>
      </c>
      <c r="BT26" s="337">
        <f t="shared" ref="BT26" si="181">BT23/BP23-1</f>
        <v>0.10144507410834369</v>
      </c>
      <c r="BU26" s="337">
        <f t="shared" ref="BU26:BV26" si="182">BU23/BQ23-1</f>
        <v>8.3835034110677054E-2</v>
      </c>
      <c r="BV26" s="337">
        <f t="shared" si="182"/>
        <v>8.5432571808746305E-2</v>
      </c>
      <c r="BW26" s="346"/>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V26" s="203"/>
      <c r="DW26" s="203"/>
      <c r="DX26" s="203"/>
      <c r="DY26" s="203"/>
      <c r="DZ26" s="203"/>
      <c r="EA26" s="203"/>
      <c r="EB26" s="203"/>
      <c r="EX26" s="337">
        <v>0.14078296888271979</v>
      </c>
      <c r="EY26" s="337">
        <v>0.18959352488261483</v>
      </c>
      <c r="EZ26" s="337">
        <v>0.19600105783689514</v>
      </c>
      <c r="FA26" s="576">
        <v>0.18800719715051595</v>
      </c>
      <c r="FB26" s="203"/>
      <c r="FC26" s="203"/>
      <c r="FD26" s="574"/>
    </row>
    <row r="27" spans="1:160">
      <c r="A27" s="203"/>
      <c r="B27" s="203"/>
      <c r="C27" s="203"/>
      <c r="D27" s="203"/>
      <c r="E27" s="203"/>
      <c r="F27" s="203"/>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V27" s="203"/>
      <c r="DW27" s="203"/>
      <c r="DX27" s="203"/>
      <c r="DY27" s="203"/>
      <c r="DZ27" s="203"/>
      <c r="EA27" s="203"/>
      <c r="EB27" s="203"/>
      <c r="EX27" s="203"/>
      <c r="EY27" s="203"/>
      <c r="EZ27" s="203"/>
      <c r="FA27" s="574"/>
      <c r="FB27" s="203"/>
      <c r="FC27" s="203"/>
      <c r="FD27" s="574"/>
    </row>
    <row r="28" spans="1:160">
      <c r="A28" s="203"/>
      <c r="B28" s="437" t="s">
        <v>192</v>
      </c>
      <c r="C28" s="437"/>
      <c r="D28" s="437"/>
      <c r="E28" s="437"/>
      <c r="F28" s="437"/>
      <c r="G28" s="438">
        <f t="shared" ref="G28:AL28" si="183">G11+G18+G23</f>
        <v>2234</v>
      </c>
      <c r="H28" s="438">
        <f t="shared" si="183"/>
        <v>2308</v>
      </c>
      <c r="I28" s="438">
        <f t="shared" si="183"/>
        <v>2432</v>
      </c>
      <c r="J28" s="438">
        <f t="shared" si="183"/>
        <v>2524</v>
      </c>
      <c r="K28" s="438">
        <f t="shared" si="183"/>
        <v>2564</v>
      </c>
      <c r="L28" s="438">
        <f t="shared" si="183"/>
        <v>2724.99</v>
      </c>
      <c r="M28" s="438">
        <f t="shared" si="183"/>
        <v>2790</v>
      </c>
      <c r="N28" s="438">
        <f t="shared" si="183"/>
        <v>2814</v>
      </c>
      <c r="O28" s="438">
        <f t="shared" si="183"/>
        <v>2764.5259999999998</v>
      </c>
      <c r="P28" s="438">
        <f t="shared" si="183"/>
        <v>2814.895</v>
      </c>
      <c r="Q28" s="438">
        <f t="shared" si="183"/>
        <v>2983</v>
      </c>
      <c r="R28" s="438">
        <f t="shared" si="183"/>
        <v>3122</v>
      </c>
      <c r="S28" s="438">
        <f t="shared" si="183"/>
        <v>3209</v>
      </c>
      <c r="T28" s="438">
        <f t="shared" si="183"/>
        <v>3261</v>
      </c>
      <c r="U28" s="438">
        <f t="shared" si="183"/>
        <v>3371</v>
      </c>
      <c r="V28" s="438">
        <f t="shared" si="183"/>
        <v>3491</v>
      </c>
      <c r="W28" s="438">
        <f t="shared" si="183"/>
        <v>3550</v>
      </c>
      <c r="X28" s="438">
        <f t="shared" si="183"/>
        <v>3582</v>
      </c>
      <c r="Y28" s="438">
        <f t="shared" si="183"/>
        <v>3589</v>
      </c>
      <c r="Z28" s="438">
        <f t="shared" si="183"/>
        <v>3672</v>
      </c>
      <c r="AA28" s="438">
        <f t="shared" si="183"/>
        <v>3827.0969999999998</v>
      </c>
      <c r="AB28" s="438">
        <f t="shared" si="183"/>
        <v>3986.5169999999998</v>
      </c>
      <c r="AC28" s="438">
        <f t="shared" si="183"/>
        <v>4185.652</v>
      </c>
      <c r="AD28" s="438">
        <f t="shared" si="183"/>
        <v>4458.0920000000006</v>
      </c>
      <c r="AE28" s="438">
        <f t="shared" si="183"/>
        <v>4704.2999999999993</v>
      </c>
      <c r="AF28" s="438">
        <f t="shared" si="183"/>
        <v>4926</v>
      </c>
      <c r="AG28" s="438">
        <f t="shared" si="183"/>
        <v>5197.3</v>
      </c>
      <c r="AH28" s="438">
        <f t="shared" si="183"/>
        <v>5561.433</v>
      </c>
      <c r="AI28" s="438">
        <f t="shared" si="183"/>
        <v>5803.0919999999996</v>
      </c>
      <c r="AJ28" s="438">
        <f t="shared" si="183"/>
        <v>5913.1440000000002</v>
      </c>
      <c r="AK28" s="438">
        <f t="shared" si="183"/>
        <v>6204.4000000000005</v>
      </c>
      <c r="AL28" s="438">
        <f t="shared" si="183"/>
        <v>6374.7999999999993</v>
      </c>
      <c r="AM28" s="438">
        <f t="shared" ref="AM28:BG28" si="184">AM11+AM18+AM23</f>
        <v>6410.3649999999998</v>
      </c>
      <c r="AN28" s="438">
        <f t="shared" si="184"/>
        <v>6634.0680000000002</v>
      </c>
      <c r="AO28" s="438">
        <f t="shared" si="184"/>
        <v>6865.523000000001</v>
      </c>
      <c r="AP28" s="438">
        <f t="shared" si="184"/>
        <v>7131.8539999999994</v>
      </c>
      <c r="AQ28" s="438">
        <f t="shared" si="184"/>
        <v>7391</v>
      </c>
      <c r="AR28" s="438">
        <f t="shared" si="184"/>
        <v>7593.7020000000002</v>
      </c>
      <c r="AS28" s="438">
        <f t="shared" si="184"/>
        <v>7811.0000000000009</v>
      </c>
      <c r="AT28" s="438">
        <f t="shared" si="184"/>
        <v>7957.4679999999998</v>
      </c>
      <c r="AU28" s="438">
        <f t="shared" si="184"/>
        <v>8057</v>
      </c>
      <c r="AV28" s="438">
        <f t="shared" si="184"/>
        <v>8228.6260000000002</v>
      </c>
      <c r="AW28" s="438">
        <f t="shared" si="184"/>
        <v>8364</v>
      </c>
      <c r="AX28" s="438">
        <f t="shared" si="184"/>
        <v>8452.9639999999999</v>
      </c>
      <c r="AY28" s="438">
        <f t="shared" si="184"/>
        <v>8566.3850000000002</v>
      </c>
      <c r="AZ28" s="438">
        <f t="shared" si="184"/>
        <v>8758.9</v>
      </c>
      <c r="BA28" s="438">
        <f t="shared" si="184"/>
        <v>9287.0480000000007</v>
      </c>
      <c r="BB28" s="438">
        <f t="shared" si="184"/>
        <v>9549.7690000000002</v>
      </c>
      <c r="BC28" s="438">
        <f t="shared" si="184"/>
        <v>9753.4840000000004</v>
      </c>
      <c r="BD28" s="438">
        <f t="shared" si="184"/>
        <v>9911.7999999999993</v>
      </c>
      <c r="BE28" s="438">
        <f t="shared" si="184"/>
        <v>10203.646000000001</v>
      </c>
      <c r="BF28" s="438">
        <f t="shared" si="184"/>
        <v>10404.832</v>
      </c>
      <c r="BG28" s="438">
        <f t="shared" si="184"/>
        <v>10524.511</v>
      </c>
      <c r="BH28" s="438">
        <f t="shared" ref="BH28:BI28" si="185">BH11+BH18+BH23</f>
        <v>10590.289999999999</v>
      </c>
      <c r="BI28" s="438">
        <f t="shared" si="185"/>
        <v>10868.582999999999</v>
      </c>
      <c r="BJ28" s="438">
        <f t="shared" ref="BJ28:BK28" si="186">BJ11+BJ18+BJ23</f>
        <v>11217.599999999999</v>
      </c>
      <c r="BK28" s="438">
        <f t="shared" si="186"/>
        <v>11625.663999999999</v>
      </c>
      <c r="BL28" s="438">
        <f t="shared" ref="BL28:BN28" si="187">BL11+BL18+BL23</f>
        <v>12057.187</v>
      </c>
      <c r="BM28" s="438">
        <f t="shared" si="187"/>
        <v>12360.922999999999</v>
      </c>
      <c r="BN28" s="438">
        <f t="shared" si="187"/>
        <v>12717.697</v>
      </c>
      <c r="BO28" s="438">
        <f t="shared" ref="BO28:BR28" si="188">BO11+BO18+BO23</f>
        <v>13056.992999999999</v>
      </c>
      <c r="BP28" s="438">
        <f t="shared" si="188"/>
        <v>13396.992999999999</v>
      </c>
      <c r="BQ28" s="438">
        <f t="shared" si="188"/>
        <v>13721.992999999999</v>
      </c>
      <c r="BR28" s="438">
        <f t="shared" si="188"/>
        <v>14027.697</v>
      </c>
      <c r="BS28" s="336"/>
      <c r="BT28" s="336"/>
      <c r="BU28" s="336"/>
      <c r="BV28" s="336"/>
      <c r="BW28" s="203"/>
      <c r="BX28" s="337">
        <f t="shared" ref="BX28:DS28" si="189">W28/S28-1</f>
        <v>0.10626363353069501</v>
      </c>
      <c r="BY28" s="337">
        <f t="shared" si="189"/>
        <v>9.8436062557497594E-2</v>
      </c>
      <c r="BZ28" s="337">
        <f t="shared" si="189"/>
        <v>6.4669237614951136E-2</v>
      </c>
      <c r="CA28" s="337">
        <f t="shared" si="189"/>
        <v>5.1847608135204837E-2</v>
      </c>
      <c r="CB28" s="337">
        <f t="shared" si="189"/>
        <v>7.8055492957746386E-2</v>
      </c>
      <c r="CC28" s="337">
        <f t="shared" si="189"/>
        <v>0.11293048576214404</v>
      </c>
      <c r="CD28" s="337">
        <f t="shared" si="189"/>
        <v>0.16624463638896625</v>
      </c>
      <c r="CE28" s="337">
        <f t="shared" si="189"/>
        <v>0.2140773420479305</v>
      </c>
      <c r="CF28" s="337">
        <f t="shared" si="189"/>
        <v>0.22920845748095742</v>
      </c>
      <c r="CG28" s="337">
        <f t="shared" si="189"/>
        <v>0.23566511819716318</v>
      </c>
      <c r="CH28" s="337">
        <f t="shared" si="189"/>
        <v>0.24169424500651271</v>
      </c>
      <c r="CI28" s="337">
        <f t="shared" si="189"/>
        <v>0.24749175207689733</v>
      </c>
      <c r="CJ28" s="337">
        <f t="shared" si="189"/>
        <v>0.23357183853070596</v>
      </c>
      <c r="CK28" s="337">
        <f t="shared" si="189"/>
        <v>0.20039464068209512</v>
      </c>
      <c r="CL28" s="337">
        <f t="shared" si="189"/>
        <v>0.19377369018528867</v>
      </c>
      <c r="CM28" s="337">
        <f t="shared" si="189"/>
        <v>0.14625133486279518</v>
      </c>
      <c r="CN28" s="337">
        <f t="shared" si="189"/>
        <v>0.10464645399383632</v>
      </c>
      <c r="CO28" s="337">
        <f t="shared" si="189"/>
        <v>0.12191889796696986</v>
      </c>
      <c r="CP28" s="337">
        <f t="shared" si="189"/>
        <v>0.10655712075301405</v>
      </c>
      <c r="CQ28" s="337">
        <f t="shared" si="189"/>
        <v>0.11875729434648941</v>
      </c>
      <c r="CR28" s="337">
        <f t="shared" si="189"/>
        <v>0.15297646857862235</v>
      </c>
      <c r="CS28" s="337">
        <f t="shared" si="189"/>
        <v>0.14465242141021162</v>
      </c>
      <c r="CT28" s="337">
        <f t="shared" si="189"/>
        <v>0.13771376193772844</v>
      </c>
      <c r="CU28" s="337">
        <f t="shared" si="189"/>
        <v>0.11576428793971383</v>
      </c>
      <c r="CV28" s="337">
        <f t="shared" si="189"/>
        <v>9.0109592747936729E-2</v>
      </c>
      <c r="CW28" s="337">
        <f t="shared" si="189"/>
        <v>8.3611919456412664E-2</v>
      </c>
      <c r="CX28" s="337">
        <f t="shared" si="189"/>
        <v>7.0797593137882364E-2</v>
      </c>
      <c r="CY28" s="337">
        <f t="shared" si="189"/>
        <v>6.2268048077604554E-2</v>
      </c>
      <c r="CZ28" s="337">
        <f t="shared" si="189"/>
        <v>6.3222663522402911E-2</v>
      </c>
      <c r="DA28" s="337">
        <f t="shared" si="189"/>
        <v>6.4442593453633679E-2</v>
      </c>
      <c r="DB28" s="337">
        <f t="shared" si="189"/>
        <v>0.11035963653754188</v>
      </c>
      <c r="DC28" s="337">
        <f t="shared" si="189"/>
        <v>0.12975389461022191</v>
      </c>
      <c r="DD28" s="337">
        <f t="shared" si="189"/>
        <v>0.13857642401082848</v>
      </c>
      <c r="DE28" s="337">
        <f t="shared" si="189"/>
        <v>0.13162611743483765</v>
      </c>
      <c r="DF28" s="337">
        <f t="shared" si="189"/>
        <v>9.8696378009460073E-2</v>
      </c>
      <c r="DG28" s="337">
        <f t="shared" si="189"/>
        <v>8.9537558447748911E-2</v>
      </c>
      <c r="DH28" s="337">
        <f t="shared" si="189"/>
        <v>7.9051444591491604E-2</v>
      </c>
      <c r="DI28" s="337">
        <f t="shared" si="189"/>
        <v>6.8452753283964496E-2</v>
      </c>
      <c r="DJ28" s="337">
        <f t="shared" si="189"/>
        <v>6.516660809283259E-2</v>
      </c>
      <c r="DK28" s="337">
        <f t="shared" si="189"/>
        <v>7.8114476043438019E-2</v>
      </c>
      <c r="DL28" s="337">
        <f t="shared" si="189"/>
        <v>0.10462747390353799</v>
      </c>
      <c r="DM28" s="337">
        <f t="shared" si="189"/>
        <v>0.1385133929288056</v>
      </c>
      <c r="DN28" s="337">
        <f t="shared" si="189"/>
        <v>0.13730768767188883</v>
      </c>
      <c r="DO28" s="337">
        <f t="shared" si="189"/>
        <v>0.13372708957352741</v>
      </c>
      <c r="DP28" s="337">
        <f t="shared" si="189"/>
        <v>0.12311804297801832</v>
      </c>
      <c r="DQ28" s="337">
        <f t="shared" si="189"/>
        <v>0.11112094388185234</v>
      </c>
      <c r="DR28" s="337">
        <f t="shared" si="189"/>
        <v>0.11011070937016587</v>
      </c>
      <c r="DS28" s="337">
        <f t="shared" si="189"/>
        <v>0.10300607098911074</v>
      </c>
      <c r="DT28" s="203"/>
      <c r="DV28" s="203"/>
      <c r="DW28" s="203"/>
      <c r="DX28" s="203"/>
      <c r="DY28" s="203"/>
      <c r="DZ28" s="203"/>
      <c r="EA28" s="203"/>
      <c r="EB28" s="203"/>
      <c r="EX28" s="438">
        <v>11467.599999999999</v>
      </c>
      <c r="EY28" s="438">
        <v>11975.663999999999</v>
      </c>
      <c r="EZ28" s="438">
        <v>12397.187</v>
      </c>
      <c r="FA28" s="595">
        <v>12682.599999999999</v>
      </c>
      <c r="FB28" s="337">
        <v>0.13081549230474332</v>
      </c>
      <c r="FC28" s="337">
        <v>0.14064427717946315</v>
      </c>
      <c r="FD28" s="576">
        <v>0.13059834545713889</v>
      </c>
    </row>
    <row r="29" spans="1:160">
      <c r="A29" s="203"/>
      <c r="B29" s="203" t="s">
        <v>241</v>
      </c>
      <c r="C29" s="203"/>
      <c r="D29" s="203"/>
      <c r="E29" s="203"/>
      <c r="F29" s="203"/>
      <c r="G29" s="336"/>
      <c r="H29" s="336">
        <f t="shared" ref="H29:AM29" si="190">H28-G28</f>
        <v>74</v>
      </c>
      <c r="I29" s="336">
        <f t="shared" si="190"/>
        <v>124</v>
      </c>
      <c r="J29" s="336">
        <f t="shared" si="190"/>
        <v>92</v>
      </c>
      <c r="K29" s="336">
        <f t="shared" si="190"/>
        <v>40</v>
      </c>
      <c r="L29" s="336">
        <f t="shared" si="190"/>
        <v>160.98999999999978</v>
      </c>
      <c r="M29" s="336">
        <f t="shared" si="190"/>
        <v>65.010000000000218</v>
      </c>
      <c r="N29" s="336">
        <f t="shared" si="190"/>
        <v>24</v>
      </c>
      <c r="O29" s="336">
        <f t="shared" si="190"/>
        <v>-49.47400000000016</v>
      </c>
      <c r="P29" s="336">
        <f t="shared" si="190"/>
        <v>50.369000000000142</v>
      </c>
      <c r="Q29" s="336">
        <f t="shared" si="190"/>
        <v>168.10500000000002</v>
      </c>
      <c r="R29" s="336">
        <f t="shared" si="190"/>
        <v>139</v>
      </c>
      <c r="S29" s="336">
        <f t="shared" si="190"/>
        <v>87</v>
      </c>
      <c r="T29" s="336">
        <f t="shared" si="190"/>
        <v>52</v>
      </c>
      <c r="U29" s="336">
        <f t="shared" si="190"/>
        <v>110</v>
      </c>
      <c r="V29" s="336">
        <f t="shared" si="190"/>
        <v>120</v>
      </c>
      <c r="W29" s="336">
        <f t="shared" si="190"/>
        <v>59</v>
      </c>
      <c r="X29" s="336">
        <f t="shared" si="190"/>
        <v>32</v>
      </c>
      <c r="Y29" s="336">
        <f t="shared" si="190"/>
        <v>7</v>
      </c>
      <c r="Z29" s="336">
        <f t="shared" si="190"/>
        <v>83</v>
      </c>
      <c r="AA29" s="336">
        <f t="shared" si="190"/>
        <v>155.09699999999975</v>
      </c>
      <c r="AB29" s="336">
        <f t="shared" si="190"/>
        <v>159.42000000000007</v>
      </c>
      <c r="AC29" s="336">
        <f t="shared" si="190"/>
        <v>199.13500000000022</v>
      </c>
      <c r="AD29" s="336">
        <f t="shared" si="190"/>
        <v>272.44000000000051</v>
      </c>
      <c r="AE29" s="336">
        <f t="shared" si="190"/>
        <v>246.20799999999872</v>
      </c>
      <c r="AF29" s="336">
        <f t="shared" si="190"/>
        <v>221.70000000000073</v>
      </c>
      <c r="AG29" s="336">
        <f t="shared" si="190"/>
        <v>271.30000000000018</v>
      </c>
      <c r="AH29" s="336">
        <f t="shared" si="190"/>
        <v>364.13299999999981</v>
      </c>
      <c r="AI29" s="336">
        <f t="shared" si="190"/>
        <v>241.65899999999965</v>
      </c>
      <c r="AJ29" s="336">
        <f t="shared" si="190"/>
        <v>110.05200000000059</v>
      </c>
      <c r="AK29" s="336">
        <f t="shared" si="190"/>
        <v>291.25600000000031</v>
      </c>
      <c r="AL29" s="336">
        <f t="shared" si="190"/>
        <v>170.39999999999873</v>
      </c>
      <c r="AM29" s="336">
        <f t="shared" si="190"/>
        <v>35.565000000000509</v>
      </c>
      <c r="AN29" s="336">
        <f t="shared" ref="AN29:BK29" si="191">AN28-AM28</f>
        <v>223.70300000000043</v>
      </c>
      <c r="AO29" s="336">
        <f t="shared" si="191"/>
        <v>231.45500000000084</v>
      </c>
      <c r="AP29" s="336">
        <f t="shared" si="191"/>
        <v>266.33099999999831</v>
      </c>
      <c r="AQ29" s="336">
        <f t="shared" si="191"/>
        <v>259.14600000000064</v>
      </c>
      <c r="AR29" s="336">
        <f t="shared" si="191"/>
        <v>202.70200000000023</v>
      </c>
      <c r="AS29" s="336">
        <f t="shared" si="191"/>
        <v>217.29800000000068</v>
      </c>
      <c r="AT29" s="336">
        <f t="shared" si="191"/>
        <v>146.46799999999894</v>
      </c>
      <c r="AU29" s="336">
        <f t="shared" si="191"/>
        <v>99.532000000000153</v>
      </c>
      <c r="AV29" s="336">
        <f t="shared" si="191"/>
        <v>171.6260000000002</v>
      </c>
      <c r="AW29" s="336">
        <f t="shared" si="191"/>
        <v>135.3739999999998</v>
      </c>
      <c r="AX29" s="336">
        <f t="shared" si="191"/>
        <v>88.963999999999942</v>
      </c>
      <c r="AY29" s="336">
        <f t="shared" si="191"/>
        <v>113.42100000000028</v>
      </c>
      <c r="AZ29" s="336">
        <f t="shared" si="191"/>
        <v>192.51499999999942</v>
      </c>
      <c r="BA29" s="336">
        <f t="shared" si="191"/>
        <v>528.14800000000105</v>
      </c>
      <c r="BB29" s="336">
        <f t="shared" si="191"/>
        <v>262.72099999999955</v>
      </c>
      <c r="BC29" s="336">
        <f t="shared" si="191"/>
        <v>203.71500000000015</v>
      </c>
      <c r="BD29" s="336">
        <f t="shared" si="191"/>
        <v>158.31599999999889</v>
      </c>
      <c r="BE29" s="336">
        <f t="shared" si="191"/>
        <v>291.84600000000137</v>
      </c>
      <c r="BF29" s="336">
        <f t="shared" si="191"/>
        <v>201.18599999999969</v>
      </c>
      <c r="BG29" s="336">
        <f t="shared" si="191"/>
        <v>119.67900000000009</v>
      </c>
      <c r="BH29" s="336">
        <f t="shared" si="191"/>
        <v>65.778999999998632</v>
      </c>
      <c r="BI29" s="336">
        <f t="shared" si="191"/>
        <v>278.29299999999967</v>
      </c>
      <c r="BJ29" s="336">
        <f t="shared" si="191"/>
        <v>349.01699999999983</v>
      </c>
      <c r="BK29" s="336">
        <f t="shared" si="191"/>
        <v>408.06400000000031</v>
      </c>
      <c r="BL29" s="336">
        <f t="shared" ref="BL29:BR29" si="192">BL28-BK28</f>
        <v>431.52300000000105</v>
      </c>
      <c r="BM29" s="336">
        <f t="shared" si="192"/>
        <v>303.73599999999897</v>
      </c>
      <c r="BN29" s="336">
        <f t="shared" si="192"/>
        <v>356.77400000000125</v>
      </c>
      <c r="BO29" s="336">
        <f>BO28-BN28</f>
        <v>339.29599999999846</v>
      </c>
      <c r="BP29" s="336">
        <f>BP28-BO28</f>
        <v>340</v>
      </c>
      <c r="BQ29" s="336">
        <f t="shared" si="192"/>
        <v>325</v>
      </c>
      <c r="BR29" s="336">
        <f t="shared" si="192"/>
        <v>305.70400000000154</v>
      </c>
      <c r="BS29" s="336"/>
      <c r="BT29" s="336"/>
      <c r="BU29" s="336"/>
      <c r="BV29" s="336"/>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V29" s="203"/>
      <c r="DW29" s="203"/>
      <c r="DX29" s="203"/>
      <c r="DY29" s="203"/>
      <c r="DZ29" s="203"/>
      <c r="EA29" s="203"/>
      <c r="EB29" s="203"/>
      <c r="EX29" s="336">
        <v>250</v>
      </c>
      <c r="EY29" s="336">
        <v>350</v>
      </c>
      <c r="EZ29" s="336">
        <v>340</v>
      </c>
      <c r="FA29" s="577">
        <v>321.67699999999968</v>
      </c>
      <c r="FB29" s="203"/>
      <c r="FC29" s="203"/>
      <c r="FD29" s="574"/>
    </row>
    <row r="30" spans="1:160">
      <c r="A30" s="203"/>
      <c r="B30" s="203" t="s">
        <v>3043</v>
      </c>
      <c r="C30" s="203"/>
      <c r="D30" s="203"/>
      <c r="E30" s="203"/>
      <c r="F30" s="203"/>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f>AK13+AK20+AK25</f>
        <v>193.25600000000054</v>
      </c>
      <c r="AL30" s="336"/>
      <c r="AM30" s="336"/>
      <c r="AN30" s="337">
        <f t="shared" ref="AN30:BF30" si="193">AN28/AJ28-1</f>
        <v>0.12191889796696986</v>
      </c>
      <c r="AO30" s="337">
        <f t="shared" si="193"/>
        <v>0.10655712075301405</v>
      </c>
      <c r="AP30" s="337">
        <f t="shared" si="193"/>
        <v>0.11875729434648941</v>
      </c>
      <c r="AQ30" s="337">
        <f t="shared" si="193"/>
        <v>0.15297646857862235</v>
      </c>
      <c r="AR30" s="337">
        <f t="shared" si="193"/>
        <v>0.14465242141021162</v>
      </c>
      <c r="AS30" s="337">
        <f t="shared" si="193"/>
        <v>0.13771376193772844</v>
      </c>
      <c r="AT30" s="337">
        <f t="shared" si="193"/>
        <v>0.11576428793971383</v>
      </c>
      <c r="AU30" s="337">
        <f t="shared" si="193"/>
        <v>9.0109592747936729E-2</v>
      </c>
      <c r="AV30" s="337">
        <f t="shared" si="193"/>
        <v>8.3611919456412664E-2</v>
      </c>
      <c r="AW30" s="337">
        <f t="shared" si="193"/>
        <v>7.0797593137882364E-2</v>
      </c>
      <c r="AX30" s="337">
        <f t="shared" si="193"/>
        <v>6.2268048077604554E-2</v>
      </c>
      <c r="AY30" s="337">
        <f t="shared" si="193"/>
        <v>6.3222663522402911E-2</v>
      </c>
      <c r="AZ30" s="337">
        <f t="shared" si="193"/>
        <v>6.4442593453633679E-2</v>
      </c>
      <c r="BA30" s="337">
        <f t="shared" si="193"/>
        <v>0.11035963653754188</v>
      </c>
      <c r="BB30" s="337">
        <f t="shared" si="193"/>
        <v>0.12975389461022191</v>
      </c>
      <c r="BC30" s="337">
        <f t="shared" si="193"/>
        <v>0.13857642401082848</v>
      </c>
      <c r="BD30" s="337">
        <f t="shared" si="193"/>
        <v>0.13162611743483765</v>
      </c>
      <c r="BE30" s="337">
        <f t="shared" si="193"/>
        <v>9.8696378009460073E-2</v>
      </c>
      <c r="BF30" s="337">
        <f t="shared" si="193"/>
        <v>8.9537558447748911E-2</v>
      </c>
      <c r="BG30" s="337">
        <f t="shared" ref="BG30" si="194">BG28/BC28-1</f>
        <v>7.9051444591491604E-2</v>
      </c>
      <c r="BH30" s="337">
        <f t="shared" ref="BH30" si="195">BH28/BD28-1</f>
        <v>6.8452753283964496E-2</v>
      </c>
      <c r="BI30" s="337">
        <f t="shared" ref="BI30" si="196">BI28/BE28-1</f>
        <v>6.516660809283259E-2</v>
      </c>
      <c r="BJ30" s="337">
        <f t="shared" ref="BJ30" si="197">BJ28/BF28-1</f>
        <v>7.8114476043438019E-2</v>
      </c>
      <c r="BK30" s="337">
        <f t="shared" ref="BK30" si="198">BK28/BG28-1</f>
        <v>0.10462747390353799</v>
      </c>
      <c r="BL30" s="337">
        <f t="shared" ref="BL30" si="199">BL28/BH28-1</f>
        <v>0.1385133929288056</v>
      </c>
      <c r="BM30" s="337">
        <f t="shared" ref="BM30" si="200">BM28/BI28-1</f>
        <v>0.13730768767188883</v>
      </c>
      <c r="BN30" s="337">
        <f t="shared" ref="BN30" si="201">BN28/BJ28-1</f>
        <v>0.13372708957352741</v>
      </c>
      <c r="BO30" s="337">
        <f>BO28/BK28-1</f>
        <v>0.12311804297801832</v>
      </c>
      <c r="BP30" s="337">
        <f>BP28/BL28-1</f>
        <v>0.11112094388185234</v>
      </c>
      <c r="BQ30" s="337">
        <f>BQ28/BM28-1</f>
        <v>0.11011070937016587</v>
      </c>
      <c r="BR30" s="337">
        <f>BR28/BN28-1</f>
        <v>0.10300607098911074</v>
      </c>
      <c r="BS30" s="337"/>
      <c r="BT30" s="337"/>
      <c r="BU30" s="337"/>
      <c r="BV30" s="337"/>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V30" s="203"/>
      <c r="DW30" s="203"/>
      <c r="DX30" s="203"/>
      <c r="DY30" s="203"/>
      <c r="DZ30" s="203"/>
      <c r="EA30" s="203"/>
      <c r="EB30" s="203"/>
      <c r="EX30" s="337">
        <v>0.12387278037673966</v>
      </c>
      <c r="EY30" s="337">
        <v>0.15097139482886401</v>
      </c>
      <c r="EZ30" s="337">
        <v>0.17793472779875463</v>
      </c>
      <c r="FA30" s="576">
        <v>0.13059834545713889</v>
      </c>
      <c r="FB30" s="203"/>
      <c r="FC30" s="203"/>
      <c r="FD30" s="574"/>
    </row>
    <row r="31" spans="1:160">
      <c r="A31" s="203"/>
      <c r="B31" s="203"/>
      <c r="C31" s="203"/>
      <c r="D31" s="203"/>
      <c r="E31" s="203"/>
      <c r="F31" s="203"/>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203"/>
      <c r="AF31" s="203"/>
      <c r="AG31" s="338"/>
      <c r="AH31" s="338"/>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V31" s="203"/>
      <c r="DW31" s="203"/>
      <c r="DX31" s="203"/>
      <c r="DY31" s="203"/>
      <c r="DZ31" s="203"/>
      <c r="EA31" s="203"/>
      <c r="EB31" s="203"/>
      <c r="EX31" s="338"/>
      <c r="EY31" s="338"/>
      <c r="EZ31" s="338"/>
      <c r="FA31" s="578"/>
      <c r="FB31" s="203"/>
      <c r="FC31" s="203"/>
      <c r="FD31" s="574"/>
    </row>
    <row r="32" spans="1:160">
      <c r="A32" s="203"/>
      <c r="B32" s="203"/>
      <c r="C32" s="203"/>
      <c r="D32" s="203"/>
      <c r="E32" s="203"/>
      <c r="F32" s="203"/>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203"/>
      <c r="AF32" s="203"/>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6"/>
      <c r="BP32" s="336"/>
      <c r="BQ32" s="336"/>
      <c r="BR32" s="336"/>
      <c r="BS32" s="336"/>
      <c r="BT32" s="336"/>
      <c r="BU32" s="336"/>
      <c r="BV32" s="336"/>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V32" s="203"/>
      <c r="DW32" s="203"/>
      <c r="DX32" s="203"/>
      <c r="DY32" s="203"/>
      <c r="DZ32" s="203"/>
      <c r="EA32" s="203"/>
      <c r="EB32" s="203"/>
      <c r="EX32" s="338"/>
      <c r="EY32" s="338"/>
      <c r="EZ32" s="338"/>
      <c r="FA32" s="578"/>
      <c r="FB32" s="203"/>
      <c r="FC32" s="203"/>
      <c r="FD32" s="574"/>
    </row>
    <row r="33" spans="1:160">
      <c r="A33" s="203"/>
      <c r="B33" s="341" t="s">
        <v>175</v>
      </c>
      <c r="C33" s="203"/>
      <c r="D33" s="203"/>
      <c r="E33" s="203"/>
      <c r="F33" s="203"/>
      <c r="G33" s="203"/>
      <c r="H33" s="203"/>
      <c r="I33" s="203"/>
      <c r="J33" s="203"/>
      <c r="K33" s="203"/>
      <c r="L33" s="336"/>
      <c r="M33" s="336"/>
      <c r="N33" s="336"/>
      <c r="O33" s="336">
        <v>1777</v>
      </c>
      <c r="P33" s="336">
        <v>1816</v>
      </c>
      <c r="Q33" s="336">
        <v>1913</v>
      </c>
      <c r="R33" s="336">
        <v>2000</v>
      </c>
      <c r="S33" s="336">
        <v>2059</v>
      </c>
      <c r="T33" s="336">
        <v>2085</v>
      </c>
      <c r="U33" s="336">
        <v>2117</v>
      </c>
      <c r="V33" s="336">
        <v>2193</v>
      </c>
      <c r="W33" s="336">
        <v>2212</v>
      </c>
      <c r="X33" s="336">
        <v>2247</v>
      </c>
      <c r="Y33" s="336">
        <v>2241</v>
      </c>
      <c r="Z33" s="336">
        <v>2250</v>
      </c>
      <c r="AA33" s="336">
        <v>2316.3409999999999</v>
      </c>
      <c r="AB33" s="336">
        <v>2386</v>
      </c>
      <c r="AC33" s="336">
        <v>2449.5259999999998</v>
      </c>
      <c r="AD33" s="336">
        <v>2560.2730000000001</v>
      </c>
      <c r="AE33" s="336">
        <v>2689.8</v>
      </c>
      <c r="AF33" s="336">
        <v>2753.1</v>
      </c>
      <c r="AG33" s="336">
        <v>2853</v>
      </c>
      <c r="AH33" s="336">
        <v>3050</v>
      </c>
      <c r="AI33" s="336">
        <v>3200</v>
      </c>
      <c r="AJ33" s="336">
        <v>3257</v>
      </c>
      <c r="AK33" s="336">
        <v>3316</v>
      </c>
      <c r="AL33" s="336">
        <v>3306</v>
      </c>
      <c r="AM33" s="336">
        <v>3271</v>
      </c>
      <c r="AN33" s="336">
        <v>3296</v>
      </c>
      <c r="AO33" s="336">
        <v>3341</v>
      </c>
      <c r="AP33" s="336">
        <v>3405</v>
      </c>
      <c r="AQ33" s="336">
        <f>AQ28/AQ35</f>
        <v>3469.9530516431928</v>
      </c>
      <c r="AR33" s="336">
        <v>3530</v>
      </c>
      <c r="AS33" s="336">
        <v>3570</v>
      </c>
      <c r="AT33" s="336">
        <v>3593</v>
      </c>
      <c r="AU33" s="343">
        <v>3586</v>
      </c>
      <c r="AV33" s="343">
        <v>3626</v>
      </c>
      <c r="AW33" s="343">
        <v>3623</v>
      </c>
      <c r="AX33" s="343">
        <v>3628</v>
      </c>
      <c r="AY33" s="343">
        <v>3661.76</v>
      </c>
      <c r="AZ33" s="343">
        <v>3707.1669999999999</v>
      </c>
      <c r="BA33" s="343">
        <v>3855.6370000000002</v>
      </c>
      <c r="BB33" s="343">
        <v>3932.6089999999999</v>
      </c>
      <c r="BC33" s="343">
        <v>3989</v>
      </c>
      <c r="BD33" s="343">
        <v>4021</v>
      </c>
      <c r="BE33" s="343">
        <v>4100.768</v>
      </c>
      <c r="BF33" s="343">
        <v>4153.0469999999996</v>
      </c>
      <c r="BG33" s="343">
        <v>4179</v>
      </c>
      <c r="BH33" s="343">
        <v>4190</v>
      </c>
      <c r="BI33" s="343">
        <v>4274</v>
      </c>
      <c r="BJ33" s="343">
        <v>4397.9939999999997</v>
      </c>
      <c r="BK33" s="343">
        <v>4540</v>
      </c>
      <c r="BL33" s="343">
        <v>4690.9189999999999</v>
      </c>
      <c r="BM33" s="343">
        <v>4797.3990000000003</v>
      </c>
      <c r="BN33" s="343">
        <v>4945.826</v>
      </c>
      <c r="BO33" s="343">
        <v>5089.7250000000004</v>
      </c>
      <c r="BP33" s="344">
        <f>BO33+135</f>
        <v>5224.7250000000004</v>
      </c>
      <c r="BQ33" s="344">
        <f>BP33+135</f>
        <v>5359.7250000000004</v>
      </c>
      <c r="BR33" s="336">
        <f>Fixed!S42</f>
        <v>5566.5464285714288</v>
      </c>
      <c r="BS33" s="336"/>
      <c r="BT33" s="336"/>
      <c r="BU33" s="336"/>
      <c r="BV33" s="336"/>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V33" s="203"/>
      <c r="DW33" s="203"/>
      <c r="DX33" s="203"/>
      <c r="DY33" s="203"/>
      <c r="DZ33" s="203"/>
      <c r="EA33" s="203"/>
      <c r="EB33" s="203"/>
      <c r="EX33" s="336">
        <v>4495.9542811296533</v>
      </c>
      <c r="EY33" s="336">
        <v>4668.8748538011696</v>
      </c>
      <c r="EZ33" s="336">
        <v>4823.8081712062258</v>
      </c>
      <c r="FA33" s="577">
        <v>4915.7364341085267</v>
      </c>
      <c r="FB33" s="203"/>
      <c r="FC33" s="203"/>
      <c r="FD33" s="574"/>
    </row>
    <row r="34" spans="1:160">
      <c r="A34" s="203"/>
      <c r="B34" s="340" t="s">
        <v>304</v>
      </c>
      <c r="C34" s="203"/>
      <c r="D34" s="203"/>
      <c r="E34" s="203"/>
      <c r="F34" s="203"/>
      <c r="G34" s="203"/>
      <c r="H34" s="203"/>
      <c r="I34" s="203"/>
      <c r="J34" s="203"/>
      <c r="K34" s="203"/>
      <c r="L34" s="336"/>
      <c r="M34" s="336"/>
      <c r="N34" s="336"/>
      <c r="O34" s="336"/>
      <c r="P34" s="336"/>
      <c r="Q34" s="336"/>
      <c r="R34" s="336"/>
      <c r="S34" s="336"/>
      <c r="T34" s="336"/>
      <c r="U34" s="336"/>
      <c r="V34" s="336"/>
      <c r="W34" s="336">
        <f t="shared" ref="W34:BK34" si="202">W33-V33</f>
        <v>19</v>
      </c>
      <c r="X34" s="336">
        <f t="shared" si="202"/>
        <v>35</v>
      </c>
      <c r="Y34" s="336">
        <f t="shared" si="202"/>
        <v>-6</v>
      </c>
      <c r="Z34" s="336">
        <f t="shared" si="202"/>
        <v>9</v>
      </c>
      <c r="AA34" s="336">
        <f t="shared" si="202"/>
        <v>66.340999999999894</v>
      </c>
      <c r="AB34" s="336">
        <f t="shared" si="202"/>
        <v>69.659000000000106</v>
      </c>
      <c r="AC34" s="336">
        <f t="shared" si="202"/>
        <v>63.52599999999984</v>
      </c>
      <c r="AD34" s="336">
        <f t="shared" si="202"/>
        <v>110.7470000000003</v>
      </c>
      <c r="AE34" s="336">
        <f t="shared" si="202"/>
        <v>129.52700000000004</v>
      </c>
      <c r="AF34" s="336">
        <f t="shared" si="202"/>
        <v>63.299999999999727</v>
      </c>
      <c r="AG34" s="336">
        <f t="shared" si="202"/>
        <v>99.900000000000091</v>
      </c>
      <c r="AH34" s="336">
        <f t="shared" si="202"/>
        <v>197</v>
      </c>
      <c r="AI34" s="336">
        <f t="shared" si="202"/>
        <v>150</v>
      </c>
      <c r="AJ34" s="336">
        <f t="shared" si="202"/>
        <v>57</v>
      </c>
      <c r="AK34" s="336">
        <f t="shared" si="202"/>
        <v>59</v>
      </c>
      <c r="AL34" s="336">
        <f t="shared" si="202"/>
        <v>-10</v>
      </c>
      <c r="AM34" s="336">
        <f t="shared" si="202"/>
        <v>-35</v>
      </c>
      <c r="AN34" s="336">
        <f t="shared" si="202"/>
        <v>25</v>
      </c>
      <c r="AO34" s="336">
        <f t="shared" si="202"/>
        <v>45</v>
      </c>
      <c r="AP34" s="336">
        <f t="shared" si="202"/>
        <v>64</v>
      </c>
      <c r="AQ34" s="336">
        <f t="shared" si="202"/>
        <v>64.953051643192794</v>
      </c>
      <c r="AR34" s="336">
        <f t="shared" si="202"/>
        <v>60.046948356807206</v>
      </c>
      <c r="AS34" s="336">
        <f t="shared" si="202"/>
        <v>40</v>
      </c>
      <c r="AT34" s="336">
        <f t="shared" si="202"/>
        <v>23</v>
      </c>
      <c r="AU34" s="336">
        <f t="shared" si="202"/>
        <v>-7</v>
      </c>
      <c r="AV34" s="336">
        <f t="shared" si="202"/>
        <v>40</v>
      </c>
      <c r="AW34" s="336">
        <f t="shared" si="202"/>
        <v>-3</v>
      </c>
      <c r="AX34" s="336">
        <f t="shared" si="202"/>
        <v>5</v>
      </c>
      <c r="AY34" s="336">
        <f t="shared" si="202"/>
        <v>33.760000000000218</v>
      </c>
      <c r="AZ34" s="336">
        <f t="shared" si="202"/>
        <v>45.406999999999698</v>
      </c>
      <c r="BA34" s="336">
        <f t="shared" si="202"/>
        <v>148.47000000000025</v>
      </c>
      <c r="BB34" s="336">
        <f t="shared" si="202"/>
        <v>76.971999999999753</v>
      </c>
      <c r="BC34" s="336">
        <f t="shared" si="202"/>
        <v>56.391000000000076</v>
      </c>
      <c r="BD34" s="336">
        <f t="shared" si="202"/>
        <v>32</v>
      </c>
      <c r="BE34" s="336">
        <f t="shared" si="202"/>
        <v>79.768000000000029</v>
      </c>
      <c r="BF34" s="336">
        <f t="shared" si="202"/>
        <v>52.278999999999542</v>
      </c>
      <c r="BG34" s="336">
        <f t="shared" si="202"/>
        <v>25.953000000000429</v>
      </c>
      <c r="BH34" s="336">
        <f t="shared" si="202"/>
        <v>11</v>
      </c>
      <c r="BI34" s="336">
        <f t="shared" si="202"/>
        <v>84</v>
      </c>
      <c r="BJ34" s="336">
        <f t="shared" si="202"/>
        <v>123.99399999999969</v>
      </c>
      <c r="BK34" s="336">
        <f t="shared" si="202"/>
        <v>142.00600000000031</v>
      </c>
      <c r="BL34" s="336">
        <f t="shared" ref="BL34:BR34" si="203">BL33-BK33</f>
        <v>150.91899999999987</v>
      </c>
      <c r="BM34" s="336">
        <f t="shared" si="203"/>
        <v>106.48000000000047</v>
      </c>
      <c r="BN34" s="336">
        <f t="shared" si="203"/>
        <v>148.42699999999968</v>
      </c>
      <c r="BO34" s="336">
        <f>BO33-BN33</f>
        <v>143.89900000000034</v>
      </c>
      <c r="BP34" s="336">
        <f>BP33-BO33</f>
        <v>135</v>
      </c>
      <c r="BQ34" s="336">
        <f t="shared" si="203"/>
        <v>135</v>
      </c>
      <c r="BR34" s="336">
        <f t="shared" si="203"/>
        <v>206.82142857142844</v>
      </c>
      <c r="BS34" s="336"/>
      <c r="BT34" s="336"/>
      <c r="BU34" s="336"/>
      <c r="BV34" s="336"/>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V34" s="203"/>
      <c r="DW34" s="203"/>
      <c r="DX34" s="203"/>
      <c r="DY34" s="203"/>
      <c r="DZ34" s="203"/>
      <c r="EA34" s="203"/>
      <c r="EB34" s="203"/>
      <c r="EX34" s="336">
        <v>98.014281129653682</v>
      </c>
      <c r="EY34" s="336">
        <v>128.87485380116959</v>
      </c>
      <c r="EZ34" s="336">
        <v>132.88917120622591</v>
      </c>
      <c r="FA34" s="577">
        <v>118.33743410852639</v>
      </c>
      <c r="FB34" s="203"/>
      <c r="FC34" s="203"/>
      <c r="FD34" s="574"/>
    </row>
    <row r="35" spans="1:160">
      <c r="A35" s="203"/>
      <c r="B35" s="340" t="s">
        <v>198</v>
      </c>
      <c r="C35" s="203"/>
      <c r="D35" s="203"/>
      <c r="E35" s="203"/>
      <c r="F35" s="203"/>
      <c r="G35" s="203"/>
      <c r="H35" s="203"/>
      <c r="I35" s="203"/>
      <c r="J35" s="203"/>
      <c r="K35" s="203"/>
      <c r="L35" s="336"/>
      <c r="M35" s="336"/>
      <c r="N35" s="336"/>
      <c r="O35" s="349">
        <f t="shared" ref="O35:AP35" si="204">(O11+O18+O23)/O33</f>
        <v>1.5557265053460889</v>
      </c>
      <c r="P35" s="349">
        <f t="shared" si="204"/>
        <v>1.5500523127753303</v>
      </c>
      <c r="Q35" s="349">
        <f t="shared" si="204"/>
        <v>1.5593308938839519</v>
      </c>
      <c r="R35" s="349">
        <f t="shared" si="204"/>
        <v>1.5609999999999999</v>
      </c>
      <c r="S35" s="349">
        <f t="shared" si="204"/>
        <v>1.5585235551238465</v>
      </c>
      <c r="T35" s="349">
        <f t="shared" si="204"/>
        <v>1.5640287769784174</v>
      </c>
      <c r="U35" s="349">
        <f t="shared" si="204"/>
        <v>1.5923476617855457</v>
      </c>
      <c r="V35" s="349">
        <f t="shared" si="204"/>
        <v>1.5918832649338805</v>
      </c>
      <c r="W35" s="349">
        <f t="shared" si="204"/>
        <v>1.604882459312839</v>
      </c>
      <c r="X35" s="349">
        <f t="shared" si="204"/>
        <v>1.5941255006675568</v>
      </c>
      <c r="Y35" s="349">
        <f t="shared" si="204"/>
        <v>1.6015171798304328</v>
      </c>
      <c r="Z35" s="349">
        <f t="shared" si="204"/>
        <v>1.6319999999999999</v>
      </c>
      <c r="AA35" s="349">
        <f t="shared" si="204"/>
        <v>1.6522165777836684</v>
      </c>
      <c r="AB35" s="349">
        <f t="shared" si="204"/>
        <v>1.6707950544844927</v>
      </c>
      <c r="AC35" s="349">
        <f t="shared" si="204"/>
        <v>1.7087599805023503</v>
      </c>
      <c r="AD35" s="349">
        <f t="shared" si="204"/>
        <v>1.7412564988186807</v>
      </c>
      <c r="AE35" s="349">
        <f t="shared" si="204"/>
        <v>1.7489404416685252</v>
      </c>
      <c r="AF35" s="349">
        <f t="shared" si="204"/>
        <v>1.7892557480658167</v>
      </c>
      <c r="AG35" s="349">
        <f t="shared" si="204"/>
        <v>1.8216964598668068</v>
      </c>
      <c r="AH35" s="349">
        <f t="shared" si="204"/>
        <v>1.8234206557377048</v>
      </c>
      <c r="AI35" s="349">
        <f t="shared" si="204"/>
        <v>1.8134662499999998</v>
      </c>
      <c r="AJ35" s="349">
        <f t="shared" si="204"/>
        <v>1.8155185753761132</v>
      </c>
      <c r="AK35" s="349">
        <f t="shared" si="204"/>
        <v>1.8710494571773222</v>
      </c>
      <c r="AL35" s="349">
        <f t="shared" si="204"/>
        <v>1.928251663641863</v>
      </c>
      <c r="AM35" s="349">
        <f t="shared" si="204"/>
        <v>1.9597569550596148</v>
      </c>
      <c r="AN35" s="349">
        <f t="shared" si="204"/>
        <v>2.0127633495145631</v>
      </c>
      <c r="AO35" s="349">
        <f t="shared" si="204"/>
        <v>2.0549305597126613</v>
      </c>
      <c r="AP35" s="349">
        <f t="shared" si="204"/>
        <v>2.0945239353891334</v>
      </c>
      <c r="AQ35" s="349">
        <v>2.13</v>
      </c>
      <c r="AR35" s="349">
        <f t="shared" ref="AR35:BN35" si="205">(AR11+AR18+AR23)/AR33</f>
        <v>2.1511903682719549</v>
      </c>
      <c r="AS35" s="349">
        <f t="shared" si="205"/>
        <v>2.1879551820728294</v>
      </c>
      <c r="AT35" s="349">
        <f t="shared" si="205"/>
        <v>2.2147141664347343</v>
      </c>
      <c r="AU35" s="349">
        <f t="shared" si="205"/>
        <v>2.2467930842163972</v>
      </c>
      <c r="AV35" s="349">
        <f t="shared" si="205"/>
        <v>2.2693397683397682</v>
      </c>
      <c r="AW35" s="349">
        <f t="shared" si="205"/>
        <v>2.3085840463704113</v>
      </c>
      <c r="AX35" s="349">
        <f t="shared" si="205"/>
        <v>2.3299239250275634</v>
      </c>
      <c r="AY35" s="349">
        <f t="shared" si="205"/>
        <v>2.3394173839902122</v>
      </c>
      <c r="AZ35" s="349">
        <f t="shared" si="205"/>
        <v>2.3626936687772631</v>
      </c>
      <c r="BA35" s="349">
        <f t="shared" si="205"/>
        <v>2.4086935569920094</v>
      </c>
      <c r="BB35" s="349">
        <f t="shared" si="205"/>
        <v>2.4283545605474637</v>
      </c>
      <c r="BC35" s="349">
        <f t="shared" si="205"/>
        <v>2.445095011281023</v>
      </c>
      <c r="BD35" s="349">
        <f t="shared" si="205"/>
        <v>2.465008704302412</v>
      </c>
      <c r="BE35" s="349">
        <f t="shared" si="205"/>
        <v>2.4882280587441183</v>
      </c>
      <c r="BF35" s="349">
        <f t="shared" si="205"/>
        <v>2.5053489642664775</v>
      </c>
      <c r="BG35" s="349">
        <f t="shared" si="205"/>
        <v>2.5184280928451783</v>
      </c>
      <c r="BH35" s="349">
        <f t="shared" si="205"/>
        <v>2.5275155131264913</v>
      </c>
      <c r="BI35" s="349">
        <f t="shared" si="205"/>
        <v>2.5429534394010291</v>
      </c>
      <c r="BJ35" s="349">
        <f t="shared" si="205"/>
        <v>2.550617395112408</v>
      </c>
      <c r="BK35" s="349">
        <f t="shared" si="205"/>
        <v>2.5607189427312771</v>
      </c>
      <c r="BL35" s="349">
        <f t="shared" si="205"/>
        <v>2.5703251324527243</v>
      </c>
      <c r="BM35" s="349">
        <f t="shared" si="205"/>
        <v>2.5765884805495642</v>
      </c>
      <c r="BN35" s="349">
        <f t="shared" si="205"/>
        <v>2.5714000047717005</v>
      </c>
      <c r="BO35" s="349">
        <f>(BO11+BO18+BO23)/BO33</f>
        <v>2.5653631581274032</v>
      </c>
      <c r="BP35" s="349">
        <f>(BP11+BP18+BP23)/BP33</f>
        <v>2.5641527544511908</v>
      </c>
      <c r="BQ35" s="349">
        <f>(BQ11+BQ18+BQ23)/BQ33</f>
        <v>2.5602046746801372</v>
      </c>
      <c r="BR35" s="349">
        <f>(BR11+BR18+BR23)/BR33</f>
        <v>2.52</v>
      </c>
      <c r="BS35" s="349"/>
      <c r="BT35" s="349"/>
      <c r="BU35" s="349"/>
      <c r="BV35" s="349"/>
      <c r="BW35" s="203"/>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V35" s="203"/>
      <c r="DW35" s="203"/>
      <c r="DX35" s="203"/>
      <c r="DY35" s="203"/>
      <c r="DZ35" s="203"/>
      <c r="EA35" s="203"/>
      <c r="EB35" s="203"/>
      <c r="EX35" s="350">
        <v>2.5506487128064501</v>
      </c>
      <c r="EY35" s="350">
        <v>2.5649999999999999</v>
      </c>
      <c r="EZ35" s="350">
        <v>2.57</v>
      </c>
      <c r="FA35" s="579">
        <v>2.58</v>
      </c>
      <c r="FB35" s="203"/>
      <c r="FC35" s="203"/>
      <c r="FD35" s="574"/>
    </row>
    <row r="36" spans="1:160">
      <c r="A36" s="203"/>
      <c r="B36" s="340" t="s">
        <v>818</v>
      </c>
      <c r="C36" s="203"/>
      <c r="D36" s="203"/>
      <c r="E36" s="203"/>
      <c r="F36" s="203"/>
      <c r="G36" s="203"/>
      <c r="H36" s="203"/>
      <c r="I36" s="203"/>
      <c r="J36" s="203"/>
      <c r="K36" s="203"/>
      <c r="L36" s="336"/>
      <c r="M36" s="336"/>
      <c r="N36" s="336"/>
      <c r="O36" s="349"/>
      <c r="P36" s="349"/>
      <c r="Q36" s="349"/>
      <c r="R36" s="349"/>
      <c r="S36" s="349"/>
      <c r="T36" s="349"/>
      <c r="U36" s="349"/>
      <c r="V36" s="349"/>
      <c r="W36" s="349"/>
      <c r="X36" s="349"/>
      <c r="Y36" s="349"/>
      <c r="Z36" s="349"/>
      <c r="AA36" s="337">
        <f t="shared" ref="AA36:BN36" si="206">AA33/AA7</f>
        <v>0.34804665783154976</v>
      </c>
      <c r="AB36" s="337">
        <f t="shared" si="206"/>
        <v>0.35563314101420429</v>
      </c>
      <c r="AC36" s="337">
        <f t="shared" si="206"/>
        <v>0.35910074329179953</v>
      </c>
      <c r="AD36" s="337">
        <f t="shared" si="206"/>
        <v>0.35686868298274727</v>
      </c>
      <c r="AE36" s="337">
        <f t="shared" si="206"/>
        <v>0.37314799400699189</v>
      </c>
      <c r="AF36" s="337">
        <f t="shared" si="206"/>
        <v>0.37535789272761977</v>
      </c>
      <c r="AG36" s="337">
        <f t="shared" si="206"/>
        <v>0.38394250955482584</v>
      </c>
      <c r="AH36" s="337">
        <f t="shared" si="206"/>
        <v>0.40736380191968524</v>
      </c>
      <c r="AI36" s="337">
        <f t="shared" si="206"/>
        <v>0.4242355143457891</v>
      </c>
      <c r="AJ36" s="337">
        <f t="shared" si="206"/>
        <v>0.42702926087882281</v>
      </c>
      <c r="AK36" s="337">
        <f t="shared" si="206"/>
        <v>0.42794827452701129</v>
      </c>
      <c r="AL36" s="337">
        <f t="shared" si="206"/>
        <v>0.4201832868475387</v>
      </c>
      <c r="AM36" s="337">
        <f t="shared" si="206"/>
        <v>0.41331498455723303</v>
      </c>
      <c r="AN36" s="337">
        <f t="shared" si="206"/>
        <v>0.41262063300962565</v>
      </c>
      <c r="AO36" s="337">
        <f t="shared" si="206"/>
        <v>0.41458428339646403</v>
      </c>
      <c r="AP36" s="337">
        <f t="shared" si="206"/>
        <v>0.41853974984475312</v>
      </c>
      <c r="AQ36" s="337">
        <f t="shared" si="206"/>
        <v>0.42280407598917907</v>
      </c>
      <c r="AR36" s="337">
        <f t="shared" si="206"/>
        <v>0.42617409151273694</v>
      </c>
      <c r="AS36" s="337">
        <f t="shared" si="206"/>
        <v>0.42693135613489597</v>
      </c>
      <c r="AT36" s="337">
        <f t="shared" si="206"/>
        <v>0.42632123690824203</v>
      </c>
      <c r="AU36" s="337">
        <f t="shared" si="206"/>
        <v>0.44507881345413924</v>
      </c>
      <c r="AV36" s="337">
        <f t="shared" si="206"/>
        <v>0.41667949877110577</v>
      </c>
      <c r="AW36" s="337">
        <f t="shared" si="206"/>
        <v>0.41339570972158829</v>
      </c>
      <c r="AX36" s="337">
        <f t="shared" si="206"/>
        <v>0.41056166487960688</v>
      </c>
      <c r="AY36" s="337">
        <f t="shared" si="206"/>
        <v>0.41358131014023947</v>
      </c>
      <c r="AZ36" s="337">
        <f t="shared" si="206"/>
        <v>0.41764778117008217</v>
      </c>
      <c r="BA36" s="337">
        <f t="shared" si="206"/>
        <v>0.43313261992280844</v>
      </c>
      <c r="BB36" s="337">
        <f t="shared" si="206"/>
        <v>0.43912990704996963</v>
      </c>
      <c r="BC36" s="337">
        <f t="shared" si="206"/>
        <v>0.44286679701390763</v>
      </c>
      <c r="BD36" s="337">
        <f t="shared" si="206"/>
        <v>0.44201385072001759</v>
      </c>
      <c r="BE36" s="337">
        <f t="shared" si="206"/>
        <v>0.44131644362119066</v>
      </c>
      <c r="BF36" s="337">
        <f t="shared" si="206"/>
        <v>0.43402869803315003</v>
      </c>
      <c r="BG36" s="337">
        <f t="shared" si="206"/>
        <v>0.43143386461607391</v>
      </c>
      <c r="BH36" s="337">
        <f t="shared" si="206"/>
        <v>0.41425635053008003</v>
      </c>
      <c r="BI36" s="337">
        <f t="shared" si="206"/>
        <v>0.40448595173159546</v>
      </c>
      <c r="BJ36" s="337">
        <f t="shared" si="206"/>
        <v>0.38044213353069978</v>
      </c>
      <c r="BK36" s="337">
        <f t="shared" si="206"/>
        <v>0.36356129267020393</v>
      </c>
      <c r="BL36" s="337">
        <f t="shared" si="206"/>
        <v>0.34874906138713968</v>
      </c>
      <c r="BM36" s="337">
        <f t="shared" si="206"/>
        <v>0.32965928145613588</v>
      </c>
      <c r="BN36" s="337">
        <f t="shared" si="206"/>
        <v>0.32036894638632041</v>
      </c>
      <c r="BO36" s="337">
        <f>BO33/BO7</f>
        <v>0.31907664885968134</v>
      </c>
      <c r="BP36" s="337">
        <f>BP33/BP7</f>
        <v>0.31952733395966026</v>
      </c>
      <c r="BQ36" s="337">
        <f>BQ33/BQ7</f>
        <v>0.32091436786984201</v>
      </c>
      <c r="BR36" s="337">
        <f>BR33/BR7</f>
        <v>0.32864429050008537</v>
      </c>
      <c r="BS36" s="337"/>
      <c r="BT36" s="337"/>
      <c r="BU36" s="337"/>
      <c r="BV36" s="337"/>
      <c r="BW36" s="203"/>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V36" s="203"/>
      <c r="DW36" s="203"/>
      <c r="DX36" s="203"/>
      <c r="DY36" s="203"/>
      <c r="DZ36" s="203"/>
      <c r="EA36" s="203"/>
      <c r="EB36" s="203"/>
      <c r="EX36" s="337">
        <v>0.37279212375179727</v>
      </c>
      <c r="EY36" s="337">
        <v>0.3487561682943513</v>
      </c>
      <c r="EZ36" s="337">
        <v>0.34307027183612659</v>
      </c>
      <c r="FA36" s="576">
        <v>0.31591693857428776</v>
      </c>
      <c r="FB36" s="203"/>
      <c r="FC36" s="203"/>
      <c r="FD36" s="574"/>
    </row>
    <row r="37" spans="1:160">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338"/>
      <c r="AD37" s="338"/>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V37" s="203"/>
      <c r="DW37" s="203"/>
      <c r="DX37" s="203"/>
      <c r="DY37" s="203"/>
      <c r="DZ37" s="203"/>
      <c r="EA37" s="203"/>
      <c r="EB37" s="203"/>
      <c r="EX37" s="203"/>
      <c r="EY37" s="203"/>
      <c r="EZ37" s="203"/>
      <c r="FA37" s="574"/>
      <c r="FB37" s="203"/>
      <c r="FC37" s="203"/>
      <c r="FD37" s="574"/>
    </row>
    <row r="38" spans="1:160">
      <c r="A38" s="203"/>
      <c r="B38" s="205" t="s">
        <v>230</v>
      </c>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V38" s="203"/>
      <c r="DW38" s="203"/>
      <c r="DX38" s="203"/>
      <c r="DY38" s="203"/>
      <c r="DZ38" s="203"/>
      <c r="EA38" s="203"/>
      <c r="EB38" s="203"/>
      <c r="EX38" s="203"/>
      <c r="EY38" s="203"/>
      <c r="EZ38" s="203"/>
      <c r="FA38" s="574"/>
      <c r="FB38" s="203"/>
      <c r="FC38" s="203"/>
      <c r="FD38" s="574"/>
    </row>
    <row r="39" spans="1:160">
      <c r="A39" s="203"/>
      <c r="B39" s="203" t="s">
        <v>175</v>
      </c>
      <c r="C39" s="203"/>
      <c r="D39" s="203"/>
      <c r="E39" s="203"/>
      <c r="F39" s="203"/>
      <c r="G39" s="203"/>
      <c r="H39" s="203"/>
      <c r="I39" s="203"/>
      <c r="J39" s="203"/>
      <c r="K39" s="203"/>
      <c r="L39" s="203">
        <v>361.9</v>
      </c>
      <c r="M39" s="203"/>
      <c r="N39" s="203"/>
      <c r="O39" s="203">
        <v>382.4</v>
      </c>
      <c r="P39" s="203">
        <v>372.6</v>
      </c>
      <c r="Q39" s="203">
        <v>366.2</v>
      </c>
      <c r="R39" s="203">
        <v>367.3</v>
      </c>
      <c r="S39" s="203">
        <v>366.9</v>
      </c>
      <c r="T39" s="203">
        <v>352.3</v>
      </c>
      <c r="U39" s="203">
        <v>359</v>
      </c>
      <c r="V39" s="203">
        <v>353.5</v>
      </c>
      <c r="W39" s="203">
        <v>363.5</v>
      </c>
      <c r="X39" s="203">
        <v>366.9</v>
      </c>
      <c r="Y39" s="203">
        <v>370.3</v>
      </c>
      <c r="Z39" s="203">
        <v>407.6</v>
      </c>
      <c r="AA39" s="203">
        <v>390.8</v>
      </c>
      <c r="AB39" s="351">
        <v>351.2</v>
      </c>
      <c r="AC39" s="351">
        <v>349.9</v>
      </c>
      <c r="AD39" s="351">
        <v>354.6</v>
      </c>
      <c r="AE39" s="351">
        <v>355.1</v>
      </c>
      <c r="AF39" s="351">
        <v>344.3</v>
      </c>
      <c r="AG39" s="351">
        <v>349.9</v>
      </c>
      <c r="AH39" s="351">
        <v>366.4</v>
      </c>
      <c r="AI39" s="351">
        <v>353.7</v>
      </c>
      <c r="AJ39" s="351">
        <v>358.4</v>
      </c>
      <c r="AK39" s="351">
        <v>349.5</v>
      </c>
      <c r="AL39" s="351">
        <v>358.2</v>
      </c>
      <c r="AM39" s="351">
        <v>358.4</v>
      </c>
      <c r="AN39" s="351">
        <v>359</v>
      </c>
      <c r="AO39" s="351">
        <v>359.1</v>
      </c>
      <c r="AP39" s="351">
        <v>371.7</v>
      </c>
      <c r="AQ39" s="351">
        <v>375.7</v>
      </c>
      <c r="AR39" s="351">
        <v>373.9</v>
      </c>
      <c r="AS39" s="351">
        <v>377.8</v>
      </c>
      <c r="AT39" s="351">
        <v>386.2</v>
      </c>
      <c r="AU39" s="351">
        <v>390.3</v>
      </c>
      <c r="AV39" s="351">
        <v>396.5</v>
      </c>
      <c r="AW39" s="351">
        <v>398.5</v>
      </c>
      <c r="AX39" s="351">
        <v>410.3</v>
      </c>
      <c r="AY39" s="351">
        <v>416.9</v>
      </c>
      <c r="AZ39" s="351">
        <v>405.7</v>
      </c>
      <c r="BA39" s="351">
        <v>406.5</v>
      </c>
      <c r="BB39" s="351">
        <v>405.2</v>
      </c>
      <c r="BC39" s="351">
        <v>411.4</v>
      </c>
      <c r="BD39" s="351">
        <v>412.8</v>
      </c>
      <c r="BE39" s="351">
        <v>411.5</v>
      </c>
      <c r="BF39" s="351">
        <v>422.6</v>
      </c>
      <c r="BG39" s="351">
        <v>422.4</v>
      </c>
      <c r="BH39" s="351">
        <v>427.3</v>
      </c>
      <c r="BI39" s="351">
        <v>415.4</v>
      </c>
      <c r="BJ39" s="351">
        <v>419.5</v>
      </c>
      <c r="BK39" s="351">
        <v>420.4</v>
      </c>
      <c r="BL39" s="351">
        <v>420.8</v>
      </c>
      <c r="BM39" s="351">
        <v>418.7</v>
      </c>
      <c r="BN39" s="351">
        <v>426.3</v>
      </c>
      <c r="BO39" s="351">
        <v>421.7</v>
      </c>
      <c r="BP39" s="336"/>
      <c r="BQ39" s="336"/>
      <c r="BR39" s="336"/>
      <c r="BS39" s="336"/>
      <c r="BT39" s="336"/>
      <c r="BU39" s="336"/>
      <c r="BV39" s="336"/>
      <c r="BW39" s="203"/>
      <c r="BX39" s="337">
        <f t="shared" ref="BX39:CG42" si="207">W39/S39-1</f>
        <v>-9.2668301989642377E-3</v>
      </c>
      <c r="BY39" s="337">
        <f t="shared" si="207"/>
        <v>4.1441952881067223E-2</v>
      </c>
      <c r="BZ39" s="337">
        <f t="shared" si="207"/>
        <v>3.1476323119777216E-2</v>
      </c>
      <c r="CA39" s="337">
        <f t="shared" si="207"/>
        <v>0.15304101838755302</v>
      </c>
      <c r="CB39" s="337">
        <f t="shared" si="207"/>
        <v>7.5103163686382368E-2</v>
      </c>
      <c r="CC39" s="337">
        <f t="shared" si="207"/>
        <v>-4.279095121286447E-2</v>
      </c>
      <c r="CD39" s="337">
        <f t="shared" si="207"/>
        <v>-5.5090467188765979E-2</v>
      </c>
      <c r="CE39" s="337">
        <f t="shared" si="207"/>
        <v>-0.13002944062806676</v>
      </c>
      <c r="CF39" s="337">
        <f t="shared" si="207"/>
        <v>-9.1351074718526104E-2</v>
      </c>
      <c r="CG39" s="337">
        <f t="shared" si="207"/>
        <v>-1.9646924829157086E-2</v>
      </c>
      <c r="CH39" s="337">
        <f t="shared" ref="CH39:CQ42" si="208">AG39/AC39-1</f>
        <v>0</v>
      </c>
      <c r="CI39" s="337">
        <f t="shared" si="208"/>
        <v>3.3276931754089079E-2</v>
      </c>
      <c r="CJ39" s="337">
        <f t="shared" si="208"/>
        <v>-3.9425513939735923E-3</v>
      </c>
      <c r="CK39" s="337">
        <f t="shared" si="208"/>
        <v>4.0952657566075912E-2</v>
      </c>
      <c r="CL39" s="337">
        <f t="shared" si="208"/>
        <v>-1.1431837667904565E-3</v>
      </c>
      <c r="CM39" s="337">
        <f t="shared" si="208"/>
        <v>-2.2379912663755386E-2</v>
      </c>
      <c r="CN39" s="337">
        <f t="shared" si="208"/>
        <v>1.3288097257562859E-2</v>
      </c>
      <c r="CO39" s="337">
        <f t="shared" si="208"/>
        <v>1.6741071428572063E-3</v>
      </c>
      <c r="CP39" s="337">
        <f t="shared" si="208"/>
        <v>2.7467811158798261E-2</v>
      </c>
      <c r="CQ39" s="337">
        <f t="shared" si="208"/>
        <v>3.7688442211055273E-2</v>
      </c>
      <c r="CR39" s="337">
        <f t="shared" ref="CR39:DA42" si="209">AQ39/AM39-1</f>
        <v>4.8270089285714413E-2</v>
      </c>
      <c r="CS39" s="337">
        <f t="shared" si="209"/>
        <v>4.1504178272980363E-2</v>
      </c>
      <c r="CT39" s="337">
        <f t="shared" si="209"/>
        <v>5.2074631021999496E-2</v>
      </c>
      <c r="CU39" s="337">
        <f t="shared" si="209"/>
        <v>3.9009954264191515E-2</v>
      </c>
      <c r="CV39" s="337">
        <f t="shared" si="209"/>
        <v>3.8860793186052733E-2</v>
      </c>
      <c r="CW39" s="337">
        <f t="shared" si="209"/>
        <v>6.0443968975661955E-2</v>
      </c>
      <c r="CX39" s="337">
        <f t="shared" si="209"/>
        <v>5.4790894653255595E-2</v>
      </c>
      <c r="CY39" s="337">
        <f t="shared" si="209"/>
        <v>6.2402900051786725E-2</v>
      </c>
      <c r="CZ39" s="337">
        <f t="shared" si="209"/>
        <v>6.8152703048936614E-2</v>
      </c>
      <c r="DA39" s="337">
        <f t="shared" si="209"/>
        <v>2.3203026481714906E-2</v>
      </c>
      <c r="DB39" s="337">
        <f t="shared" ref="DB39:DK42" si="210">BA39/AW39-1</f>
        <v>2.0075282308657405E-2</v>
      </c>
      <c r="DC39" s="337">
        <f t="shared" si="210"/>
        <v>-1.2429929320009858E-2</v>
      </c>
      <c r="DD39" s="337">
        <f t="shared" si="210"/>
        <v>-1.319261213720313E-2</v>
      </c>
      <c r="DE39" s="337">
        <f t="shared" si="210"/>
        <v>1.7500616218881104E-2</v>
      </c>
      <c r="DF39" s="337">
        <f t="shared" si="210"/>
        <v>1.2300123001230068E-2</v>
      </c>
      <c r="DG39" s="337">
        <f t="shared" si="210"/>
        <v>4.2941757156959692E-2</v>
      </c>
      <c r="DH39" s="337">
        <f t="shared" si="210"/>
        <v>2.673796791443861E-2</v>
      </c>
      <c r="DI39" s="337">
        <f t="shared" si="210"/>
        <v>3.5125968992248069E-2</v>
      </c>
      <c r="DJ39" s="337">
        <f t="shared" si="210"/>
        <v>9.4775212636695194E-3</v>
      </c>
      <c r="DK39" s="337">
        <f t="shared" si="210"/>
        <v>-7.3355418835778785E-3</v>
      </c>
      <c r="DL39" s="337">
        <f t="shared" ref="DL39:DN42" si="211">BK39/BG39-1</f>
        <v>-4.7348484848485084E-3</v>
      </c>
      <c r="DM39" s="337">
        <f t="shared" si="211"/>
        <v>-1.5211794991809025E-2</v>
      </c>
      <c r="DN39" s="337">
        <f t="shared" si="211"/>
        <v>7.9441502166586186E-3</v>
      </c>
      <c r="DO39" s="203"/>
      <c r="DP39" s="203"/>
      <c r="DQ39" s="203"/>
      <c r="DR39" s="203"/>
      <c r="DS39" s="203"/>
      <c r="DT39" s="203"/>
      <c r="DV39" s="203"/>
      <c r="DW39" s="203"/>
      <c r="DX39" s="203"/>
      <c r="DY39" s="203"/>
      <c r="DZ39" s="203"/>
      <c r="EA39" s="203"/>
      <c r="EB39" s="203"/>
      <c r="EX39" s="352"/>
      <c r="EY39" s="352"/>
      <c r="EZ39" s="354">
        <v>410.62608918766227</v>
      </c>
      <c r="FA39" s="577"/>
      <c r="FB39" s="203"/>
      <c r="FC39" s="203"/>
      <c r="FD39" s="574"/>
    </row>
    <row r="40" spans="1:160">
      <c r="A40" s="203"/>
      <c r="B40" s="203" t="s">
        <v>231</v>
      </c>
      <c r="C40" s="203"/>
      <c r="D40" s="203"/>
      <c r="E40" s="203"/>
      <c r="F40" s="203"/>
      <c r="G40" s="203"/>
      <c r="H40" s="203"/>
      <c r="I40" s="203"/>
      <c r="J40" s="203"/>
      <c r="K40" s="203"/>
      <c r="L40" s="203">
        <v>228.8</v>
      </c>
      <c r="M40" s="203"/>
      <c r="N40" s="203"/>
      <c r="O40" s="203">
        <v>241</v>
      </c>
      <c r="P40" s="203">
        <v>231.1</v>
      </c>
      <c r="Q40" s="203">
        <v>228.2</v>
      </c>
      <c r="R40" s="203">
        <v>226.3</v>
      </c>
      <c r="S40" s="203">
        <v>231.8</v>
      </c>
      <c r="T40" s="203">
        <v>225.5</v>
      </c>
      <c r="U40" s="203">
        <v>228.6</v>
      </c>
      <c r="V40" s="203">
        <v>224.7</v>
      </c>
      <c r="W40" s="203">
        <v>228.6</v>
      </c>
      <c r="X40" s="203">
        <v>231.1</v>
      </c>
      <c r="Y40" s="203">
        <v>230.5</v>
      </c>
      <c r="Z40" s="351">
        <v>243.2</v>
      </c>
      <c r="AA40" s="203">
        <v>235.7</v>
      </c>
      <c r="AB40" s="351">
        <v>229.3</v>
      </c>
      <c r="AC40" s="351">
        <v>227.8</v>
      </c>
      <c r="AD40" s="351">
        <v>229.1</v>
      </c>
      <c r="AE40" s="351">
        <v>225.7</v>
      </c>
      <c r="AF40" s="351">
        <v>215.2</v>
      </c>
      <c r="AG40" s="351">
        <v>217.1</v>
      </c>
      <c r="AH40" s="351">
        <v>227</v>
      </c>
      <c r="AI40" s="351">
        <v>218.2</v>
      </c>
      <c r="AJ40" s="351">
        <v>220.4</v>
      </c>
      <c r="AK40" s="351">
        <v>214.3</v>
      </c>
      <c r="AL40" s="351">
        <v>214.1</v>
      </c>
      <c r="AM40" s="351">
        <v>212.4</v>
      </c>
      <c r="AN40" s="351">
        <v>208.8</v>
      </c>
      <c r="AO40" s="351">
        <v>208.1</v>
      </c>
      <c r="AP40" s="351">
        <v>216.5</v>
      </c>
      <c r="AQ40" s="351">
        <v>216.3</v>
      </c>
      <c r="AR40" s="351">
        <v>213.1</v>
      </c>
      <c r="AS40" s="351">
        <v>214.7</v>
      </c>
      <c r="AT40" s="351">
        <v>219.1</v>
      </c>
      <c r="AU40" s="351">
        <v>228.6</v>
      </c>
      <c r="AV40" s="351">
        <v>232.6</v>
      </c>
      <c r="AW40" s="351">
        <v>232.3</v>
      </c>
      <c r="AX40" s="351">
        <v>237.4</v>
      </c>
      <c r="AY40" s="351">
        <v>241.8</v>
      </c>
      <c r="AZ40" s="351">
        <v>233.6</v>
      </c>
      <c r="BA40" s="351">
        <v>231.6</v>
      </c>
      <c r="BB40" s="353">
        <v>229</v>
      </c>
      <c r="BC40" s="353">
        <v>228.5</v>
      </c>
      <c r="BD40" s="353">
        <v>226.1</v>
      </c>
      <c r="BE40" s="353">
        <v>223.9</v>
      </c>
      <c r="BF40" s="353">
        <v>231.7</v>
      </c>
      <c r="BG40" s="353">
        <v>229</v>
      </c>
      <c r="BH40" s="353">
        <v>230.7</v>
      </c>
      <c r="BI40" s="353">
        <v>229.3</v>
      </c>
      <c r="BJ40" s="353">
        <v>232.8</v>
      </c>
      <c r="BK40" s="353">
        <v>233.9</v>
      </c>
      <c r="BL40" s="353">
        <v>232.7</v>
      </c>
      <c r="BM40" s="353">
        <v>232.4</v>
      </c>
      <c r="BN40" s="353">
        <v>240.7</v>
      </c>
      <c r="BO40" s="353">
        <v>238.5</v>
      </c>
      <c r="BP40" s="355">
        <f>BP52/AVERAGE(BO11,BP11)/3*1000</f>
        <v>238.58064915349817</v>
      </c>
      <c r="BQ40" s="355">
        <f>BQ52/AVERAGE(BP11,BQ11)/3*1000</f>
        <v>237.2663519599075</v>
      </c>
      <c r="BR40" s="355">
        <f>BR52/AVERAGE(BQ11,BR11)/3*1000</f>
        <v>238.97406184359181</v>
      </c>
      <c r="BS40" s="355"/>
      <c r="BT40" s="355"/>
      <c r="BU40" s="355"/>
      <c r="BV40" s="355"/>
      <c r="BW40" s="203"/>
      <c r="BX40" s="337">
        <f t="shared" si="207"/>
        <v>-1.3805004314063951E-2</v>
      </c>
      <c r="BY40" s="337">
        <f t="shared" si="207"/>
        <v>2.4833702882483433E-2</v>
      </c>
      <c r="BZ40" s="337">
        <f t="shared" si="207"/>
        <v>8.3114610673666878E-3</v>
      </c>
      <c r="CA40" s="337">
        <f t="shared" si="207"/>
        <v>8.2331998219848712E-2</v>
      </c>
      <c r="CB40" s="337">
        <f t="shared" si="207"/>
        <v>3.1058617672790945E-2</v>
      </c>
      <c r="CC40" s="337">
        <f t="shared" si="207"/>
        <v>-7.7888360017307479E-3</v>
      </c>
      <c r="CD40" s="337">
        <f t="shared" si="207"/>
        <v>-1.1713665943600793E-2</v>
      </c>
      <c r="CE40" s="337">
        <f t="shared" si="207"/>
        <v>-5.7976973684210509E-2</v>
      </c>
      <c r="CF40" s="337">
        <f t="shared" si="207"/>
        <v>-4.242681374628765E-2</v>
      </c>
      <c r="CG40" s="337">
        <f t="shared" si="207"/>
        <v>-6.1491495856956013E-2</v>
      </c>
      <c r="CH40" s="337">
        <f t="shared" si="208"/>
        <v>-4.6971027216856975E-2</v>
      </c>
      <c r="CI40" s="337">
        <f t="shared" si="208"/>
        <v>-9.1663029244870575E-3</v>
      </c>
      <c r="CJ40" s="337">
        <f t="shared" si="208"/>
        <v>-3.32299512627382E-2</v>
      </c>
      <c r="CK40" s="337">
        <f t="shared" si="208"/>
        <v>2.4163568773234223E-2</v>
      </c>
      <c r="CL40" s="337">
        <f t="shared" si="208"/>
        <v>-1.2897282358360074E-2</v>
      </c>
      <c r="CM40" s="337">
        <f t="shared" si="208"/>
        <v>-5.6828193832599183E-2</v>
      </c>
      <c r="CN40" s="337">
        <f t="shared" si="208"/>
        <v>-2.6581118240146528E-2</v>
      </c>
      <c r="CO40" s="337">
        <f t="shared" si="208"/>
        <v>-5.2631578947368363E-2</v>
      </c>
      <c r="CP40" s="337">
        <f t="shared" si="208"/>
        <v>-2.8931404573028563E-2</v>
      </c>
      <c r="CQ40" s="337">
        <f t="shared" si="208"/>
        <v>1.1209715086408334E-2</v>
      </c>
      <c r="CR40" s="337">
        <f t="shared" si="209"/>
        <v>1.836158192090398E-2</v>
      </c>
      <c r="CS40" s="337">
        <f t="shared" si="209"/>
        <v>2.0593869731800662E-2</v>
      </c>
      <c r="CT40" s="337">
        <f t="shared" si="209"/>
        <v>3.1715521383949952E-2</v>
      </c>
      <c r="CU40" s="337">
        <f t="shared" si="209"/>
        <v>1.2009237875288736E-2</v>
      </c>
      <c r="CV40" s="337">
        <f t="shared" si="209"/>
        <v>5.6865464632454898E-2</v>
      </c>
      <c r="CW40" s="337">
        <f t="shared" si="209"/>
        <v>9.1506335053965326E-2</v>
      </c>
      <c r="CX40" s="337">
        <f t="shared" si="209"/>
        <v>8.1974848625989916E-2</v>
      </c>
      <c r="CY40" s="337">
        <f t="shared" si="209"/>
        <v>8.3523505248744856E-2</v>
      </c>
      <c r="CZ40" s="337">
        <f t="shared" si="209"/>
        <v>5.7742782152230943E-2</v>
      </c>
      <c r="DA40" s="337">
        <f t="shared" si="209"/>
        <v>4.2992261392948983E-3</v>
      </c>
      <c r="DB40" s="337">
        <f t="shared" si="210"/>
        <v>-3.0133448127421802E-3</v>
      </c>
      <c r="DC40" s="337">
        <f t="shared" si="210"/>
        <v>-3.5383319292333626E-2</v>
      </c>
      <c r="DD40" s="337">
        <f t="shared" si="210"/>
        <v>-5.5004135649296959E-2</v>
      </c>
      <c r="DE40" s="337">
        <f t="shared" si="210"/>
        <v>-3.210616438356162E-2</v>
      </c>
      <c r="DF40" s="337">
        <f t="shared" si="210"/>
        <v>-3.3246977547495615E-2</v>
      </c>
      <c r="DG40" s="337">
        <f t="shared" si="210"/>
        <v>1.1790393013100475E-2</v>
      </c>
      <c r="DH40" s="337">
        <f t="shared" si="210"/>
        <v>2.1881838074397919E-3</v>
      </c>
      <c r="DI40" s="337">
        <f t="shared" si="210"/>
        <v>2.0344980097302123E-2</v>
      </c>
      <c r="DJ40" s="337">
        <f t="shared" si="210"/>
        <v>2.4117909781152358E-2</v>
      </c>
      <c r="DK40" s="337">
        <f t="shared" si="210"/>
        <v>4.747518342684609E-3</v>
      </c>
      <c r="DL40" s="337">
        <f t="shared" si="211"/>
        <v>2.1397379912663883E-2</v>
      </c>
      <c r="DM40" s="337">
        <f t="shared" si="211"/>
        <v>8.6692674469006636E-3</v>
      </c>
      <c r="DN40" s="337">
        <f t="shared" si="211"/>
        <v>1.3519406890536434E-2</v>
      </c>
      <c r="DO40" s="337">
        <f t="shared" ref="DO40:DS42" si="212">BN40/BJ40-1</f>
        <v>3.3934707903779948E-2</v>
      </c>
      <c r="DP40" s="337">
        <f t="shared" si="212"/>
        <v>1.9666524155621978E-2</v>
      </c>
      <c r="DQ40" s="337">
        <f t="shared" si="212"/>
        <v>2.527137582079142E-2</v>
      </c>
      <c r="DR40" s="337">
        <f t="shared" si="212"/>
        <v>2.0939552323181898E-2</v>
      </c>
      <c r="DS40" s="337">
        <f t="shared" si="212"/>
        <v>-7.1704950411639601E-3</v>
      </c>
      <c r="DT40" s="203"/>
      <c r="DV40" s="203"/>
      <c r="DW40" s="203"/>
      <c r="DX40" s="203"/>
      <c r="DY40" s="203"/>
      <c r="DZ40" s="203"/>
      <c r="EA40" s="203"/>
      <c r="EB40" s="203"/>
      <c r="EX40" s="344">
        <v>233</v>
      </c>
      <c r="EY40" s="354">
        <v>232</v>
      </c>
      <c r="EZ40" s="354">
        <v>232</v>
      </c>
      <c r="FA40" s="580">
        <v>234.22639747858452</v>
      </c>
      <c r="FB40" s="337">
        <v>5.6350238404854203E-3</v>
      </c>
      <c r="FC40" s="337">
        <v>1.1774967291757532E-2</v>
      </c>
      <c r="FD40" s="576">
        <v>6.1271369355004879E-3</v>
      </c>
    </row>
    <row r="41" spans="1:160">
      <c r="A41" s="203"/>
      <c r="B41" s="203" t="s">
        <v>172</v>
      </c>
      <c r="C41" s="203"/>
      <c r="D41" s="203"/>
      <c r="E41" s="203"/>
      <c r="F41" s="203"/>
      <c r="G41" s="203"/>
      <c r="H41" s="203"/>
      <c r="I41" s="203"/>
      <c r="J41" s="203"/>
      <c r="K41" s="203"/>
      <c r="L41" s="203">
        <v>193.2</v>
      </c>
      <c r="M41" s="203"/>
      <c r="N41" s="203"/>
      <c r="O41" s="203">
        <v>214</v>
      </c>
      <c r="P41" s="203">
        <v>215.6</v>
      </c>
      <c r="Q41" s="203">
        <v>218.8</v>
      </c>
      <c r="R41" s="203">
        <v>223.9</v>
      </c>
      <c r="S41" s="203">
        <v>210.6</v>
      </c>
      <c r="T41" s="203">
        <v>198.6</v>
      </c>
      <c r="U41" s="203">
        <v>196</v>
      </c>
      <c r="V41" s="203">
        <v>190.1</v>
      </c>
      <c r="W41" s="203">
        <v>195.7</v>
      </c>
      <c r="X41" s="203">
        <v>204.5</v>
      </c>
      <c r="Y41" s="203">
        <v>199.8</v>
      </c>
      <c r="Z41" s="203">
        <v>201.3</v>
      </c>
      <c r="AA41" s="351">
        <v>190.1</v>
      </c>
      <c r="AB41" s="351">
        <v>194</v>
      </c>
      <c r="AC41" s="351">
        <v>179.9</v>
      </c>
      <c r="AD41" s="351">
        <v>180.1</v>
      </c>
      <c r="AE41" s="351">
        <v>185.8</v>
      </c>
      <c r="AF41" s="351">
        <v>179.3</v>
      </c>
      <c r="AG41" s="351">
        <v>179.2</v>
      </c>
      <c r="AH41" s="351">
        <v>188.2</v>
      </c>
      <c r="AI41" s="351">
        <v>188.2</v>
      </c>
      <c r="AJ41" s="351">
        <v>188.1</v>
      </c>
      <c r="AK41" s="351">
        <v>180.5</v>
      </c>
      <c r="AL41" s="351">
        <v>180.4</v>
      </c>
      <c r="AM41" s="351">
        <v>178.4</v>
      </c>
      <c r="AN41" s="351">
        <v>178.7</v>
      </c>
      <c r="AO41" s="351">
        <v>175.2</v>
      </c>
      <c r="AP41" s="351">
        <v>177.2</v>
      </c>
      <c r="AQ41" s="351">
        <v>181.9</v>
      </c>
      <c r="AR41" s="351">
        <v>179.3</v>
      </c>
      <c r="AS41" s="351">
        <v>178.2</v>
      </c>
      <c r="AT41" s="351">
        <v>179.8</v>
      </c>
      <c r="AU41" s="353">
        <v>182</v>
      </c>
      <c r="AV41" s="351">
        <v>182.7</v>
      </c>
      <c r="AW41" s="351">
        <v>181.9</v>
      </c>
      <c r="AX41" s="353">
        <v>185</v>
      </c>
      <c r="AY41" s="351">
        <v>186.2</v>
      </c>
      <c r="AZ41" s="351">
        <v>181.9</v>
      </c>
      <c r="BA41" s="353">
        <v>181</v>
      </c>
      <c r="BB41" s="353">
        <v>182.1</v>
      </c>
      <c r="BC41" s="353">
        <v>185.5</v>
      </c>
      <c r="BD41" s="353">
        <v>187</v>
      </c>
      <c r="BE41" s="353">
        <v>185.7</v>
      </c>
      <c r="BF41" s="353">
        <v>187.6</v>
      </c>
      <c r="BG41" s="353">
        <v>188.4</v>
      </c>
      <c r="BH41" s="353">
        <v>194</v>
      </c>
      <c r="BI41" s="353">
        <v>187.8</v>
      </c>
      <c r="BJ41" s="353">
        <v>188.2</v>
      </c>
      <c r="BK41" s="353">
        <v>189.3</v>
      </c>
      <c r="BL41" s="353">
        <v>192.3</v>
      </c>
      <c r="BM41" s="353">
        <v>193.4</v>
      </c>
      <c r="BN41" s="353">
        <v>197.6</v>
      </c>
      <c r="BO41" s="353">
        <v>198.7</v>
      </c>
      <c r="BP41" s="355">
        <f>BP53/AVERAGE(BO18,BP18)/3*1000</f>
        <v>202.31112132557485</v>
      </c>
      <c r="BQ41" s="355">
        <f>BQ53/AVERAGE(BP18,BQ18)/3*1000</f>
        <v>203.59715452616837</v>
      </c>
      <c r="BR41" s="355">
        <f>BR53/AVERAGE(BQ18,BR18)/3*1000</f>
        <v>206.42165429151885</v>
      </c>
      <c r="BS41" s="355"/>
      <c r="BT41" s="355"/>
      <c r="BU41" s="355"/>
      <c r="BV41" s="355"/>
      <c r="BW41" s="203"/>
      <c r="BX41" s="337">
        <f t="shared" si="207"/>
        <v>-7.0750237416904116E-2</v>
      </c>
      <c r="BY41" s="337">
        <f t="shared" si="207"/>
        <v>2.9707955689828758E-2</v>
      </c>
      <c r="BZ41" s="337">
        <f t="shared" si="207"/>
        <v>1.9387755102040938E-2</v>
      </c>
      <c r="CA41" s="337">
        <f t="shared" si="207"/>
        <v>5.8916359810626151E-2</v>
      </c>
      <c r="CB41" s="337">
        <f t="shared" si="207"/>
        <v>-2.8615227388860465E-2</v>
      </c>
      <c r="CC41" s="337">
        <f t="shared" si="207"/>
        <v>-5.1344743276283578E-2</v>
      </c>
      <c r="CD41" s="337">
        <f t="shared" si="207"/>
        <v>-9.9599599599599631E-2</v>
      </c>
      <c r="CE41" s="337">
        <f t="shared" si="207"/>
        <v>-0.10531544957774475</v>
      </c>
      <c r="CF41" s="337">
        <f t="shared" si="207"/>
        <v>-2.2619673855865274E-2</v>
      </c>
      <c r="CG41" s="337">
        <f t="shared" si="207"/>
        <v>-7.5773195876288613E-2</v>
      </c>
      <c r="CH41" s="337">
        <f t="shared" si="208"/>
        <v>-3.8910505836576847E-3</v>
      </c>
      <c r="CI41" s="337">
        <f t="shared" si="208"/>
        <v>4.4975013881177084E-2</v>
      </c>
      <c r="CJ41" s="337">
        <f t="shared" si="208"/>
        <v>1.2917115177610183E-2</v>
      </c>
      <c r="CK41" s="337">
        <f t="shared" si="208"/>
        <v>4.9079754601226933E-2</v>
      </c>
      <c r="CL41" s="337">
        <f t="shared" si="208"/>
        <v>7.2544642857144126E-3</v>
      </c>
      <c r="CM41" s="337">
        <f t="shared" si="208"/>
        <v>-4.144527098831019E-2</v>
      </c>
      <c r="CN41" s="337">
        <f t="shared" si="208"/>
        <v>-5.207226354941541E-2</v>
      </c>
      <c r="CO41" s="337">
        <f t="shared" si="208"/>
        <v>-4.9973418394471003E-2</v>
      </c>
      <c r="CP41" s="337">
        <f t="shared" si="208"/>
        <v>-2.936288088642669E-2</v>
      </c>
      <c r="CQ41" s="337">
        <f t="shared" si="208"/>
        <v>-1.7738359201773912E-2</v>
      </c>
      <c r="CR41" s="337">
        <f t="shared" si="209"/>
        <v>1.9618834080717518E-2</v>
      </c>
      <c r="CS41" s="337">
        <f t="shared" si="209"/>
        <v>3.357582540570947E-3</v>
      </c>
      <c r="CT41" s="337">
        <f t="shared" si="209"/>
        <v>1.7123287671232834E-2</v>
      </c>
      <c r="CU41" s="337">
        <f t="shared" si="209"/>
        <v>1.4672686230248422E-2</v>
      </c>
      <c r="CV41" s="337">
        <f t="shared" si="209"/>
        <v>5.4975261132494957E-4</v>
      </c>
      <c r="CW41" s="337">
        <f t="shared" si="209"/>
        <v>1.8962632459564865E-2</v>
      </c>
      <c r="CX41" s="337">
        <f t="shared" si="209"/>
        <v>2.0763187429854169E-2</v>
      </c>
      <c r="CY41" s="337">
        <f t="shared" si="209"/>
        <v>2.8921023359288034E-2</v>
      </c>
      <c r="CZ41" s="337">
        <f t="shared" si="209"/>
        <v>2.3076923076922995E-2</v>
      </c>
      <c r="DA41" s="337">
        <f t="shared" si="209"/>
        <v>-4.3787629994526123E-3</v>
      </c>
      <c r="DB41" s="337">
        <f t="shared" si="210"/>
        <v>-4.9477735019242131E-3</v>
      </c>
      <c r="DC41" s="337">
        <f t="shared" si="210"/>
        <v>-1.5675675675675738E-2</v>
      </c>
      <c r="DD41" s="337">
        <f t="shared" si="210"/>
        <v>-3.759398496240518E-3</v>
      </c>
      <c r="DE41" s="337">
        <f t="shared" si="210"/>
        <v>2.8037383177569986E-2</v>
      </c>
      <c r="DF41" s="337">
        <f t="shared" si="210"/>
        <v>2.5966850828729182E-2</v>
      </c>
      <c r="DG41" s="337">
        <f t="shared" si="210"/>
        <v>3.0203185063152116E-2</v>
      </c>
      <c r="DH41" s="337">
        <f t="shared" si="210"/>
        <v>1.563342318059302E-2</v>
      </c>
      <c r="DI41" s="337">
        <f t="shared" si="210"/>
        <v>3.7433155080213831E-2</v>
      </c>
      <c r="DJ41" s="337">
        <f t="shared" si="210"/>
        <v>1.1308562197092309E-2</v>
      </c>
      <c r="DK41" s="337">
        <f t="shared" si="210"/>
        <v>3.1982942430703876E-3</v>
      </c>
      <c r="DL41" s="337">
        <f t="shared" si="211"/>
        <v>4.7770700636942109E-3</v>
      </c>
      <c r="DM41" s="337">
        <f t="shared" si="211"/>
        <v>-8.7628865979381132E-3</v>
      </c>
      <c r="DN41" s="337">
        <f t="shared" si="211"/>
        <v>2.9818956336528091E-2</v>
      </c>
      <c r="DO41" s="337">
        <f t="shared" si="212"/>
        <v>4.9946865037194588E-2</v>
      </c>
      <c r="DP41" s="337">
        <f t="shared" si="212"/>
        <v>4.9656629688325182E-2</v>
      </c>
      <c r="DQ41" s="337">
        <f t="shared" si="212"/>
        <v>5.2059913289520754E-2</v>
      </c>
      <c r="DR41" s="337">
        <f t="shared" si="212"/>
        <v>5.2725721438305895E-2</v>
      </c>
      <c r="DS41" s="337">
        <f t="shared" si="212"/>
        <v>4.4643999451006389E-2</v>
      </c>
      <c r="DT41" s="203"/>
      <c r="DV41" s="203"/>
      <c r="DW41" s="203"/>
      <c r="DX41" s="203"/>
      <c r="DY41" s="203"/>
      <c r="DZ41" s="203"/>
      <c r="EA41" s="203"/>
      <c r="EB41" s="203"/>
      <c r="EX41" s="344">
        <v>188</v>
      </c>
      <c r="EY41" s="354">
        <v>190</v>
      </c>
      <c r="EZ41" s="354">
        <v>190</v>
      </c>
      <c r="FA41" s="580">
        <v>194.75301311310156</v>
      </c>
      <c r="FB41" s="337">
        <v>-2.0618556701030966E-2</v>
      </c>
      <c r="FC41" s="337">
        <v>1.1714589989350266E-2</v>
      </c>
      <c r="FD41" s="576">
        <v>3.4819410802877648E-2</v>
      </c>
    </row>
    <row r="42" spans="1:160">
      <c r="A42" s="203"/>
      <c r="B42" s="203" t="s">
        <v>197</v>
      </c>
      <c r="C42" s="203"/>
      <c r="D42" s="203"/>
      <c r="E42" s="203"/>
      <c r="F42" s="203"/>
      <c r="G42" s="203"/>
      <c r="H42" s="203"/>
      <c r="I42" s="203"/>
      <c r="J42" s="203"/>
      <c r="K42" s="203"/>
      <c r="L42" s="203">
        <v>186.2</v>
      </c>
      <c r="M42" s="203"/>
      <c r="N42" s="203"/>
      <c r="O42" s="203">
        <v>211.5</v>
      </c>
      <c r="P42" s="203">
        <v>211.5</v>
      </c>
      <c r="Q42" s="203">
        <v>196.9</v>
      </c>
      <c r="R42" s="203">
        <v>198.7</v>
      </c>
      <c r="S42" s="203">
        <v>194.5</v>
      </c>
      <c r="T42" s="203">
        <v>181.8</v>
      </c>
      <c r="U42" s="203">
        <v>180</v>
      </c>
      <c r="V42" s="203">
        <v>172.9</v>
      </c>
      <c r="W42" s="203">
        <v>175.9</v>
      </c>
      <c r="X42" s="203">
        <v>182.4</v>
      </c>
      <c r="Y42" s="203">
        <v>184.1</v>
      </c>
      <c r="Z42" s="203">
        <v>182.1</v>
      </c>
      <c r="AA42" s="203">
        <v>168.1</v>
      </c>
      <c r="AB42" s="351">
        <v>165.7</v>
      </c>
      <c r="AC42" s="353">
        <v>163</v>
      </c>
      <c r="AD42" s="351">
        <v>154.6</v>
      </c>
      <c r="AE42" s="351">
        <v>149.30000000000001</v>
      </c>
      <c r="AF42" s="351">
        <v>140.69999999999999</v>
      </c>
      <c r="AG42" s="351">
        <v>139.9</v>
      </c>
      <c r="AH42" s="351">
        <v>130.69999999999999</v>
      </c>
      <c r="AI42" s="351">
        <v>125.2</v>
      </c>
      <c r="AJ42" s="351">
        <v>130.1</v>
      </c>
      <c r="AK42" s="351">
        <v>126.2</v>
      </c>
      <c r="AL42" s="351">
        <v>120.1</v>
      </c>
      <c r="AM42" s="351">
        <v>117.1</v>
      </c>
      <c r="AN42" s="351">
        <v>109.8</v>
      </c>
      <c r="AO42" s="353">
        <v>102</v>
      </c>
      <c r="AP42" s="353">
        <v>94.2</v>
      </c>
      <c r="AQ42" s="353">
        <v>85.8</v>
      </c>
      <c r="AR42" s="353">
        <v>85.8</v>
      </c>
      <c r="AS42" s="353">
        <v>84.7</v>
      </c>
      <c r="AT42" s="353">
        <v>81</v>
      </c>
      <c r="AU42" s="353">
        <v>66.5</v>
      </c>
      <c r="AV42" s="353">
        <v>67.599999999999994</v>
      </c>
      <c r="AW42" s="353">
        <v>66.2</v>
      </c>
      <c r="AX42" s="353">
        <v>67.5</v>
      </c>
      <c r="AY42" s="353">
        <v>68.099999999999994</v>
      </c>
      <c r="AZ42" s="353">
        <v>65</v>
      </c>
      <c r="BA42" s="353">
        <v>64.3</v>
      </c>
      <c r="BB42" s="353">
        <v>64.400000000000006</v>
      </c>
      <c r="BC42" s="353">
        <v>68.3</v>
      </c>
      <c r="BD42" s="353">
        <v>69.2</v>
      </c>
      <c r="BE42" s="353">
        <v>68.400000000000006</v>
      </c>
      <c r="BF42" s="353">
        <v>69.900000000000006</v>
      </c>
      <c r="BG42" s="353">
        <v>71.099999999999994</v>
      </c>
      <c r="BH42" s="353">
        <v>67.599999999999994</v>
      </c>
      <c r="BI42" s="353">
        <v>60.1</v>
      </c>
      <c r="BJ42" s="353">
        <v>59.9</v>
      </c>
      <c r="BK42" s="353">
        <v>59.2</v>
      </c>
      <c r="BL42" s="353">
        <v>58.1</v>
      </c>
      <c r="BM42" s="353">
        <v>55.5</v>
      </c>
      <c r="BN42" s="353">
        <v>54.9</v>
      </c>
      <c r="BO42" s="353">
        <v>55.1</v>
      </c>
      <c r="BP42" s="355">
        <f>BP54/AVERAGE(BO23,BP23)/3*1000</f>
        <v>54.655257728022512</v>
      </c>
      <c r="BQ42" s="355">
        <f>BQ54/AVERAGE(BP23,BQ23)/3*1000</f>
        <v>52.081333782125625</v>
      </c>
      <c r="BR42" s="355">
        <f>BR54/AVERAGE(BQ23,BR23)/3*1000</f>
        <v>52.065104310149628</v>
      </c>
      <c r="BS42" s="355"/>
      <c r="BT42" s="355"/>
      <c r="BU42" s="355"/>
      <c r="BV42" s="355"/>
      <c r="BW42" s="203"/>
      <c r="BX42" s="337">
        <f t="shared" si="207"/>
        <v>-9.562982005141385E-2</v>
      </c>
      <c r="BY42" s="337">
        <f t="shared" si="207"/>
        <v>3.3003300330032292E-3</v>
      </c>
      <c r="BZ42" s="337">
        <f t="shared" si="207"/>
        <v>2.2777777777777786E-2</v>
      </c>
      <c r="CA42" s="337">
        <f t="shared" si="207"/>
        <v>5.3209947946790015E-2</v>
      </c>
      <c r="CB42" s="337">
        <f t="shared" si="207"/>
        <v>-4.4343376918703825E-2</v>
      </c>
      <c r="CC42" s="337">
        <f t="shared" si="207"/>
        <v>-9.1557017543859698E-2</v>
      </c>
      <c r="CD42" s="337">
        <f t="shared" si="207"/>
        <v>-0.1146116241173275</v>
      </c>
      <c r="CE42" s="337">
        <f t="shared" si="207"/>
        <v>-0.15101592531576058</v>
      </c>
      <c r="CF42" s="337">
        <f t="shared" si="207"/>
        <v>-0.11183819155264718</v>
      </c>
      <c r="CG42" s="337">
        <f t="shared" si="207"/>
        <v>-0.15087507543753775</v>
      </c>
      <c r="CH42" s="337">
        <f t="shared" si="208"/>
        <v>-0.1417177914110429</v>
      </c>
      <c r="CI42" s="337">
        <f t="shared" si="208"/>
        <v>-0.15459249676584741</v>
      </c>
      <c r="CJ42" s="337">
        <f t="shared" si="208"/>
        <v>-0.16141995981245816</v>
      </c>
      <c r="CK42" s="337">
        <f t="shared" si="208"/>
        <v>-7.5337597725657401E-2</v>
      </c>
      <c r="CL42" s="337">
        <f t="shared" si="208"/>
        <v>-9.7927090779127979E-2</v>
      </c>
      <c r="CM42" s="337">
        <f t="shared" si="208"/>
        <v>-8.1101759755164426E-2</v>
      </c>
      <c r="CN42" s="337">
        <f t="shared" si="208"/>
        <v>-6.469648562300323E-2</v>
      </c>
      <c r="CO42" s="337">
        <f t="shared" si="208"/>
        <v>-0.15603382013835509</v>
      </c>
      <c r="CP42" s="337">
        <f t="shared" si="208"/>
        <v>-0.19175911251980982</v>
      </c>
      <c r="CQ42" s="337">
        <f t="shared" si="208"/>
        <v>-0.21565362198168192</v>
      </c>
      <c r="CR42" s="337">
        <f t="shared" si="209"/>
        <v>-0.26729291204099059</v>
      </c>
      <c r="CS42" s="337">
        <f t="shared" si="209"/>
        <v>-0.21857923497267762</v>
      </c>
      <c r="CT42" s="337">
        <f t="shared" si="209"/>
        <v>-0.16960784313725485</v>
      </c>
      <c r="CU42" s="337">
        <f t="shared" si="209"/>
        <v>-0.14012738853503193</v>
      </c>
      <c r="CV42" s="337">
        <f t="shared" si="209"/>
        <v>-0.22494172494172493</v>
      </c>
      <c r="CW42" s="337">
        <f t="shared" si="209"/>
        <v>-0.21212121212121215</v>
      </c>
      <c r="CX42" s="337">
        <f t="shared" si="209"/>
        <v>-0.21841794569067297</v>
      </c>
      <c r="CY42" s="337">
        <f t="shared" si="209"/>
        <v>-0.16666666666666663</v>
      </c>
      <c r="CZ42" s="337">
        <f t="shared" si="209"/>
        <v>2.4060150375939671E-2</v>
      </c>
      <c r="DA42" s="337">
        <f t="shared" si="209"/>
        <v>-3.8461538461538436E-2</v>
      </c>
      <c r="DB42" s="337">
        <f t="shared" si="210"/>
        <v>-2.8700906344410915E-2</v>
      </c>
      <c r="DC42" s="337">
        <f t="shared" si="210"/>
        <v>-4.5925925925925815E-2</v>
      </c>
      <c r="DD42" s="337">
        <f t="shared" si="210"/>
        <v>2.936857562408246E-3</v>
      </c>
      <c r="DE42" s="337">
        <f t="shared" si="210"/>
        <v>6.4615384615384741E-2</v>
      </c>
      <c r="DF42" s="337">
        <f t="shared" si="210"/>
        <v>6.3763608087091805E-2</v>
      </c>
      <c r="DG42" s="337">
        <f t="shared" si="210"/>
        <v>8.5403726708074501E-2</v>
      </c>
      <c r="DH42" s="337">
        <f t="shared" si="210"/>
        <v>4.0995607613469875E-2</v>
      </c>
      <c r="DI42" s="337">
        <f t="shared" si="210"/>
        <v>-2.3121387283237094E-2</v>
      </c>
      <c r="DJ42" s="337">
        <f t="shared" si="210"/>
        <v>-0.12134502923976609</v>
      </c>
      <c r="DK42" s="337">
        <f t="shared" si="210"/>
        <v>-0.14306151645207443</v>
      </c>
      <c r="DL42" s="337">
        <f t="shared" si="211"/>
        <v>-0.16736990154711662</v>
      </c>
      <c r="DM42" s="337">
        <f t="shared" si="211"/>
        <v>-0.14053254437869811</v>
      </c>
      <c r="DN42" s="337">
        <f t="shared" si="211"/>
        <v>-7.6539101497504203E-2</v>
      </c>
      <c r="DO42" s="337">
        <f t="shared" si="212"/>
        <v>-8.347245409015025E-2</v>
      </c>
      <c r="DP42" s="337">
        <f t="shared" si="212"/>
        <v>-6.9256756756756799E-2</v>
      </c>
      <c r="DQ42" s="337">
        <f t="shared" si="212"/>
        <v>-5.9289884199268283E-2</v>
      </c>
      <c r="DR42" s="337">
        <f t="shared" si="212"/>
        <v>-6.1597589511249939E-2</v>
      </c>
      <c r="DS42" s="337">
        <f t="shared" si="212"/>
        <v>-5.163744425956962E-2</v>
      </c>
      <c r="DT42" s="203"/>
      <c r="DV42" s="203"/>
      <c r="DW42" s="203"/>
      <c r="DX42" s="203"/>
      <c r="DY42" s="203"/>
      <c r="DZ42" s="203"/>
      <c r="EA42" s="203"/>
      <c r="EB42" s="203"/>
      <c r="EX42" s="344">
        <v>58</v>
      </c>
      <c r="EY42" s="354">
        <v>57</v>
      </c>
      <c r="EZ42" s="354">
        <v>51</v>
      </c>
      <c r="FA42" s="580">
        <v>55.65816003396553</v>
      </c>
      <c r="FB42" s="337">
        <v>-0.15680473372781056</v>
      </c>
      <c r="FC42" s="337">
        <v>-0.15141430948419299</v>
      </c>
      <c r="FD42" s="576">
        <v>-7.0815358364515357E-2</v>
      </c>
    </row>
    <row r="43" spans="1:160">
      <c r="A43" s="203"/>
      <c r="B43" s="356" t="s">
        <v>234</v>
      </c>
      <c r="C43" s="203"/>
      <c r="D43" s="203"/>
      <c r="E43" s="203"/>
      <c r="F43" s="203"/>
      <c r="G43" s="203"/>
      <c r="H43" s="203"/>
      <c r="I43" s="203"/>
      <c r="J43" s="203"/>
      <c r="K43" s="203"/>
      <c r="L43" s="356">
        <v>28.5</v>
      </c>
      <c r="M43" s="203"/>
      <c r="N43" s="203"/>
      <c r="O43" s="356">
        <v>22.8</v>
      </c>
      <c r="P43" s="356">
        <v>23.6</v>
      </c>
      <c r="Q43" s="356">
        <v>21.7</v>
      </c>
      <c r="R43" s="356">
        <v>21.2</v>
      </c>
      <c r="S43" s="356">
        <v>21.1</v>
      </c>
      <c r="T43" s="356">
        <v>20.7</v>
      </c>
      <c r="U43" s="356">
        <v>21.6</v>
      </c>
      <c r="V43" s="356">
        <v>21.5</v>
      </c>
      <c r="W43" s="356">
        <v>24.2</v>
      </c>
      <c r="X43" s="356">
        <v>18.600000000000001</v>
      </c>
      <c r="Y43" s="356">
        <v>25.8</v>
      </c>
      <c r="Z43" s="356">
        <v>48.6</v>
      </c>
      <c r="AA43" s="356">
        <v>41.6</v>
      </c>
      <c r="AB43" s="356">
        <v>45.1</v>
      </c>
      <c r="AC43" s="357">
        <v>48.3</v>
      </c>
      <c r="AD43" s="357"/>
      <c r="AE43" s="203"/>
      <c r="AF43" s="203"/>
      <c r="AG43" s="203"/>
      <c r="AH43" s="203"/>
      <c r="AI43" s="203"/>
      <c r="AJ43" s="203"/>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9">
        <f t="shared" ref="BG43:BK43" si="213">(BG52+BG53+BG54)/AVERAGE(BF33,BG33)/3*1000</f>
        <v>421.58844477233521</v>
      </c>
      <c r="BH43" s="339">
        <f t="shared" si="213"/>
        <v>426.53259218544633</v>
      </c>
      <c r="BI43" s="339">
        <f t="shared" si="213"/>
        <v>414.59510496219292</v>
      </c>
      <c r="BJ43" s="339">
        <f t="shared" si="213"/>
        <v>418.05123181588925</v>
      </c>
      <c r="BK43" s="339">
        <f t="shared" si="213"/>
        <v>419.27671334306126</v>
      </c>
      <c r="BL43" s="339">
        <f>(BL52+BL53+BL54)/AVERAGE(BK33,BL33)/3*1000</f>
        <v>419.93030131669445</v>
      </c>
      <c r="BM43" s="339">
        <f t="shared" ref="BM43:BR43" si="214">(BM52+BM53+BM54)/AVERAGE(BL33,BM33)/3*1000</f>
        <v>418.04254578103314</v>
      </c>
      <c r="BN43" s="339">
        <f>(BN52+BN53+BN54)/AVERAGE(BM33,BN33)/3*1000</f>
        <v>426.13060254689788</v>
      </c>
      <c r="BO43" s="339">
        <f t="shared" ref="BO43" si="215">(BO52+BO53+BO54)/AVERAGE(BN33,BO33)/3*1000</f>
        <v>422.1350337415455</v>
      </c>
      <c r="BP43" s="339">
        <f>(BP52+BP53+BP54)/AVERAGE(BO33,BP33)/3*1000</f>
        <v>422.70794855760602</v>
      </c>
      <c r="BQ43" s="339">
        <f t="shared" si="214"/>
        <v>418.85344380986567</v>
      </c>
      <c r="BR43" s="339">
        <f t="shared" si="214"/>
        <v>417.8697218853336</v>
      </c>
      <c r="BS43" s="339"/>
      <c r="BT43" s="339"/>
      <c r="BU43" s="339"/>
      <c r="BV43" s="339"/>
      <c r="BW43" s="203"/>
      <c r="BX43" s="337"/>
      <c r="BY43" s="337"/>
      <c r="BZ43" s="337"/>
      <c r="CA43" s="337"/>
      <c r="CB43" s="337"/>
      <c r="CC43" s="337"/>
      <c r="CD43" s="337"/>
      <c r="CE43" s="337"/>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V43" s="203"/>
      <c r="DW43" s="203"/>
      <c r="DX43" s="203"/>
      <c r="DY43" s="203"/>
      <c r="DZ43" s="203"/>
      <c r="EA43" s="203"/>
      <c r="EB43" s="203"/>
      <c r="EX43" s="339">
        <v>415.70096665579001</v>
      </c>
      <c r="EY43" s="339">
        <v>416.04852349780049</v>
      </c>
      <c r="EZ43" s="339">
        <v>410.62608918766227</v>
      </c>
      <c r="FA43" s="581">
        <v>420.09882353169826</v>
      </c>
      <c r="FB43" s="203"/>
      <c r="FC43" s="203"/>
      <c r="FD43" s="574"/>
    </row>
    <row r="44" spans="1:160">
      <c r="A44" s="203"/>
      <c r="B44" s="203" t="s">
        <v>871</v>
      </c>
      <c r="C44" s="203"/>
      <c r="D44" s="203"/>
      <c r="E44" s="203"/>
      <c r="F44" s="203"/>
      <c r="G44" s="203"/>
      <c r="H44" s="203"/>
      <c r="I44" s="203"/>
      <c r="J44" s="203"/>
      <c r="K44" s="203"/>
      <c r="L44" s="356"/>
      <c r="M44" s="203"/>
      <c r="N44" s="203"/>
      <c r="O44" s="356"/>
      <c r="P44" s="356"/>
      <c r="Q44" s="356"/>
      <c r="R44" s="356"/>
      <c r="S44" s="356"/>
      <c r="T44" s="356"/>
      <c r="U44" s="356"/>
      <c r="V44" s="356"/>
      <c r="W44" s="356"/>
      <c r="X44" s="356"/>
      <c r="Y44" s="356"/>
      <c r="Z44" s="356"/>
      <c r="AA44" s="356"/>
      <c r="AB44" s="356"/>
      <c r="AC44" s="357"/>
      <c r="AD44" s="357"/>
      <c r="AE44" s="203"/>
      <c r="AF44" s="203"/>
      <c r="AG44" s="203"/>
      <c r="AH44" s="203"/>
      <c r="AI44" s="203"/>
      <c r="AJ44" s="336"/>
      <c r="AK44" s="336"/>
      <c r="AL44" s="336"/>
      <c r="AM44" s="336"/>
      <c r="AN44" s="336"/>
      <c r="AO44" s="336"/>
      <c r="AP44" s="336"/>
      <c r="AQ44" s="336"/>
      <c r="AR44" s="336"/>
      <c r="AS44" s="336"/>
      <c r="AT44" s="336"/>
      <c r="AU44" s="336"/>
      <c r="AV44" s="338"/>
      <c r="AW44" s="338"/>
      <c r="AX44" s="338"/>
      <c r="AY44" s="338"/>
      <c r="AZ44" s="338"/>
      <c r="BA44" s="338"/>
      <c r="BB44" s="338"/>
      <c r="BC44" s="338"/>
      <c r="BD44" s="338"/>
      <c r="BE44" s="338"/>
      <c r="BF44" s="336"/>
      <c r="BG44" s="336"/>
      <c r="BH44" s="336"/>
      <c r="BI44" s="336"/>
      <c r="BJ44" s="336"/>
      <c r="BK44" s="336"/>
      <c r="BL44" s="336"/>
      <c r="BM44" s="336"/>
      <c r="BN44" s="336"/>
      <c r="BO44" s="336"/>
      <c r="BP44" s="336"/>
      <c r="BQ44" s="336"/>
      <c r="BR44" s="336"/>
      <c r="BS44" s="336"/>
      <c r="BT44" s="336"/>
      <c r="BU44" s="336"/>
      <c r="BV44" s="336"/>
      <c r="BW44" s="203"/>
      <c r="BX44" s="337"/>
      <c r="BY44" s="337"/>
      <c r="BZ44" s="337"/>
      <c r="CA44" s="337"/>
      <c r="CB44" s="337"/>
      <c r="CC44" s="337"/>
      <c r="CD44" s="337"/>
      <c r="CE44" s="337"/>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V44" s="203"/>
      <c r="DW44" s="203"/>
      <c r="DX44" s="203"/>
      <c r="DY44" s="203"/>
      <c r="DZ44" s="203"/>
      <c r="EA44" s="203"/>
      <c r="EB44" s="203"/>
      <c r="EX44" s="336"/>
      <c r="EY44" s="336"/>
      <c r="EZ44" s="336"/>
      <c r="FA44" s="577"/>
      <c r="FB44" s="203"/>
      <c r="FC44" s="203"/>
      <c r="FD44" s="574"/>
    </row>
    <row r="45" spans="1:160">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V45" s="203"/>
      <c r="DW45" s="203"/>
      <c r="DX45" s="203"/>
      <c r="DY45" s="203"/>
      <c r="DZ45" s="203"/>
      <c r="EA45" s="203"/>
      <c r="EB45" s="203"/>
      <c r="EX45" s="336"/>
      <c r="EY45" s="336"/>
      <c r="EZ45" s="336"/>
      <c r="FA45" s="577"/>
      <c r="FB45" s="203"/>
      <c r="FC45" s="203"/>
      <c r="FD45" s="574"/>
    </row>
    <row r="46" spans="1:160">
      <c r="A46" s="203"/>
      <c r="B46" s="205" t="s">
        <v>2067</v>
      </c>
      <c r="C46" s="203"/>
      <c r="D46" s="203"/>
      <c r="E46" s="203"/>
      <c r="F46" s="203"/>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203"/>
      <c r="AF46" s="203"/>
      <c r="AG46" s="338"/>
      <c r="AH46" s="338"/>
      <c r="AI46" s="338"/>
      <c r="AJ46" s="338"/>
      <c r="AK46" s="338"/>
      <c r="AL46" s="338"/>
      <c r="AM46" s="338"/>
      <c r="AN46" s="338"/>
      <c r="AO46" s="338"/>
      <c r="AP46" s="338"/>
      <c r="AQ46" s="338"/>
      <c r="AR46" s="338"/>
      <c r="AS46" s="338"/>
      <c r="AT46" s="338"/>
      <c r="AU46" s="338"/>
      <c r="AV46" s="338"/>
      <c r="AW46" s="338"/>
      <c r="AX46" s="343">
        <f>AW46+AX47</f>
        <v>6</v>
      </c>
      <c r="AY46" s="343">
        <f>AX46+AY47</f>
        <v>19</v>
      </c>
      <c r="AZ46" s="343">
        <f>AY46+AZ47</f>
        <v>45</v>
      </c>
      <c r="BA46" s="343">
        <f>AZ46+BA47</f>
        <v>109</v>
      </c>
      <c r="BB46" s="343">
        <v>174</v>
      </c>
      <c r="BC46" s="343">
        <v>209</v>
      </c>
      <c r="BD46" s="343">
        <v>256</v>
      </c>
      <c r="BE46" s="343">
        <v>346</v>
      </c>
      <c r="BF46" s="343">
        <v>428</v>
      </c>
      <c r="BG46" s="343">
        <v>432.47699999999998</v>
      </c>
      <c r="BH46" s="343">
        <v>433.89400000000001</v>
      </c>
      <c r="BI46" s="343">
        <v>410.255</v>
      </c>
      <c r="BJ46" s="343">
        <v>356.76900000000001</v>
      </c>
      <c r="BK46" s="343">
        <v>376.85399999999998</v>
      </c>
      <c r="BL46" s="343">
        <v>390.78800000000001</v>
      </c>
      <c r="BM46" s="343">
        <v>414.238</v>
      </c>
      <c r="BN46" s="343">
        <v>433.38799999999998</v>
      </c>
      <c r="BO46" s="343">
        <v>461.06900000000002</v>
      </c>
      <c r="BP46" s="344">
        <f>BO46+15</f>
        <v>476.06900000000002</v>
      </c>
      <c r="BQ46" s="344">
        <f>BP46+15</f>
        <v>491.06900000000002</v>
      </c>
      <c r="BR46" s="336">
        <f>Mobile!O9</f>
        <v>491.40219130584109</v>
      </c>
      <c r="BS46" s="336"/>
      <c r="BT46" s="336"/>
      <c r="BU46" s="336"/>
      <c r="BV46" s="336"/>
      <c r="BW46" s="203"/>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V46" s="203"/>
      <c r="DW46" s="203"/>
      <c r="DX46" s="203"/>
      <c r="DY46" s="203"/>
      <c r="DZ46" s="203"/>
      <c r="EA46" s="203"/>
      <c r="EB46" s="203"/>
      <c r="EX46" s="336">
        <v>346.76900000000001</v>
      </c>
      <c r="EY46" s="336">
        <v>396.85399999999998</v>
      </c>
      <c r="EZ46" s="336">
        <v>410.78800000000001</v>
      </c>
      <c r="FA46" s="577">
        <v>440.26342018134886</v>
      </c>
      <c r="FB46" s="203"/>
      <c r="FC46" s="203"/>
      <c r="FD46" s="574"/>
    </row>
    <row r="47" spans="1:160">
      <c r="A47" s="203"/>
      <c r="B47" s="203" t="s">
        <v>1827</v>
      </c>
      <c r="C47" s="203"/>
      <c r="D47" s="203"/>
      <c r="E47" s="203"/>
      <c r="F47" s="203"/>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203"/>
      <c r="AF47" s="203"/>
      <c r="AG47" s="338"/>
      <c r="AH47" s="338"/>
      <c r="AI47" s="338"/>
      <c r="AJ47" s="338"/>
      <c r="AK47" s="338"/>
      <c r="AL47" s="338"/>
      <c r="AM47" s="338"/>
      <c r="AN47" s="338"/>
      <c r="AO47" s="338"/>
      <c r="AP47" s="338"/>
      <c r="AQ47" s="338"/>
      <c r="AR47" s="338"/>
      <c r="AS47" s="338"/>
      <c r="AT47" s="338"/>
      <c r="AU47" s="338"/>
      <c r="AV47" s="338"/>
      <c r="AW47" s="338"/>
      <c r="AX47" s="336">
        <v>6</v>
      </c>
      <c r="AY47" s="336">
        <v>13</v>
      </c>
      <c r="AZ47" s="336">
        <v>26</v>
      </c>
      <c r="BA47" s="336">
        <v>64</v>
      </c>
      <c r="BB47" s="336">
        <f t="shared" ref="BB47:BM47" si="216">BB46-BA46</f>
        <v>65</v>
      </c>
      <c r="BC47" s="336">
        <f t="shared" si="216"/>
        <v>35</v>
      </c>
      <c r="BD47" s="336">
        <f t="shared" si="216"/>
        <v>47</v>
      </c>
      <c r="BE47" s="336">
        <f t="shared" si="216"/>
        <v>90</v>
      </c>
      <c r="BF47" s="336">
        <f t="shared" si="216"/>
        <v>82</v>
      </c>
      <c r="BG47" s="336">
        <f t="shared" si="216"/>
        <v>4.4769999999999754</v>
      </c>
      <c r="BH47" s="336">
        <f t="shared" si="216"/>
        <v>1.41700000000003</v>
      </c>
      <c r="BI47" s="336">
        <f t="shared" si="216"/>
        <v>-23.63900000000001</v>
      </c>
      <c r="BJ47" s="336">
        <f t="shared" si="216"/>
        <v>-53.48599999999999</v>
      </c>
      <c r="BK47" s="336">
        <f t="shared" si="216"/>
        <v>20.08499999999998</v>
      </c>
      <c r="BL47" s="336">
        <f t="shared" si="216"/>
        <v>13.934000000000026</v>
      </c>
      <c r="BM47" s="336">
        <f t="shared" si="216"/>
        <v>23.449999999999989</v>
      </c>
      <c r="BN47" s="336">
        <f>BN46-BM46</f>
        <v>19.149999999999977</v>
      </c>
      <c r="BO47" s="336">
        <f>BO46-BN46</f>
        <v>27.68100000000004</v>
      </c>
      <c r="BP47" s="336">
        <f>BP46-BO46</f>
        <v>15</v>
      </c>
      <c r="BQ47" s="336">
        <f t="shared" ref="BQ47:BR47" si="217">BQ46-BP46</f>
        <v>15</v>
      </c>
      <c r="BR47" s="336">
        <f t="shared" si="217"/>
        <v>0.33319130584106915</v>
      </c>
      <c r="BS47" s="336"/>
      <c r="BT47" s="336"/>
      <c r="BU47" s="336"/>
      <c r="BV47" s="336"/>
      <c r="BW47" s="203"/>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V47" s="203"/>
      <c r="DW47" s="203"/>
      <c r="DX47" s="203"/>
      <c r="DY47" s="203"/>
      <c r="DZ47" s="203"/>
      <c r="EA47" s="203"/>
      <c r="EB47" s="203"/>
      <c r="EX47" s="344">
        <v>-10</v>
      </c>
      <c r="EY47" s="344">
        <v>20</v>
      </c>
      <c r="EZ47" s="344">
        <v>20</v>
      </c>
      <c r="FA47" s="577">
        <v>26.025420181348863</v>
      </c>
      <c r="FB47" s="203"/>
      <c r="FC47" s="203"/>
      <c r="FD47" s="574"/>
    </row>
    <row r="48" spans="1:160">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203"/>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V48" s="203"/>
      <c r="DW48" s="203"/>
      <c r="DX48" s="203"/>
      <c r="DY48" s="203"/>
      <c r="DZ48" s="203"/>
      <c r="EA48" s="203"/>
      <c r="EB48" s="203"/>
      <c r="EX48" s="336"/>
      <c r="EY48" s="336"/>
      <c r="EZ48" s="336"/>
      <c r="FA48" s="577"/>
      <c r="FB48" s="203"/>
      <c r="FC48" s="203"/>
      <c r="FD48" s="574"/>
    </row>
    <row r="49" spans="1:160">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V49" s="203"/>
      <c r="DW49" s="203"/>
      <c r="DX49" s="203"/>
      <c r="DY49" s="203"/>
      <c r="DZ49" s="203"/>
      <c r="EA49" s="203"/>
      <c r="EB49" s="203"/>
      <c r="EX49" s="336"/>
      <c r="EY49" s="336"/>
      <c r="EZ49" s="336"/>
      <c r="FA49" s="577"/>
      <c r="FB49" s="203"/>
      <c r="FC49" s="203"/>
      <c r="FD49" s="574"/>
    </row>
    <row r="50" spans="1:160">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203"/>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V50" s="203"/>
      <c r="DW50" s="203"/>
      <c r="DX50" s="203"/>
      <c r="DY50" s="203"/>
      <c r="DZ50" s="203"/>
      <c r="EA50" s="203"/>
      <c r="EB50" s="203"/>
      <c r="EX50" s="336"/>
      <c r="EY50" s="336"/>
      <c r="EZ50" s="336"/>
      <c r="FA50" s="577"/>
      <c r="FB50" s="203"/>
      <c r="FC50" s="203"/>
      <c r="FD50" s="574"/>
    </row>
    <row r="51" spans="1:160">
      <c r="A51" s="203"/>
      <c r="B51" s="205" t="s">
        <v>177</v>
      </c>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337"/>
      <c r="AF51" s="203"/>
      <c r="AG51" s="203"/>
      <c r="AH51" s="203"/>
      <c r="AI51" s="337"/>
      <c r="AJ51" s="337"/>
      <c r="AK51" s="337"/>
      <c r="AL51" s="337"/>
      <c r="AM51" s="337"/>
      <c r="AN51" s="337"/>
      <c r="AO51" s="337"/>
      <c r="AP51" s="337"/>
      <c r="AQ51" s="337"/>
      <c r="AR51" s="337"/>
      <c r="AS51" s="337"/>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203"/>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V51" s="203"/>
      <c r="DW51" s="203"/>
      <c r="DX51" s="203"/>
      <c r="DY51" s="203"/>
      <c r="DZ51" s="203"/>
      <c r="EA51" s="203"/>
      <c r="EB51" s="203"/>
      <c r="EX51" s="337"/>
      <c r="EY51" s="337"/>
      <c r="EZ51" s="336">
        <v>42.3494526000012</v>
      </c>
      <c r="FA51" s="577">
        <v>11.530218794508301</v>
      </c>
      <c r="FB51" s="203"/>
      <c r="FC51" s="203"/>
      <c r="FD51" s="574"/>
    </row>
    <row r="52" spans="1:160">
      <c r="A52" s="203"/>
      <c r="B52" s="203" t="str">
        <f>B40</f>
        <v>Video</v>
      </c>
      <c r="C52" s="203"/>
      <c r="D52" s="203"/>
      <c r="E52" s="203"/>
      <c r="F52" s="203"/>
      <c r="G52" s="203"/>
      <c r="H52" s="203"/>
      <c r="I52" s="203"/>
      <c r="J52" s="203"/>
      <c r="K52" s="203"/>
      <c r="L52" s="203"/>
      <c r="M52" s="203"/>
      <c r="N52" s="203"/>
      <c r="O52" s="336">
        <f t="shared" ref="O52:AB52" si="218">O40*3*AVERAGE(N11,O11)/1000</f>
        <v>1260.912</v>
      </c>
      <c r="P52" s="336">
        <f t="shared" si="218"/>
        <v>1213.7183653499999</v>
      </c>
      <c r="Q52" s="336">
        <f t="shared" si="218"/>
        <v>1244.0137017</v>
      </c>
      <c r="R52" s="336">
        <f t="shared" si="218"/>
        <v>1292.6256000000001</v>
      </c>
      <c r="S52" s="336">
        <f t="shared" si="218"/>
        <v>1367.1564000000001</v>
      </c>
      <c r="T52" s="336">
        <f t="shared" si="218"/>
        <v>1352.3235</v>
      </c>
      <c r="U52" s="336">
        <f t="shared" si="218"/>
        <v>1387.7162999999998</v>
      </c>
      <c r="V52" s="336">
        <f t="shared" si="218"/>
        <v>1394.3758499999999</v>
      </c>
      <c r="W52" s="336">
        <f t="shared" si="218"/>
        <v>1444.2947999999999</v>
      </c>
      <c r="X52" s="336">
        <f t="shared" si="218"/>
        <v>1469.4493499999999</v>
      </c>
      <c r="Y52" s="336">
        <f t="shared" si="218"/>
        <v>1473.2407499999999</v>
      </c>
      <c r="Z52" s="336">
        <f t="shared" si="218"/>
        <v>1560.2495999999999</v>
      </c>
      <c r="AA52" s="336">
        <f t="shared" si="218"/>
        <v>1528.60878</v>
      </c>
      <c r="AB52" s="336">
        <f t="shared" si="218"/>
        <v>1523.5767417000002</v>
      </c>
      <c r="AC52" s="343">
        <v>1562</v>
      </c>
      <c r="AD52" s="343">
        <v>1624.9</v>
      </c>
      <c r="AE52" s="336">
        <v>1671.5</v>
      </c>
      <c r="AF52" s="336">
        <f>AF40*3*AVERAGE(AE11,AF11)/1000</f>
        <v>1633.5939599999997</v>
      </c>
      <c r="AG52" s="343">
        <v>1709</v>
      </c>
      <c r="AH52" s="336">
        <f>AH40*3*AVERAGE(AG11,AH11)/1000</f>
        <v>1866.1616654999998</v>
      </c>
      <c r="AI52" s="336">
        <v>1932.7</v>
      </c>
      <c r="AJ52" s="336">
        <f t="shared" ref="AJ52:AW52" si="219">AJ40*3*AVERAGE(AI11,AJ11)/1000</f>
        <v>1975.1422602</v>
      </c>
      <c r="AK52" s="336">
        <f t="shared" si="219"/>
        <v>1940.5669696500001</v>
      </c>
      <c r="AL52" s="336">
        <f t="shared" si="219"/>
        <v>1927.2532649999998</v>
      </c>
      <c r="AM52" s="336">
        <f t="shared" si="219"/>
        <v>1873.1112083999999</v>
      </c>
      <c r="AN52" s="336">
        <f t="shared" si="219"/>
        <v>1826.2673208000003</v>
      </c>
      <c r="AO52" s="336">
        <f t="shared" si="219"/>
        <v>1839.2967403499999</v>
      </c>
      <c r="AP52" s="336">
        <f t="shared" si="219"/>
        <v>1951.62636825</v>
      </c>
      <c r="AQ52" s="336">
        <f t="shared" si="219"/>
        <v>1992.5376471000004</v>
      </c>
      <c r="AR52" s="336">
        <f t="shared" si="219"/>
        <v>1999.3148549999999</v>
      </c>
      <c r="AS52" s="336">
        <f t="shared" si="219"/>
        <v>2039.5748549999998</v>
      </c>
      <c r="AT52" s="336">
        <f t="shared" si="219"/>
        <v>2097.3075816</v>
      </c>
      <c r="AU52" s="336">
        <f t="shared" si="219"/>
        <v>2194.2116136</v>
      </c>
      <c r="AV52" s="336">
        <f t="shared" si="219"/>
        <v>2237.9705528999998</v>
      </c>
      <c r="AW52" s="336">
        <f t="shared" si="219"/>
        <v>2244.5619304500005</v>
      </c>
      <c r="AX52" s="336">
        <v>2289.4969999999998</v>
      </c>
      <c r="AY52" s="336">
        <f t="shared" ref="AY52:BO52" si="220">AY40*3*AVERAGE(AX11,AY11)/1000</f>
        <v>2342.4257726999999</v>
      </c>
      <c r="AZ52" s="336">
        <f t="shared" si="220"/>
        <v>2275.8140112000001</v>
      </c>
      <c r="BA52" s="336">
        <f t="shared" si="220"/>
        <v>2300.7857328</v>
      </c>
      <c r="BB52" s="336">
        <f t="shared" si="220"/>
        <v>2326.9098765000003</v>
      </c>
      <c r="BC52" s="336">
        <f t="shared" si="220"/>
        <v>2347.4652735</v>
      </c>
      <c r="BD52" s="336">
        <f t="shared" si="220"/>
        <v>2338.19065305</v>
      </c>
      <c r="BE52" s="336">
        <f t="shared" si="220"/>
        <v>2342.2830549</v>
      </c>
      <c r="BF52" s="336">
        <f t="shared" si="220"/>
        <v>2452.3176656999999</v>
      </c>
      <c r="BG52" s="336">
        <f t="shared" si="220"/>
        <v>2432.6044830000001</v>
      </c>
      <c r="BH52" s="336">
        <f t="shared" si="220"/>
        <v>2451.9289698000002</v>
      </c>
      <c r="BI52" s="336">
        <f t="shared" si="220"/>
        <v>2454.3123207000003</v>
      </c>
      <c r="BJ52" s="336">
        <f t="shared" si="220"/>
        <v>2537.9168076000005</v>
      </c>
      <c r="BK52" s="336">
        <f t="shared" si="220"/>
        <v>2609.4563479500002</v>
      </c>
      <c r="BL52" s="336">
        <f t="shared" si="220"/>
        <v>2655.4872317999993</v>
      </c>
      <c r="BM52" s="336">
        <f t="shared" si="220"/>
        <v>2696.3268779999999</v>
      </c>
      <c r="BN52" s="336">
        <f t="shared" si="220"/>
        <v>2817.2644847999995</v>
      </c>
      <c r="BO52" s="336">
        <f t="shared" si="220"/>
        <v>2805.8436247499999</v>
      </c>
      <c r="BP52" s="352">
        <v>2830</v>
      </c>
      <c r="BQ52" s="352">
        <v>2850</v>
      </c>
      <c r="BR52" s="336">
        <f>Fixed!S50-BO52-BP52-BQ52</f>
        <v>2901.0360191219734</v>
      </c>
      <c r="BS52" s="336"/>
      <c r="BT52" s="336"/>
      <c r="BU52" s="336"/>
      <c r="BV52" s="336"/>
      <c r="BW52" s="336"/>
      <c r="BX52" s="337">
        <f t="shared" ref="BX52:CG54" si="221">W52/S52-1</f>
        <v>5.6422513181374034E-2</v>
      </c>
      <c r="BY52" s="337">
        <f t="shared" si="221"/>
        <v>8.6610822040732005E-2</v>
      </c>
      <c r="BZ52" s="337">
        <f t="shared" si="221"/>
        <v>6.1629635682740158E-2</v>
      </c>
      <c r="CA52" s="337">
        <f t="shared" si="221"/>
        <v>0.11895913859953899</v>
      </c>
      <c r="CB52" s="337">
        <f t="shared" si="221"/>
        <v>5.8377264807710993E-2</v>
      </c>
      <c r="CC52" s="337">
        <f t="shared" si="221"/>
        <v>3.6835153045595259E-2</v>
      </c>
      <c r="CD52" s="337">
        <f t="shared" si="221"/>
        <v>6.0247620763951959E-2</v>
      </c>
      <c r="CE52" s="337">
        <f t="shared" si="221"/>
        <v>4.1435934353067694E-2</v>
      </c>
      <c r="CF52" s="337">
        <f t="shared" si="221"/>
        <v>9.3477953201341668E-2</v>
      </c>
      <c r="CG52" s="337">
        <f t="shared" si="221"/>
        <v>7.2209830518443541E-2</v>
      </c>
      <c r="CH52" s="337">
        <f t="shared" ref="CH52:CQ54" si="222">AG52/AC52-1</f>
        <v>9.4110115236875735E-2</v>
      </c>
      <c r="CI52" s="337">
        <f t="shared" si="222"/>
        <v>0.14847785432949712</v>
      </c>
      <c r="CJ52" s="337">
        <f t="shared" si="222"/>
        <v>0.15626682620400834</v>
      </c>
      <c r="CK52" s="337">
        <f t="shared" si="222"/>
        <v>0.20907784220749703</v>
      </c>
      <c r="CL52" s="337">
        <f t="shared" si="222"/>
        <v>0.13549851939730839</v>
      </c>
      <c r="CM52" s="337">
        <f t="shared" si="222"/>
        <v>3.2736499001886799E-2</v>
      </c>
      <c r="CN52" s="337">
        <f t="shared" si="222"/>
        <v>-3.0831888860143875E-2</v>
      </c>
      <c r="CO52" s="337">
        <f t="shared" si="222"/>
        <v>-7.537428690575676E-2</v>
      </c>
      <c r="CP52" s="337">
        <f t="shared" si="222"/>
        <v>-5.2185897670032677E-2</v>
      </c>
      <c r="CQ52" s="337">
        <f t="shared" si="222"/>
        <v>1.2646549206909885E-2</v>
      </c>
      <c r="CR52" s="337">
        <f t="shared" ref="CR52:DA54" si="223">AQ52/AM52-1</f>
        <v>6.3758327943600257E-2</v>
      </c>
      <c r="CS52" s="337">
        <f t="shared" si="223"/>
        <v>9.4754766856472994E-2</v>
      </c>
      <c r="CT52" s="337">
        <f t="shared" si="223"/>
        <v>0.10888841928349691</v>
      </c>
      <c r="CU52" s="337">
        <f t="shared" si="223"/>
        <v>7.4646057114216235E-2</v>
      </c>
      <c r="CV52" s="337">
        <f t="shared" si="223"/>
        <v>0.10121463290468902</v>
      </c>
      <c r="CW52" s="337">
        <f t="shared" si="223"/>
        <v>0.11936874139816256</v>
      </c>
      <c r="CX52" s="337">
        <f t="shared" si="223"/>
        <v>0.10050480615971358</v>
      </c>
      <c r="CY52" s="337">
        <f t="shared" si="223"/>
        <v>9.1636257879438743E-2</v>
      </c>
      <c r="CZ52" s="337">
        <f t="shared" si="223"/>
        <v>6.7547796293370155E-2</v>
      </c>
      <c r="DA52" s="337">
        <f t="shared" si="223"/>
        <v>1.6909721287870383E-2</v>
      </c>
      <c r="DB52" s="337">
        <f t="shared" ref="DB52:DK54" si="224">BA52/AW52-1</f>
        <v>2.5048897777005141E-2</v>
      </c>
      <c r="DC52" s="337">
        <f t="shared" si="224"/>
        <v>1.6341089986141366E-2</v>
      </c>
      <c r="DD52" s="337">
        <f t="shared" si="224"/>
        <v>2.1514025582938245E-3</v>
      </c>
      <c r="DE52" s="337">
        <f t="shared" si="224"/>
        <v>2.7408497154435718E-2</v>
      </c>
      <c r="DF52" s="337">
        <f t="shared" si="224"/>
        <v>1.8036152392816973E-2</v>
      </c>
      <c r="DG52" s="337">
        <f t="shared" si="224"/>
        <v>5.3894562254654499E-2</v>
      </c>
      <c r="DH52" s="337">
        <f t="shared" si="224"/>
        <v>3.6268570385733501E-2</v>
      </c>
      <c r="DI52" s="337">
        <f t="shared" si="224"/>
        <v>4.8643730827354403E-2</v>
      </c>
      <c r="DJ52" s="337">
        <f t="shared" si="224"/>
        <v>4.7829089471333353E-2</v>
      </c>
      <c r="DK52" s="337">
        <f t="shared" si="224"/>
        <v>3.4905405240624354E-2</v>
      </c>
      <c r="DL52" s="337">
        <f t="shared" ref="DL52:DS54" si="225">BK52/BG52-1</f>
        <v>7.2700624448368334E-2</v>
      </c>
      <c r="DM52" s="337">
        <f t="shared" si="225"/>
        <v>8.3019640661369909E-2</v>
      </c>
      <c r="DN52" s="337">
        <f t="shared" si="225"/>
        <v>9.8607889166678619E-2</v>
      </c>
      <c r="DO52" s="337">
        <f t="shared" si="225"/>
        <v>0.11006967461008554</v>
      </c>
      <c r="DP52" s="337">
        <f t="shared" si="225"/>
        <v>7.5259843666011905E-2</v>
      </c>
      <c r="DQ52" s="337">
        <f t="shared" si="225"/>
        <v>6.5717796007517926E-2</v>
      </c>
      <c r="DR52" s="337">
        <f t="shared" si="225"/>
        <v>5.6993505963189195E-2</v>
      </c>
      <c r="DS52" s="337">
        <f t="shared" si="225"/>
        <v>2.9735062069587981E-2</v>
      </c>
      <c r="DT52" s="203"/>
      <c r="DV52" s="203"/>
      <c r="DW52" s="203"/>
      <c r="DX52" s="203"/>
      <c r="DY52" s="203"/>
      <c r="DZ52" s="203"/>
      <c r="EA52" s="203"/>
      <c r="EB52" s="203"/>
      <c r="EX52" s="336">
        <v>2586.7298849999997</v>
      </c>
      <c r="EY52" s="336">
        <v>2642.650752</v>
      </c>
      <c r="EZ52" s="336">
        <v>2702.8074240000001</v>
      </c>
      <c r="FA52" s="577">
        <v>2750.8137199274624</v>
      </c>
      <c r="FB52" s="337">
        <v>7.7784383050687023E-2</v>
      </c>
      <c r="FC52" s="337">
        <v>0.10124836240447421</v>
      </c>
      <c r="FD52" s="576">
        <v>8.388648189330894E-2</v>
      </c>
    </row>
    <row r="53" spans="1:160">
      <c r="A53" s="203"/>
      <c r="B53" s="203" t="str">
        <f>B41</f>
        <v>Internet</v>
      </c>
      <c r="C53" s="203"/>
      <c r="D53" s="203"/>
      <c r="E53" s="203"/>
      <c r="F53" s="203"/>
      <c r="G53" s="203"/>
      <c r="H53" s="203"/>
      <c r="I53" s="203"/>
      <c r="J53" s="203"/>
      <c r="K53" s="203"/>
      <c r="L53" s="203"/>
      <c r="M53" s="203"/>
      <c r="N53" s="203"/>
      <c r="O53" s="336">
        <f t="shared" ref="O53:AB53" si="226">O41*3*AVERAGE(N18,O18)/1000</f>
        <v>380.23284599999994</v>
      </c>
      <c r="P53" s="336">
        <f t="shared" si="226"/>
        <v>382.99970939999992</v>
      </c>
      <c r="Q53" s="336">
        <f t="shared" si="226"/>
        <v>406.56267300000002</v>
      </c>
      <c r="R53" s="336">
        <f t="shared" si="226"/>
        <v>446.00880000000006</v>
      </c>
      <c r="S53" s="336">
        <f t="shared" si="226"/>
        <v>443.20769999999993</v>
      </c>
      <c r="T53" s="336">
        <f t="shared" si="226"/>
        <v>434.6361</v>
      </c>
      <c r="U53" s="336">
        <f t="shared" si="226"/>
        <v>452.46600000000001</v>
      </c>
      <c r="V53" s="336">
        <f t="shared" si="226"/>
        <v>466.22024999999996</v>
      </c>
      <c r="W53" s="336">
        <f t="shared" si="226"/>
        <v>500.50274999999993</v>
      </c>
      <c r="X53" s="336">
        <f t="shared" si="226"/>
        <v>538.03949999999998</v>
      </c>
      <c r="Y53" s="336">
        <f t="shared" si="226"/>
        <v>534.66480000000001</v>
      </c>
      <c r="Z53" s="336">
        <f t="shared" si="226"/>
        <v>558.90945000000011</v>
      </c>
      <c r="AA53" s="336">
        <f t="shared" si="226"/>
        <v>565.45245</v>
      </c>
      <c r="AB53" s="336">
        <f t="shared" si="226"/>
        <v>620.31451500000003</v>
      </c>
      <c r="AC53" s="343">
        <v>631</v>
      </c>
      <c r="AD53" s="343">
        <v>695.8</v>
      </c>
      <c r="AE53" s="336">
        <v>789</v>
      </c>
      <c r="AF53" s="336">
        <f>AF41*3*AVERAGE(AE18,AF18)/1000</f>
        <v>809.4319200000001</v>
      </c>
      <c r="AG53" s="343">
        <v>885.6</v>
      </c>
      <c r="AH53" s="343">
        <v>1006</v>
      </c>
      <c r="AI53" s="336">
        <v>1073.8</v>
      </c>
      <c r="AJ53" s="336">
        <f t="shared" ref="AJ53:AW53" si="227">AJ41*3*AVERAGE(AI18,AJ18)/1000</f>
        <v>1100.7035473499998</v>
      </c>
      <c r="AK53" s="336">
        <f t="shared" si="227"/>
        <v>1107.8681167500001</v>
      </c>
      <c r="AL53" s="336">
        <f t="shared" si="227"/>
        <v>1175.1887400000001</v>
      </c>
      <c r="AM53" s="336">
        <f t="shared" si="227"/>
        <v>1212.4931916</v>
      </c>
      <c r="AN53" s="336">
        <f t="shared" si="227"/>
        <v>1264.1237999999998</v>
      </c>
      <c r="AO53" s="336">
        <f t="shared" si="227"/>
        <v>1294.6642271999999</v>
      </c>
      <c r="AP53" s="336">
        <f t="shared" si="227"/>
        <v>1365.9079247999996</v>
      </c>
      <c r="AQ53" s="336">
        <f t="shared" si="227"/>
        <v>1462.7600368500002</v>
      </c>
      <c r="AR53" s="336">
        <f t="shared" si="227"/>
        <v>1493.1746296500003</v>
      </c>
      <c r="AS53" s="336">
        <f t="shared" si="227"/>
        <v>1526.1939891</v>
      </c>
      <c r="AT53" s="336">
        <f t="shared" si="227"/>
        <v>1574.0239491</v>
      </c>
      <c r="AU53" s="336">
        <f t="shared" si="227"/>
        <v>1609.6088189999998</v>
      </c>
      <c r="AV53" s="336">
        <f t="shared" si="227"/>
        <v>1637.8770901499997</v>
      </c>
      <c r="AW53" s="336">
        <f t="shared" si="227"/>
        <v>1661.6464045500002</v>
      </c>
      <c r="AX53" s="336">
        <v>1708.356</v>
      </c>
      <c r="AY53" s="336">
        <f t="shared" ref="AY53:BO53" si="228">AY41*3*AVERAGE(AX18,AY18)/1000</f>
        <v>1743.9517136999998</v>
      </c>
      <c r="AZ53" s="336">
        <f t="shared" si="228"/>
        <v>1739.6318458500002</v>
      </c>
      <c r="BA53" s="336">
        <f t="shared" si="228"/>
        <v>1803.6817425000002</v>
      </c>
      <c r="BB53" s="336">
        <f t="shared" si="228"/>
        <v>1891.3777348499996</v>
      </c>
      <c r="BC53" s="336">
        <f t="shared" si="228"/>
        <v>1975.5928080000001</v>
      </c>
      <c r="BD53" s="336">
        <f t="shared" si="228"/>
        <v>2030.1580199999999</v>
      </c>
      <c r="BE53" s="336">
        <f t="shared" si="228"/>
        <v>2061.4961825999999</v>
      </c>
      <c r="BF53" s="336">
        <f t="shared" si="228"/>
        <v>2134.926927</v>
      </c>
      <c r="BG53" s="336">
        <f t="shared" si="228"/>
        <v>2183.7038940000002</v>
      </c>
      <c r="BH53" s="336">
        <f t="shared" si="228"/>
        <v>2271.479652</v>
      </c>
      <c r="BI53" s="336">
        <f t="shared" si="228"/>
        <v>2232.6434919000003</v>
      </c>
      <c r="BJ53" s="336">
        <f t="shared" si="228"/>
        <v>2301.0250415999994</v>
      </c>
      <c r="BK53" s="336">
        <f t="shared" si="228"/>
        <v>2391.7179487500002</v>
      </c>
      <c r="BL53" s="336">
        <f t="shared" si="228"/>
        <v>2519.2190349000002</v>
      </c>
      <c r="BM53" s="336">
        <f t="shared" si="228"/>
        <v>2614.9848981000005</v>
      </c>
      <c r="BN53" s="336">
        <f t="shared" si="228"/>
        <v>2752.7130383999993</v>
      </c>
      <c r="BO53" s="336">
        <f t="shared" si="228"/>
        <v>2859.6210536999997</v>
      </c>
      <c r="BP53" s="352">
        <v>3000</v>
      </c>
      <c r="BQ53" s="352">
        <v>3100</v>
      </c>
      <c r="BR53" s="336">
        <f>Fixed!S51-BO53-BP53-BQ53</f>
        <v>3226.1952045919461</v>
      </c>
      <c r="BS53" s="336"/>
      <c r="BT53" s="336"/>
      <c r="BU53" s="336"/>
      <c r="BV53" s="336"/>
      <c r="BW53" s="336"/>
      <c r="BX53" s="337">
        <f t="shared" si="221"/>
        <v>0.12927358888394758</v>
      </c>
      <c r="BY53" s="337">
        <f t="shared" si="221"/>
        <v>0.23790798785466727</v>
      </c>
      <c r="BZ53" s="337">
        <f t="shared" si="221"/>
        <v>0.18166845685642685</v>
      </c>
      <c r="CA53" s="337">
        <f t="shared" si="221"/>
        <v>0.19880989725349796</v>
      </c>
      <c r="CB53" s="337">
        <f t="shared" si="221"/>
        <v>0.12976891735360119</v>
      </c>
      <c r="CC53" s="337">
        <f t="shared" si="221"/>
        <v>0.15291631004786832</v>
      </c>
      <c r="CD53" s="337">
        <f t="shared" si="221"/>
        <v>0.18017868391560476</v>
      </c>
      <c r="CE53" s="337">
        <f t="shared" si="221"/>
        <v>0.24492437907428433</v>
      </c>
      <c r="CF53" s="337">
        <f t="shared" si="221"/>
        <v>0.3953427914230454</v>
      </c>
      <c r="CG53" s="337">
        <f t="shared" si="221"/>
        <v>0.3048734157059021</v>
      </c>
      <c r="CH53" s="337">
        <f t="shared" si="222"/>
        <v>0.40348652931854212</v>
      </c>
      <c r="CI53" s="337">
        <f t="shared" si="222"/>
        <v>0.44581776372520854</v>
      </c>
      <c r="CJ53" s="337">
        <f t="shared" si="222"/>
        <v>0.36096324461343476</v>
      </c>
      <c r="CK53" s="337">
        <f t="shared" si="222"/>
        <v>0.35984697434467328</v>
      </c>
      <c r="CL53" s="337">
        <f t="shared" si="222"/>
        <v>0.25098025829945803</v>
      </c>
      <c r="CM53" s="337">
        <f t="shared" si="222"/>
        <v>0.16817966202783308</v>
      </c>
      <c r="CN53" s="337">
        <f t="shared" si="222"/>
        <v>0.12916110225367872</v>
      </c>
      <c r="CO53" s="337">
        <f t="shared" si="222"/>
        <v>0.14846890703990434</v>
      </c>
      <c r="CP53" s="337">
        <f t="shared" si="222"/>
        <v>0.16860861651834314</v>
      </c>
      <c r="CQ53" s="337">
        <f t="shared" si="222"/>
        <v>0.16228813152174992</v>
      </c>
      <c r="CR53" s="337">
        <f t="shared" si="223"/>
        <v>0.20640680457739258</v>
      </c>
      <c r="CS53" s="337">
        <f t="shared" si="223"/>
        <v>0.181193352779214</v>
      </c>
      <c r="CT53" s="337">
        <f t="shared" si="223"/>
        <v>0.17883382968009776</v>
      </c>
      <c r="CU53" s="337">
        <f t="shared" si="223"/>
        <v>0.15236460710224908</v>
      </c>
      <c r="CV53" s="337">
        <f t="shared" si="223"/>
        <v>0.10039157377189012</v>
      </c>
      <c r="CW53" s="337">
        <f t="shared" si="223"/>
        <v>9.6909268096738055E-2</v>
      </c>
      <c r="CX53" s="337">
        <f t="shared" si="223"/>
        <v>8.8751768397329789E-2</v>
      </c>
      <c r="CY53" s="337">
        <f t="shared" si="223"/>
        <v>8.5343079421891233E-2</v>
      </c>
      <c r="CZ53" s="337">
        <f t="shared" si="223"/>
        <v>8.3463070725136257E-2</v>
      </c>
      <c r="DA53" s="337">
        <f t="shared" si="223"/>
        <v>6.2126002196344121E-2</v>
      </c>
      <c r="DB53" s="337">
        <f t="shared" si="224"/>
        <v>8.5478677991341678E-2</v>
      </c>
      <c r="DC53" s="337">
        <f t="shared" si="224"/>
        <v>0.10713325258318496</v>
      </c>
      <c r="DD53" s="337">
        <f t="shared" si="224"/>
        <v>0.13282540593314152</v>
      </c>
      <c r="DE53" s="337">
        <f t="shared" si="224"/>
        <v>0.16700440086968271</v>
      </c>
      <c r="DF53" s="337">
        <f t="shared" si="224"/>
        <v>0.14293787757847731</v>
      </c>
      <c r="DG53" s="337">
        <f t="shared" si="224"/>
        <v>0.12876813957488809</v>
      </c>
      <c r="DH53" s="337">
        <f t="shared" si="224"/>
        <v>0.10534108301937084</v>
      </c>
      <c r="DI53" s="337">
        <f t="shared" si="224"/>
        <v>0.11886839823434037</v>
      </c>
      <c r="DJ53" s="337">
        <f t="shared" si="224"/>
        <v>8.3020919827339279E-2</v>
      </c>
      <c r="DK53" s="337">
        <f t="shared" si="224"/>
        <v>7.7800374569915842E-2</v>
      </c>
      <c r="DL53" s="337">
        <f t="shared" si="225"/>
        <v>9.5257445536249152E-2</v>
      </c>
      <c r="DM53" s="337">
        <f t="shared" si="225"/>
        <v>0.10906520015791021</v>
      </c>
      <c r="DN53" s="337">
        <f t="shared" si="225"/>
        <v>0.17125054115765881</v>
      </c>
      <c r="DO53" s="337">
        <f t="shared" si="225"/>
        <v>0.19629860111644937</v>
      </c>
      <c r="DP53" s="337">
        <f t="shared" si="225"/>
        <v>0.19563473410171239</v>
      </c>
      <c r="DQ53" s="337">
        <f t="shared" si="225"/>
        <v>0.19084524149726589</v>
      </c>
      <c r="DR53" s="337">
        <f t="shared" si="225"/>
        <v>0.18547529748734015</v>
      </c>
      <c r="DS53" s="337">
        <f t="shared" si="225"/>
        <v>0.17200563937720004</v>
      </c>
      <c r="DT53" s="203"/>
      <c r="DV53" s="203"/>
      <c r="DW53" s="203"/>
      <c r="DX53" s="203"/>
      <c r="DY53" s="203"/>
      <c r="DZ53" s="203"/>
      <c r="EA53" s="203"/>
      <c r="EB53" s="203"/>
      <c r="EX53" s="336">
        <v>2356.31304</v>
      </c>
      <c r="EY53" s="336">
        <v>2479.5940499999997</v>
      </c>
      <c r="EZ53" s="336">
        <v>2571.2568900000001</v>
      </c>
      <c r="FA53" s="577">
        <v>2706.1312887971162</v>
      </c>
      <c r="FB53" s="337">
        <v>9.1620630550997229E-2</v>
      </c>
      <c r="FC53" s="337">
        <v>0.15166478630756974</v>
      </c>
      <c r="FD53" s="576">
        <v>0.17605468861626528</v>
      </c>
    </row>
    <row r="54" spans="1:160">
      <c r="A54" s="203"/>
      <c r="B54" s="203" t="str">
        <f>B42</f>
        <v>Voice</v>
      </c>
      <c r="C54" s="203"/>
      <c r="D54" s="203"/>
      <c r="E54" s="203"/>
      <c r="F54" s="203"/>
      <c r="G54" s="203"/>
      <c r="H54" s="203"/>
      <c r="I54" s="203"/>
      <c r="J54" s="203"/>
      <c r="K54" s="203"/>
      <c r="L54" s="203"/>
      <c r="M54" s="203"/>
      <c r="N54" s="203"/>
      <c r="O54" s="336">
        <f t="shared" ref="O54:AB54" si="229">O42*3*AVERAGE(N23,O23)/1000</f>
        <v>287.42849999999999</v>
      </c>
      <c r="P54" s="336">
        <f t="shared" si="229"/>
        <v>283.57422974999997</v>
      </c>
      <c r="Q54" s="336">
        <f t="shared" si="229"/>
        <v>273.15474285000005</v>
      </c>
      <c r="R54" s="336">
        <f t="shared" si="229"/>
        <v>288.81044999999995</v>
      </c>
      <c r="S54" s="336">
        <f t="shared" si="229"/>
        <v>290.58300000000003</v>
      </c>
      <c r="T54" s="336">
        <f t="shared" si="229"/>
        <v>276.24510000000004</v>
      </c>
      <c r="U54" s="336">
        <f t="shared" si="229"/>
        <v>282.42</v>
      </c>
      <c r="V54" s="336">
        <f t="shared" si="229"/>
        <v>282.69150000000002</v>
      </c>
      <c r="W54" s="336">
        <f t="shared" si="229"/>
        <v>296.56740000000002</v>
      </c>
      <c r="X54" s="336">
        <f t="shared" si="229"/>
        <v>311.63040000000001</v>
      </c>
      <c r="Y54" s="336">
        <f t="shared" si="229"/>
        <v>310.94489999999996</v>
      </c>
      <c r="Z54" s="336">
        <f t="shared" si="229"/>
        <v>309.47894999999994</v>
      </c>
      <c r="AA54" s="336">
        <f t="shared" si="229"/>
        <v>300.68811854999996</v>
      </c>
      <c r="AB54" s="336">
        <f t="shared" si="229"/>
        <v>311.25991064999999</v>
      </c>
      <c r="AC54" s="343">
        <v>326</v>
      </c>
      <c r="AD54" s="343">
        <v>327.8</v>
      </c>
      <c r="AE54" s="336">
        <v>334.7</v>
      </c>
      <c r="AF54" s="336">
        <f>AF42*3*AVERAGE(AE23,AF23)/1000</f>
        <v>329.238</v>
      </c>
      <c r="AG54" s="343">
        <v>349</v>
      </c>
      <c r="AH54" s="343">
        <v>344.35</v>
      </c>
      <c r="AI54" s="336">
        <f t="shared" ref="AI54:AW54" si="230">AI42*3*AVERAGE(AH23,AI23)/1000</f>
        <v>339.43497840000003</v>
      </c>
      <c r="AJ54" s="336">
        <f t="shared" si="230"/>
        <v>359.21065349999998</v>
      </c>
      <c r="AK54" s="336">
        <f t="shared" si="230"/>
        <v>376.4756754</v>
      </c>
      <c r="AL54" s="336">
        <f t="shared" si="230"/>
        <v>402.67127999999991</v>
      </c>
      <c r="AM54" s="336">
        <f t="shared" si="230"/>
        <v>417.16523699999999</v>
      </c>
      <c r="AN54" s="336">
        <f t="shared" si="230"/>
        <v>411.32820329999998</v>
      </c>
      <c r="AO54" s="336">
        <f t="shared" si="230"/>
        <v>410.16515400000003</v>
      </c>
      <c r="AP54" s="336">
        <f t="shared" si="230"/>
        <v>402.5487222000001</v>
      </c>
      <c r="AQ54" s="336">
        <f t="shared" si="230"/>
        <v>388.74285449999996</v>
      </c>
      <c r="AR54" s="336">
        <f t="shared" si="230"/>
        <v>409.02597450000002</v>
      </c>
      <c r="AS54" s="336">
        <f t="shared" si="230"/>
        <v>427.13384175000004</v>
      </c>
      <c r="AT54" s="336">
        <f t="shared" si="230"/>
        <v>431.40774149999999</v>
      </c>
      <c r="AU54" s="336">
        <f t="shared" si="230"/>
        <v>371.01822974999999</v>
      </c>
      <c r="AV54" s="336">
        <f t="shared" si="230"/>
        <v>394.92278279999999</v>
      </c>
      <c r="AW54" s="336">
        <f t="shared" si="230"/>
        <v>403.26742860000002</v>
      </c>
      <c r="AX54" s="336">
        <v>426.19600000000003</v>
      </c>
      <c r="AY54" s="336">
        <f t="shared" ref="AY54:BO54" si="231">AY42*3*AVERAGE(AX23,AY23)/1000</f>
        <v>440.98553385000002</v>
      </c>
      <c r="AZ54" s="336">
        <f t="shared" si="231"/>
        <v>434.32359750000001</v>
      </c>
      <c r="BA54" s="336">
        <f t="shared" si="231"/>
        <v>461.00023245</v>
      </c>
      <c r="BB54" s="336">
        <f t="shared" si="231"/>
        <v>496.36741140000004</v>
      </c>
      <c r="BC54" s="336">
        <f t="shared" si="231"/>
        <v>548.54547374999993</v>
      </c>
      <c r="BD54" s="336">
        <f t="shared" si="231"/>
        <v>574.36453260000019</v>
      </c>
      <c r="BE54" s="336">
        <f t="shared" si="231"/>
        <v>588.96914400000014</v>
      </c>
      <c r="BF54" s="336">
        <f t="shared" si="231"/>
        <v>625.49934614999995</v>
      </c>
      <c r="BG54" s="336">
        <f t="shared" si="231"/>
        <v>652.73372774999996</v>
      </c>
      <c r="BH54" s="336">
        <f t="shared" si="231"/>
        <v>631.06827420000002</v>
      </c>
      <c r="BI54" s="336">
        <f t="shared" si="231"/>
        <v>576.74364000000003</v>
      </c>
      <c r="BJ54" s="336">
        <f t="shared" si="231"/>
        <v>599.06481179999992</v>
      </c>
      <c r="BK54" s="336">
        <f t="shared" si="231"/>
        <v>620.06482559999995</v>
      </c>
      <c r="BL54" s="336">
        <f t="shared" si="231"/>
        <v>639.80762895000009</v>
      </c>
      <c r="BM54" s="336">
        <f t="shared" si="231"/>
        <v>638.46914174999995</v>
      </c>
      <c r="BN54" s="336">
        <f t="shared" si="231"/>
        <v>657.85198679999996</v>
      </c>
      <c r="BO54" s="336">
        <f t="shared" si="231"/>
        <v>689.07181155000001</v>
      </c>
      <c r="BP54" s="352">
        <v>710</v>
      </c>
      <c r="BQ54" s="352">
        <v>700</v>
      </c>
      <c r="BR54" s="336">
        <f>Fixed!S52-BO54-BP54-BQ54</f>
        <v>721.40578093729573</v>
      </c>
      <c r="BS54" s="336"/>
      <c r="BT54" s="336"/>
      <c r="BU54" s="336"/>
      <c r="BV54" s="336"/>
      <c r="BW54" s="336"/>
      <c r="BX54" s="337">
        <f t="shared" si="221"/>
        <v>2.0594460102621337E-2</v>
      </c>
      <c r="BY54" s="337">
        <f t="shared" si="221"/>
        <v>0.12809385578241916</v>
      </c>
      <c r="BZ54" s="337">
        <f t="shared" si="221"/>
        <v>0.10100169959634564</v>
      </c>
      <c r="CA54" s="337">
        <f t="shared" si="221"/>
        <v>9.4758597269461342E-2</v>
      </c>
      <c r="CB54" s="337">
        <f t="shared" si="221"/>
        <v>1.3894711792327596E-2</v>
      </c>
      <c r="CC54" s="337">
        <f t="shared" si="221"/>
        <v>-1.1888742240808714E-3</v>
      </c>
      <c r="CD54" s="337">
        <f t="shared" si="221"/>
        <v>4.8417259778179567E-2</v>
      </c>
      <c r="CE54" s="337">
        <f t="shared" si="221"/>
        <v>5.9199664468294388E-2</v>
      </c>
      <c r="CF54" s="337">
        <f t="shared" si="221"/>
        <v>0.11311348653885833</v>
      </c>
      <c r="CG54" s="337">
        <f t="shared" si="221"/>
        <v>5.7759090505605348E-2</v>
      </c>
      <c r="CH54" s="337">
        <f t="shared" si="222"/>
        <v>7.055214723926384E-2</v>
      </c>
      <c r="CI54" s="337">
        <f t="shared" si="222"/>
        <v>5.0488102501525356E-2</v>
      </c>
      <c r="CJ54" s="337">
        <f t="shared" si="222"/>
        <v>1.4146932775620069E-2</v>
      </c>
      <c r="CK54" s="337">
        <f t="shared" si="222"/>
        <v>9.1036434129717625E-2</v>
      </c>
      <c r="CL54" s="337">
        <f t="shared" si="222"/>
        <v>7.8726863610315112E-2</v>
      </c>
      <c r="CM54" s="337">
        <f t="shared" si="222"/>
        <v>0.16936628430376044</v>
      </c>
      <c r="CN54" s="337">
        <f t="shared" si="222"/>
        <v>0.2289989645922712</v>
      </c>
      <c r="CO54" s="337">
        <f t="shared" si="222"/>
        <v>0.14508909825526661</v>
      </c>
      <c r="CP54" s="337">
        <f t="shared" si="222"/>
        <v>8.9486468320178814E-2</v>
      </c>
      <c r="CQ54" s="337">
        <f t="shared" si="222"/>
        <v>-3.0436191029026283E-4</v>
      </c>
      <c r="CR54" s="337">
        <f t="shared" si="223"/>
        <v>-6.8132193143409125E-2</v>
      </c>
      <c r="CS54" s="337">
        <f t="shared" si="223"/>
        <v>-5.5970604046347017E-3</v>
      </c>
      <c r="CT54" s="337">
        <f t="shared" si="223"/>
        <v>4.1370378698722954E-2</v>
      </c>
      <c r="CU54" s="337">
        <f t="shared" si="223"/>
        <v>7.1690748742860855E-2</v>
      </c>
      <c r="CV54" s="337">
        <f t="shared" si="223"/>
        <v>-4.5594728095510129E-2</v>
      </c>
      <c r="CW54" s="337">
        <f t="shared" si="223"/>
        <v>-3.4479941566645023E-2</v>
      </c>
      <c r="CX54" s="337">
        <f t="shared" si="223"/>
        <v>-5.5875725164312717E-2</v>
      </c>
      <c r="CY54" s="337">
        <f t="shared" si="223"/>
        <v>-1.2080778805402925E-2</v>
      </c>
      <c r="CZ54" s="337">
        <f t="shared" si="223"/>
        <v>0.18858184986528959</v>
      </c>
      <c r="DA54" s="337">
        <f t="shared" si="223"/>
        <v>9.9768401358484526E-2</v>
      </c>
      <c r="DB54" s="337">
        <f t="shared" si="224"/>
        <v>0.14316257588773684</v>
      </c>
      <c r="DC54" s="337">
        <f t="shared" si="224"/>
        <v>0.16464587044458412</v>
      </c>
      <c r="DD54" s="337">
        <f t="shared" si="224"/>
        <v>0.24390809140824588</v>
      </c>
      <c r="DE54" s="337">
        <f t="shared" si="224"/>
        <v>0.3224345531904933</v>
      </c>
      <c r="DF54" s="337">
        <f t="shared" si="224"/>
        <v>0.27758968985743326</v>
      </c>
      <c r="DG54" s="337">
        <f t="shared" si="224"/>
        <v>0.26015393392927311</v>
      </c>
      <c r="DH54" s="337">
        <f t="shared" si="224"/>
        <v>0.18993549119591124</v>
      </c>
      <c r="DI54" s="337">
        <f t="shared" si="224"/>
        <v>9.8724309008630051E-2</v>
      </c>
      <c r="DJ54" s="337">
        <f t="shared" si="224"/>
        <v>-2.0757460937546379E-2</v>
      </c>
      <c r="DK54" s="337">
        <f t="shared" si="224"/>
        <v>-4.2261489980296219E-2</v>
      </c>
      <c r="DL54" s="337">
        <f t="shared" si="225"/>
        <v>-5.0049355136911777E-2</v>
      </c>
      <c r="DM54" s="337">
        <f t="shared" si="225"/>
        <v>1.3848509119047225E-2</v>
      </c>
      <c r="DN54" s="337">
        <f t="shared" si="225"/>
        <v>0.10702415678133859</v>
      </c>
      <c r="DO54" s="337">
        <f t="shared" si="225"/>
        <v>9.8131577488858479E-2</v>
      </c>
      <c r="DP54" s="337">
        <f t="shared" si="225"/>
        <v>0.11128995405153974</v>
      </c>
      <c r="DQ54" s="337">
        <f t="shared" si="225"/>
        <v>0.10970855593765561</v>
      </c>
      <c r="DR54" s="337">
        <f t="shared" si="225"/>
        <v>9.6372485726323731E-2</v>
      </c>
      <c r="DS54" s="337">
        <f t="shared" si="225"/>
        <v>9.6608044685616123E-2</v>
      </c>
      <c r="DT54" s="203"/>
      <c r="DV54" s="203"/>
      <c r="DW54" s="203"/>
      <c r="DX54" s="203"/>
      <c r="DY54" s="203"/>
      <c r="DZ54" s="203"/>
      <c r="EA54" s="203"/>
      <c r="EB54" s="203"/>
      <c r="EX54" s="336">
        <v>602.75774999999999</v>
      </c>
      <c r="EY54" s="336">
        <v>624.76337699999999</v>
      </c>
      <c r="EZ54" s="336">
        <v>586.42849799999999</v>
      </c>
      <c r="FA54" s="577">
        <v>663.7701442849874</v>
      </c>
      <c r="FB54" s="337">
        <v>-9.9908321456860794E-3</v>
      </c>
      <c r="FC54" s="337">
        <v>1.679231001142889E-2</v>
      </c>
      <c r="FD54" s="576">
        <v>0.10801057116102086</v>
      </c>
    </row>
    <row r="55" spans="1:160">
      <c r="A55" s="203"/>
      <c r="B55" s="203" t="s">
        <v>2071</v>
      </c>
      <c r="C55" s="203"/>
      <c r="D55" s="203"/>
      <c r="E55" s="203"/>
      <c r="F55" s="203"/>
      <c r="G55" s="203"/>
      <c r="H55" s="203"/>
      <c r="I55" s="203"/>
      <c r="J55" s="203"/>
      <c r="K55" s="203"/>
      <c r="L55" s="203"/>
      <c r="M55" s="203"/>
      <c r="N55" s="203"/>
      <c r="O55" s="336"/>
      <c r="P55" s="336"/>
      <c r="Q55" s="336"/>
      <c r="R55" s="336"/>
      <c r="S55" s="336"/>
      <c r="T55" s="336"/>
      <c r="U55" s="336"/>
      <c r="V55" s="336"/>
      <c r="W55" s="336">
        <f t="shared" ref="W55:BG55" si="232">W103-W60-W52-W53-W54</f>
        <v>35.935049999999876</v>
      </c>
      <c r="X55" s="336">
        <f t="shared" si="232"/>
        <v>1.1807499999998754</v>
      </c>
      <c r="Y55" s="336">
        <f t="shared" si="232"/>
        <v>14.349549999999908</v>
      </c>
      <c r="Z55" s="336">
        <f t="shared" ca="1" si="232"/>
        <v>25.5</v>
      </c>
      <c r="AA55" s="336">
        <f t="shared" si="232"/>
        <v>35.650651450000112</v>
      </c>
      <c r="AB55" s="336">
        <f t="shared" si="232"/>
        <v>28.27383264999952</v>
      </c>
      <c r="AC55" s="336">
        <f t="shared" si="232"/>
        <v>30.800000000000182</v>
      </c>
      <c r="AD55" s="336">
        <f t="shared" si="232"/>
        <v>30.157000000000096</v>
      </c>
      <c r="AE55" s="336">
        <f t="shared" si="232"/>
        <v>45.200000000000102</v>
      </c>
      <c r="AF55" s="336">
        <f t="shared" si="232"/>
        <v>65.736120000000199</v>
      </c>
      <c r="AG55" s="336">
        <f t="shared" si="232"/>
        <v>18.999999999999886</v>
      </c>
      <c r="AH55" s="336">
        <f t="shared" si="232"/>
        <v>29.838334500000997</v>
      </c>
      <c r="AI55" s="336">
        <f t="shared" si="232"/>
        <v>31.154021600000362</v>
      </c>
      <c r="AJ55" s="336">
        <f t="shared" si="232"/>
        <v>34.182538950000719</v>
      </c>
      <c r="AK55" s="336">
        <f t="shared" si="232"/>
        <v>27.889238199999909</v>
      </c>
      <c r="AL55" s="336">
        <f t="shared" si="232"/>
        <v>28.83771500000023</v>
      </c>
      <c r="AM55" s="336">
        <f t="shared" si="232"/>
        <v>26.818363000000716</v>
      </c>
      <c r="AN55" s="336">
        <f t="shared" si="232"/>
        <v>20.880675899999744</v>
      </c>
      <c r="AO55" s="336">
        <f t="shared" si="232"/>
        <v>35.025878449999254</v>
      </c>
      <c r="AP55" s="336">
        <f t="shared" si="232"/>
        <v>46.715984750000246</v>
      </c>
      <c r="AQ55" s="336">
        <f t="shared" si="232"/>
        <v>51.259461549999116</v>
      </c>
      <c r="AR55" s="336">
        <f t="shared" si="232"/>
        <v>35.78654084999954</v>
      </c>
      <c r="AS55" s="336">
        <f t="shared" si="232"/>
        <v>32.463314150000599</v>
      </c>
      <c r="AT55" s="336">
        <f t="shared" si="232"/>
        <v>27.857727799999736</v>
      </c>
      <c r="AU55" s="336">
        <f t="shared" si="232"/>
        <v>27.261337650000598</v>
      </c>
      <c r="AV55" s="336">
        <f t="shared" si="232"/>
        <v>83.489574150000692</v>
      </c>
      <c r="AW55" s="336">
        <f t="shared" si="232"/>
        <v>25.524236399999268</v>
      </c>
      <c r="AX55" s="336">
        <f t="shared" si="232"/>
        <v>30.268000000000143</v>
      </c>
      <c r="AY55" s="336">
        <f t="shared" si="232"/>
        <v>32.846979750000287</v>
      </c>
      <c r="AZ55" s="336">
        <f t="shared" si="232"/>
        <v>38.013545450000038</v>
      </c>
      <c r="BA55" s="336">
        <f t="shared" si="232"/>
        <v>80.645292249999216</v>
      </c>
      <c r="BB55" s="336">
        <f t="shared" si="232"/>
        <v>77.167977249999467</v>
      </c>
      <c r="BC55" s="336">
        <f t="shared" si="232"/>
        <v>89.296444749999637</v>
      </c>
      <c r="BD55" s="336">
        <f t="shared" si="232"/>
        <v>90.286794349999923</v>
      </c>
      <c r="BE55" s="336">
        <f t="shared" si="232"/>
        <v>108.62361850000025</v>
      </c>
      <c r="BF55" s="336">
        <f t="shared" si="232"/>
        <v>128.49806115000035</v>
      </c>
      <c r="BG55" s="336">
        <f t="shared" si="232"/>
        <v>154.32089525000004</v>
      </c>
      <c r="BH55" s="336">
        <f>BH103-BH60-BH52-BH53-BH54</f>
        <v>145.37110399999972</v>
      </c>
      <c r="BI55" s="336">
        <f>BI103-BI60-BI52-BI53-BI54</f>
        <v>167.6505473999988</v>
      </c>
      <c r="BJ55" s="336">
        <f>BJ103-BJ60-BJ52-BJ53-BJ54</f>
        <v>182.99333900000011</v>
      </c>
      <c r="BK55" s="336">
        <f t="shared" ref="BK55:BL55" si="233">BK103-BK60-BK52-BK53-BK54</f>
        <v>197.61687770000026</v>
      </c>
      <c r="BL55" s="336">
        <f t="shared" si="233"/>
        <v>206.21810435000032</v>
      </c>
      <c r="BM55" s="336">
        <f>BM103-BM60-BM52-BM53-BM54</f>
        <v>240.71308215000033</v>
      </c>
      <c r="BN55" s="336">
        <f>BN103-BN60-BN52-BN53-BN54</f>
        <v>209.64449000000138</v>
      </c>
      <c r="BO55" s="336">
        <f>BO103-BO60-BO52-BO53-BO54</f>
        <v>227.07451000000026</v>
      </c>
      <c r="BP55" s="352">
        <v>230</v>
      </c>
      <c r="BQ55" s="352">
        <v>235</v>
      </c>
      <c r="BR55" s="336">
        <f>Fixed!S53-BO55-BP55-BQ55</f>
        <v>236.79056073938352</v>
      </c>
      <c r="BS55" s="336"/>
      <c r="BT55" s="336"/>
      <c r="BU55" s="336"/>
      <c r="BV55" s="336"/>
      <c r="BW55" s="336"/>
      <c r="BX55" s="337"/>
      <c r="BY55" s="337"/>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203"/>
      <c r="DG55" s="203"/>
      <c r="DH55" s="203"/>
      <c r="DI55" s="203"/>
      <c r="DJ55" s="203"/>
      <c r="DK55" s="203"/>
      <c r="DL55" s="203"/>
      <c r="DM55" s="203"/>
      <c r="DN55" s="203"/>
      <c r="DO55" s="203"/>
      <c r="DP55" s="203"/>
      <c r="DQ55" s="203"/>
      <c r="DR55" s="203"/>
      <c r="DS55" s="203"/>
      <c r="DT55" s="203"/>
      <c r="DV55" s="203"/>
      <c r="DW55" s="203"/>
      <c r="DX55" s="203"/>
      <c r="DY55" s="203"/>
      <c r="DZ55" s="203"/>
      <c r="EA55" s="203"/>
      <c r="EB55" s="203"/>
      <c r="EX55" s="344">
        <v>190</v>
      </c>
      <c r="EY55" s="344">
        <v>195</v>
      </c>
      <c r="EZ55" s="344">
        <v>210</v>
      </c>
      <c r="FA55" s="577">
        <v>194.52355779450841</v>
      </c>
      <c r="FB55" s="203"/>
      <c r="FC55" s="203"/>
      <c r="FD55" s="574"/>
    </row>
    <row r="56" spans="1:160">
      <c r="A56" s="203"/>
      <c r="B56" s="358" t="s">
        <v>69</v>
      </c>
      <c r="C56" s="358"/>
      <c r="D56" s="358"/>
      <c r="E56" s="358"/>
      <c r="F56" s="358"/>
      <c r="G56" s="358"/>
      <c r="H56" s="358"/>
      <c r="I56" s="358"/>
      <c r="J56" s="358"/>
      <c r="K56" s="358"/>
      <c r="L56" s="358"/>
      <c r="M56" s="358"/>
      <c r="N56" s="358"/>
      <c r="O56" s="359">
        <f t="shared" ref="O56:V56" si="234">O57-O54-O53-O52</f>
        <v>115.4266540000001</v>
      </c>
      <c r="P56" s="359">
        <f t="shared" si="234"/>
        <v>128.7076955</v>
      </c>
      <c r="Q56" s="359">
        <f t="shared" si="234"/>
        <v>114.26888244999986</v>
      </c>
      <c r="R56" s="359">
        <f t="shared" si="234"/>
        <v>131.55514999999991</v>
      </c>
      <c r="S56" s="359">
        <f t="shared" si="234"/>
        <v>149.05289999999991</v>
      </c>
      <c r="T56" s="359">
        <f t="shared" si="234"/>
        <v>127.7953</v>
      </c>
      <c r="U56" s="359">
        <f t="shared" si="234"/>
        <v>134.39770000000021</v>
      </c>
      <c r="V56" s="359">
        <f t="shared" si="234"/>
        <v>135.71240000000034</v>
      </c>
      <c r="W56" s="359">
        <f t="shared" ref="W56:BG56" si="235">W57-W54-W53-W52-W55</f>
        <v>123.70000000000044</v>
      </c>
      <c r="X56" s="359">
        <f t="shared" si="235"/>
        <v>123.70000000000039</v>
      </c>
      <c r="Y56" s="359">
        <f t="shared" si="235"/>
        <v>141.80000000000018</v>
      </c>
      <c r="Z56" s="359">
        <f t="shared" ca="1" si="235"/>
        <v>302.50000000000023</v>
      </c>
      <c r="AA56" s="359">
        <f t="shared" si="235"/>
        <v>265.59999999999974</v>
      </c>
      <c r="AB56" s="359">
        <f t="shared" si="235"/>
        <v>307.5750000000001</v>
      </c>
      <c r="AC56" s="359">
        <f t="shared" si="235"/>
        <v>330.19999999999982</v>
      </c>
      <c r="AD56" s="359">
        <f t="shared" si="235"/>
        <v>429.79599999999988</v>
      </c>
      <c r="AE56" s="359">
        <f t="shared" si="235"/>
        <v>498.40000000000026</v>
      </c>
      <c r="AF56" s="359">
        <f t="shared" si="235"/>
        <v>870.00000000000023</v>
      </c>
      <c r="AG56" s="359">
        <f t="shared" si="235"/>
        <v>620.4000000000002</v>
      </c>
      <c r="AH56" s="359">
        <f t="shared" si="235"/>
        <v>681.15299999999945</v>
      </c>
      <c r="AI56" s="359">
        <f t="shared" si="235"/>
        <v>682.17499999999995</v>
      </c>
      <c r="AJ56" s="359">
        <f t="shared" si="235"/>
        <v>753.42700000000013</v>
      </c>
      <c r="AK56" s="359">
        <f t="shared" si="235"/>
        <v>766.7</v>
      </c>
      <c r="AL56" s="359">
        <f t="shared" si="235"/>
        <v>921.80000000000007</v>
      </c>
      <c r="AM56" s="359">
        <f t="shared" si="235"/>
        <v>760.35999999999945</v>
      </c>
      <c r="AN56" s="359">
        <f t="shared" si="235"/>
        <v>607.24000000000024</v>
      </c>
      <c r="AO56" s="359">
        <f t="shared" si="235"/>
        <v>698.40000000000032</v>
      </c>
      <c r="AP56" s="359">
        <f t="shared" si="235"/>
        <v>748.69999999999959</v>
      </c>
      <c r="AQ56" s="359">
        <f t="shared" si="235"/>
        <v>799.7</v>
      </c>
      <c r="AR56" s="359">
        <f t="shared" si="235"/>
        <v>895.84099999999989</v>
      </c>
      <c r="AS56" s="359">
        <f t="shared" si="235"/>
        <v>825.59999999999968</v>
      </c>
      <c r="AT56" s="359">
        <f t="shared" si="235"/>
        <v>926.49999999999955</v>
      </c>
      <c r="AU56" s="359">
        <f t="shared" si="235"/>
        <v>948.09999999999968</v>
      </c>
      <c r="AV56" s="359">
        <f t="shared" si="235"/>
        <v>990.79299999999944</v>
      </c>
      <c r="AW56" s="359">
        <f t="shared" si="235"/>
        <v>1070.3999999999996</v>
      </c>
      <c r="AX56" s="359">
        <f t="shared" si="235"/>
        <v>1170.6330000000003</v>
      </c>
      <c r="AY56" s="359">
        <f t="shared" si="235"/>
        <v>959.87899999999979</v>
      </c>
      <c r="AZ56" s="359">
        <f t="shared" si="235"/>
        <v>972.69200000000046</v>
      </c>
      <c r="BA56" s="359">
        <f t="shared" si="235"/>
        <v>975.32400000000064</v>
      </c>
      <c r="BB56" s="359">
        <f t="shared" si="235"/>
        <v>989.04099999999949</v>
      </c>
      <c r="BC56" s="359">
        <f t="shared" si="235"/>
        <v>991.07900000000086</v>
      </c>
      <c r="BD56" s="359">
        <f t="shared" si="235"/>
        <v>1030.7999999999997</v>
      </c>
      <c r="BE56" s="359">
        <f t="shared" si="235"/>
        <v>1043.5540000000005</v>
      </c>
      <c r="BF56" s="359">
        <f t="shared" si="235"/>
        <v>1132.2079999999996</v>
      </c>
      <c r="BG56" s="359">
        <f t="shared" si="235"/>
        <v>1139.0630000000001</v>
      </c>
      <c r="BH56" s="359">
        <f>BH57-BH54-BH53-BH52-BH55</f>
        <v>1181.3379999999997</v>
      </c>
      <c r="BI56" s="359">
        <f>BI57-BI54-BI53-BI52-BI55</f>
        <v>1305.5350000000012</v>
      </c>
      <c r="BJ56" s="359">
        <f>BJ57-BJ54-BJ53-BJ52-BJ55</f>
        <v>1554.0579999999995</v>
      </c>
      <c r="BK56" s="359">
        <f t="shared" ref="BK56:BL56" si="236">BK57-BK54-BK53-BK52-BK55</f>
        <v>1333.3319999999994</v>
      </c>
      <c r="BL56" s="359">
        <f t="shared" si="236"/>
        <v>1352.962</v>
      </c>
      <c r="BM56" s="359">
        <f t="shared" ref="BM56:BR56" ca="1" si="237">BM64+BM65</f>
        <v>1300.2370000000001</v>
      </c>
      <c r="BN56" s="359">
        <f t="shared" ref="BN56:BO56" ca="1" si="238">BN64+BN65</f>
        <v>1416.3689999999999</v>
      </c>
      <c r="BO56" s="359">
        <f t="shared" si="238"/>
        <v>1402.992</v>
      </c>
      <c r="BP56" s="359">
        <f t="shared" si="237"/>
        <v>1405</v>
      </c>
      <c r="BQ56" s="359">
        <f t="shared" si="237"/>
        <v>1465</v>
      </c>
      <c r="BR56" s="359">
        <f t="shared" si="237"/>
        <v>1490.7130000000002</v>
      </c>
      <c r="BS56" s="359"/>
      <c r="BT56" s="359"/>
      <c r="BU56" s="359"/>
      <c r="BV56" s="359"/>
      <c r="BW56" s="336"/>
      <c r="BX56" s="360">
        <f t="shared" ref="BX56:CG57" si="239">W56/S56-1</f>
        <v>-0.17009330244496734</v>
      </c>
      <c r="BY56" s="360">
        <f t="shared" si="239"/>
        <v>-3.2045779461369994E-2</v>
      </c>
      <c r="BZ56" s="360">
        <f t="shared" si="239"/>
        <v>5.5077579452624148E-2</v>
      </c>
      <c r="CA56" s="360">
        <f t="shared" ca="1" si="239"/>
        <v>1.2289783394885028</v>
      </c>
      <c r="CB56" s="360">
        <f t="shared" si="239"/>
        <v>1.1471301535974034</v>
      </c>
      <c r="CC56" s="360">
        <f t="shared" si="239"/>
        <v>1.486459175424407</v>
      </c>
      <c r="CD56" s="360">
        <f t="shared" si="239"/>
        <v>1.328631875881519</v>
      </c>
      <c r="CE56" s="360">
        <f t="shared" ca="1" si="239"/>
        <v>0.42081322314049441</v>
      </c>
      <c r="CF56" s="360">
        <f t="shared" si="239"/>
        <v>0.87650602409638845</v>
      </c>
      <c r="CG56" s="360">
        <f t="shared" si="239"/>
        <v>1.828578395513289</v>
      </c>
      <c r="CH56" s="360">
        <f t="shared" ref="CH56:CQ57" si="240">AG56/AC56-1</f>
        <v>0.87886129618413245</v>
      </c>
      <c r="CI56" s="360">
        <f t="shared" si="240"/>
        <v>0.5848286163668337</v>
      </c>
      <c r="CJ56" s="360">
        <f t="shared" si="240"/>
        <v>0.36872993579454172</v>
      </c>
      <c r="CK56" s="360">
        <f t="shared" si="240"/>
        <v>-0.13399195402298858</v>
      </c>
      <c r="CL56" s="360">
        <f t="shared" si="240"/>
        <v>0.23581560283687919</v>
      </c>
      <c r="CM56" s="360">
        <f t="shared" si="240"/>
        <v>0.35329360657591002</v>
      </c>
      <c r="CN56" s="360">
        <f t="shared" si="240"/>
        <v>0.11461135339172435</v>
      </c>
      <c r="CO56" s="360">
        <f t="shared" si="240"/>
        <v>-0.19402941492672798</v>
      </c>
      <c r="CP56" s="360">
        <f t="shared" si="240"/>
        <v>-8.9083083344202119E-2</v>
      </c>
      <c r="CQ56" s="360">
        <f t="shared" si="240"/>
        <v>-0.18778476893035412</v>
      </c>
      <c r="CR56" s="360">
        <f t="shared" ref="CR56:DA57" si="241">AQ56/AM56-1</f>
        <v>5.1738650113105189E-2</v>
      </c>
      <c r="CS56" s="360">
        <f t="shared" si="241"/>
        <v>0.47526678084447593</v>
      </c>
      <c r="CT56" s="360">
        <f t="shared" si="241"/>
        <v>0.18213058419243877</v>
      </c>
      <c r="CU56" s="360">
        <f t="shared" si="241"/>
        <v>0.23747829571256851</v>
      </c>
      <c r="CV56" s="360">
        <f t="shared" si="241"/>
        <v>0.18556958859572292</v>
      </c>
      <c r="CW56" s="360">
        <f t="shared" si="241"/>
        <v>0.10599202313803402</v>
      </c>
      <c r="CX56" s="360">
        <f t="shared" si="241"/>
        <v>0.29651162790697683</v>
      </c>
      <c r="CY56" s="360">
        <f t="shared" si="241"/>
        <v>0.26350026983270469</v>
      </c>
      <c r="CZ56" s="360">
        <f t="shared" si="241"/>
        <v>1.2423794958337897E-2</v>
      </c>
      <c r="DA56" s="360">
        <f t="shared" si="241"/>
        <v>-1.826920456644221E-2</v>
      </c>
      <c r="DB56" s="360">
        <f t="shared" ref="DB56:DK57" si="242">BA56/AW56-1</f>
        <v>-8.8822869955156092E-2</v>
      </c>
      <c r="DC56" s="360">
        <f t="shared" si="242"/>
        <v>-0.1551229121338632</v>
      </c>
      <c r="DD56" s="360">
        <f t="shared" si="242"/>
        <v>3.2504096870544119E-2</v>
      </c>
      <c r="DE56" s="360">
        <f t="shared" si="242"/>
        <v>5.9739362511462168E-2</v>
      </c>
      <c r="DF56" s="360">
        <f t="shared" si="242"/>
        <v>6.9956240182749374E-2</v>
      </c>
      <c r="DG56" s="360">
        <f t="shared" si="242"/>
        <v>0.14475335198439732</v>
      </c>
      <c r="DH56" s="360">
        <f t="shared" si="242"/>
        <v>0.14931604846838553</v>
      </c>
      <c r="DI56" s="360">
        <f t="shared" si="242"/>
        <v>0.14603996895615068</v>
      </c>
      <c r="DJ56" s="360">
        <f t="shared" si="242"/>
        <v>0.25104690317894485</v>
      </c>
      <c r="DK56" s="360">
        <f t="shared" si="242"/>
        <v>0.37259054873309494</v>
      </c>
      <c r="DL56" s="360">
        <f t="shared" ref="DL56:DS57" si="243">BK56/BG56-1</f>
        <v>0.17055158494306233</v>
      </c>
      <c r="DM56" s="360">
        <f t="shared" si="243"/>
        <v>0.14527933580397834</v>
      </c>
      <c r="DN56" s="360">
        <f t="shared" ca="1" si="243"/>
        <v>-4.0581064467831718E-3</v>
      </c>
      <c r="DO56" s="360">
        <f t="shared" ca="1" si="243"/>
        <v>-8.8599653294793135E-2</v>
      </c>
      <c r="DP56" s="360">
        <f t="shared" si="243"/>
        <v>5.2245052245052603E-2</v>
      </c>
      <c r="DQ56" s="360">
        <f t="shared" si="243"/>
        <v>3.8462277580597171E-2</v>
      </c>
      <c r="DR56" s="360">
        <f t="shared" ca="1" si="243"/>
        <v>0.12671766762520975</v>
      </c>
      <c r="DS56" s="360">
        <f t="shared" ca="1" si="243"/>
        <v>5.2489146543026832E-2</v>
      </c>
      <c r="DT56" s="203"/>
      <c r="DV56" s="203"/>
      <c r="DW56" s="203"/>
      <c r="DX56" s="203"/>
      <c r="DY56" s="203"/>
      <c r="DZ56" s="203"/>
      <c r="EA56" s="203"/>
      <c r="EB56" s="203"/>
      <c r="EX56" s="359">
        <v>1304.6857</v>
      </c>
      <c r="EY56" s="359">
        <v>1379.34942</v>
      </c>
      <c r="EZ56" s="359">
        <v>1465.3127199999999</v>
      </c>
      <c r="FA56" s="582">
        <v>1323.4689999999996</v>
      </c>
      <c r="FB56" s="360">
        <v>0.16761622837833068</v>
      </c>
      <c r="FC56" s="360">
        <v>0.12238486137866733</v>
      </c>
      <c r="FD56" s="596">
        <v>-0.14837863194295198</v>
      </c>
    </row>
    <row r="57" spans="1:160">
      <c r="A57" s="203"/>
      <c r="B57" s="203" t="s">
        <v>177</v>
      </c>
      <c r="C57" s="203"/>
      <c r="D57" s="203"/>
      <c r="E57" s="203"/>
      <c r="F57" s="203"/>
      <c r="G57" s="203"/>
      <c r="H57" s="203"/>
      <c r="I57" s="203"/>
      <c r="J57" s="203"/>
      <c r="K57" s="203"/>
      <c r="L57" s="203"/>
      <c r="M57" s="203"/>
      <c r="N57" s="203"/>
      <c r="O57" s="336">
        <f t="shared" ref="O57:Y57" si="244">O99</f>
        <v>2044</v>
      </c>
      <c r="P57" s="336">
        <f t="shared" si="244"/>
        <v>2009</v>
      </c>
      <c r="Q57" s="336">
        <f t="shared" si="244"/>
        <v>2038</v>
      </c>
      <c r="R57" s="336">
        <f t="shared" si="244"/>
        <v>2159</v>
      </c>
      <c r="S57" s="336">
        <f t="shared" si="244"/>
        <v>2250</v>
      </c>
      <c r="T57" s="336">
        <f t="shared" si="244"/>
        <v>2191</v>
      </c>
      <c r="U57" s="336">
        <f t="shared" si="244"/>
        <v>2257</v>
      </c>
      <c r="V57" s="336">
        <f t="shared" si="244"/>
        <v>2279</v>
      </c>
      <c r="W57" s="336">
        <f t="shared" si="244"/>
        <v>2401</v>
      </c>
      <c r="X57" s="336">
        <f t="shared" si="244"/>
        <v>2444</v>
      </c>
      <c r="Y57" s="336">
        <f t="shared" si="244"/>
        <v>2475</v>
      </c>
      <c r="Z57" s="343">
        <f ca="1">SUM(Z52:Z56)</f>
        <v>2756.6379999999999</v>
      </c>
      <c r="AA57" s="336">
        <f>AA99</f>
        <v>2696</v>
      </c>
      <c r="AB57" s="336">
        <f>AB99</f>
        <v>2791</v>
      </c>
      <c r="AC57" s="336">
        <v>2880</v>
      </c>
      <c r="AD57" s="343">
        <v>3108.453</v>
      </c>
      <c r="AE57" s="336">
        <v>3338.8</v>
      </c>
      <c r="AF57" s="336">
        <v>3708</v>
      </c>
      <c r="AG57" s="336">
        <v>3583</v>
      </c>
      <c r="AH57" s="336">
        <v>3927.5030000000002</v>
      </c>
      <c r="AI57" s="336">
        <v>4059.2640000000001</v>
      </c>
      <c r="AJ57" s="336">
        <v>4222.6660000000002</v>
      </c>
      <c r="AK57" s="336">
        <v>4219.5</v>
      </c>
      <c r="AL57" s="336">
        <v>4455.7510000000002</v>
      </c>
      <c r="AM57" s="336">
        <v>4289.9480000000003</v>
      </c>
      <c r="AN57" s="336">
        <v>4129.84</v>
      </c>
      <c r="AO57" s="343">
        <f>4351.552-74</f>
        <v>4277.5519999999997</v>
      </c>
      <c r="AP57" s="336">
        <v>4515.4989999999998</v>
      </c>
      <c r="AQ57" s="336">
        <v>4695</v>
      </c>
      <c r="AR57" s="343">
        <f>4932.143-99</f>
        <v>4833.143</v>
      </c>
      <c r="AS57" s="336">
        <v>4850.9660000000003</v>
      </c>
      <c r="AT57" s="336">
        <v>5057.0969999999998</v>
      </c>
      <c r="AU57" s="343">
        <v>5150.2</v>
      </c>
      <c r="AV57" s="343">
        <f>5424.053-79</f>
        <v>5345.0529999999999</v>
      </c>
      <c r="AW57" s="343">
        <v>5405.4</v>
      </c>
      <c r="AX57" s="343">
        <v>5624.95</v>
      </c>
      <c r="AY57" s="343">
        <v>5520.0889999999999</v>
      </c>
      <c r="AZ57" s="343">
        <v>5460.4750000000004</v>
      </c>
      <c r="BA57" s="343">
        <v>5621.4369999999999</v>
      </c>
      <c r="BB57" s="343">
        <v>5780.8639999999996</v>
      </c>
      <c r="BC57" s="343">
        <v>5951.9790000000003</v>
      </c>
      <c r="BD57" s="343">
        <v>6063.8</v>
      </c>
      <c r="BE57" s="343">
        <v>6144.9260000000004</v>
      </c>
      <c r="BF57" s="343">
        <v>6473.45</v>
      </c>
      <c r="BG57" s="343">
        <v>6562.4260000000004</v>
      </c>
      <c r="BH57" s="343">
        <v>6681.1859999999997</v>
      </c>
      <c r="BI57" s="343">
        <v>6736.8850000000002</v>
      </c>
      <c r="BJ57" s="343">
        <v>7175.058</v>
      </c>
      <c r="BK57" s="343">
        <v>7152.1880000000001</v>
      </c>
      <c r="BL57" s="343">
        <v>7373.6940000000004</v>
      </c>
      <c r="BM57" s="343">
        <v>7490.7309999999998</v>
      </c>
      <c r="BN57" s="343">
        <v>7853.9269999999997</v>
      </c>
      <c r="BO57" s="343">
        <v>7984.6030000000001</v>
      </c>
      <c r="BP57" s="336">
        <f t="shared" ref="BP57:BR57" si="245">SUM(BP52:BP56)</f>
        <v>8175</v>
      </c>
      <c r="BQ57" s="336">
        <f t="shared" si="245"/>
        <v>8350</v>
      </c>
      <c r="BR57" s="336">
        <f t="shared" si="245"/>
        <v>8576.1405653905986</v>
      </c>
      <c r="BS57" s="336">
        <f>(1+DT57)*BO57</f>
        <v>7984.6030000000001</v>
      </c>
      <c r="BT57" s="336">
        <f>(1+DU57)*BP57</f>
        <v>8175</v>
      </c>
      <c r="BU57" s="336">
        <f>(1+DV57)*BQ57</f>
        <v>8350</v>
      </c>
      <c r="BV57" s="336">
        <f>Master!Y7-BS57-BT57-BU57</f>
        <v>11517.102486593609</v>
      </c>
      <c r="BW57" s="336"/>
      <c r="BX57" s="337">
        <f t="shared" si="239"/>
        <v>6.7111111111111121E-2</v>
      </c>
      <c r="BY57" s="337">
        <f t="shared" si="239"/>
        <v>0.11547238703788221</v>
      </c>
      <c r="BZ57" s="337">
        <f t="shared" si="239"/>
        <v>9.6588391670358931E-2</v>
      </c>
      <c r="CA57" s="337">
        <f t="shared" ca="1" si="239"/>
        <v>0.20958227292672227</v>
      </c>
      <c r="CB57" s="337">
        <f t="shared" si="239"/>
        <v>0.12286547271970005</v>
      </c>
      <c r="CC57" s="337">
        <f t="shared" si="239"/>
        <v>0.14198036006546655</v>
      </c>
      <c r="CD57" s="337">
        <f t="shared" si="239"/>
        <v>0.16363636363636358</v>
      </c>
      <c r="CE57" s="337">
        <f t="shared" ca="1" si="239"/>
        <v>0.12762466453701937</v>
      </c>
      <c r="CF57" s="337">
        <f t="shared" si="239"/>
        <v>0.23842729970326415</v>
      </c>
      <c r="CG57" s="337">
        <f t="shared" si="239"/>
        <v>0.32855607309208179</v>
      </c>
      <c r="CH57" s="337">
        <f t="shared" si="240"/>
        <v>0.24409722222222219</v>
      </c>
      <c r="CI57" s="337">
        <f t="shared" si="240"/>
        <v>0.26349119642471686</v>
      </c>
      <c r="CJ57" s="337">
        <f t="shared" si="240"/>
        <v>0.21578531208817542</v>
      </c>
      <c r="CK57" s="337">
        <f t="shared" si="240"/>
        <v>0.13879881337648325</v>
      </c>
      <c r="CL57" s="337">
        <f t="shared" si="240"/>
        <v>0.17764443204018976</v>
      </c>
      <c r="CM57" s="337">
        <f t="shared" si="240"/>
        <v>0.13449970630194308</v>
      </c>
      <c r="CN57" s="337">
        <f t="shared" si="240"/>
        <v>5.6829021221581177E-2</v>
      </c>
      <c r="CO57" s="337">
        <f t="shared" si="240"/>
        <v>-2.1982794755730173E-2</v>
      </c>
      <c r="CP57" s="337">
        <f t="shared" si="240"/>
        <v>1.3758028202393469E-2</v>
      </c>
      <c r="CQ57" s="337">
        <f t="shared" si="240"/>
        <v>1.3409187362579233E-2</v>
      </c>
      <c r="CR57" s="337">
        <f t="shared" si="241"/>
        <v>9.4418860088747003E-2</v>
      </c>
      <c r="CS57" s="337">
        <f t="shared" si="241"/>
        <v>0.17029788078957053</v>
      </c>
      <c r="CT57" s="337">
        <f t="shared" si="241"/>
        <v>0.13405190632399111</v>
      </c>
      <c r="CU57" s="337">
        <f t="shared" si="241"/>
        <v>0.11994200419488532</v>
      </c>
      <c r="CV57" s="337">
        <f t="shared" si="241"/>
        <v>9.6954206602768878E-2</v>
      </c>
      <c r="CW57" s="337">
        <f t="shared" si="241"/>
        <v>0.10591658471516352</v>
      </c>
      <c r="CX57" s="337">
        <f t="shared" si="241"/>
        <v>0.1142935242176506</v>
      </c>
      <c r="CY57" s="337">
        <f t="shared" si="241"/>
        <v>0.11228833459196053</v>
      </c>
      <c r="CZ57" s="337">
        <f t="shared" si="241"/>
        <v>7.182031765756669E-2</v>
      </c>
      <c r="DA57" s="337">
        <f t="shared" si="241"/>
        <v>2.1594173154129814E-2</v>
      </c>
      <c r="DB57" s="337">
        <f t="shared" si="242"/>
        <v>3.9966884966885052E-2</v>
      </c>
      <c r="DC57" s="337">
        <f t="shared" si="242"/>
        <v>2.7718290829251702E-2</v>
      </c>
      <c r="DD57" s="337">
        <f t="shared" si="242"/>
        <v>7.8239680555875157E-2</v>
      </c>
      <c r="DE57" s="337">
        <f t="shared" si="242"/>
        <v>0.11048947206973758</v>
      </c>
      <c r="DF57" s="337">
        <f t="shared" si="242"/>
        <v>9.3123697730669308E-2</v>
      </c>
      <c r="DG57" s="337">
        <f t="shared" si="242"/>
        <v>0.1198066586586366</v>
      </c>
      <c r="DH57" s="337">
        <f t="shared" si="242"/>
        <v>0.10256202180820861</v>
      </c>
      <c r="DI57" s="337">
        <f t="shared" si="242"/>
        <v>0.10181503347735732</v>
      </c>
      <c r="DJ57" s="337">
        <f t="shared" si="242"/>
        <v>9.6332974554941719E-2</v>
      </c>
      <c r="DK57" s="337">
        <f t="shared" si="242"/>
        <v>0.10838239269632122</v>
      </c>
      <c r="DL57" s="337">
        <f t="shared" si="243"/>
        <v>8.9869508623792393E-2</v>
      </c>
      <c r="DM57" s="337">
        <f t="shared" si="243"/>
        <v>0.10365045966389808</v>
      </c>
      <c r="DN57" s="337">
        <f t="shared" si="243"/>
        <v>0.11189830314752292</v>
      </c>
      <c r="DO57" s="337">
        <f t="shared" si="243"/>
        <v>9.461512366868674E-2</v>
      </c>
      <c r="DP57" s="337">
        <f t="shared" si="243"/>
        <v>0.11638606255875827</v>
      </c>
      <c r="DQ57" s="337">
        <f t="shared" si="243"/>
        <v>0.10867090497652865</v>
      </c>
      <c r="DR57" s="337">
        <f t="shared" si="243"/>
        <v>0.11471096746098608</v>
      </c>
      <c r="DS57" s="337">
        <f t="shared" si="243"/>
        <v>9.1955726783633063E-2</v>
      </c>
      <c r="DT57" s="536"/>
      <c r="DU57" s="536"/>
      <c r="DV57" s="536"/>
      <c r="DW57" s="337"/>
      <c r="DX57" s="203"/>
      <c r="DY57" s="203"/>
      <c r="DZ57" s="203"/>
      <c r="EA57" s="203"/>
      <c r="EB57" s="203"/>
      <c r="EX57" s="336">
        <v>7040.4863749999995</v>
      </c>
      <c r="EY57" s="336">
        <v>7321.357598999999</v>
      </c>
      <c r="EZ57" s="336">
        <v>7535.8055320000003</v>
      </c>
      <c r="FA57" s="577">
        <v>7638.7077108040739</v>
      </c>
      <c r="FB57" s="337">
        <v>9.5817059875297428E-2</v>
      </c>
      <c r="FC57" s="337">
        <v>0.118589011390279</v>
      </c>
      <c r="FD57" s="576">
        <v>6.4619646392276353E-2</v>
      </c>
    </row>
    <row r="58" spans="1:160">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337"/>
      <c r="AE58" s="337"/>
      <c r="AF58" s="337"/>
      <c r="AG58" s="337"/>
      <c r="AH58" s="337"/>
      <c r="AI58" s="337"/>
      <c r="AJ58" s="337"/>
      <c r="AK58" s="337"/>
      <c r="AL58" s="337"/>
      <c r="AM58" s="362"/>
      <c r="AN58" s="363"/>
      <c r="AO58" s="363"/>
      <c r="AP58" s="363"/>
      <c r="AQ58" s="363"/>
      <c r="AR58" s="336"/>
      <c r="AS58" s="336"/>
      <c r="AT58" s="336"/>
      <c r="AU58" s="336"/>
      <c r="AV58" s="346"/>
      <c r="AW58" s="346"/>
      <c r="AX58" s="346"/>
      <c r="AY58" s="346"/>
      <c r="AZ58" s="364"/>
      <c r="BA58" s="364"/>
      <c r="BB58" s="345"/>
      <c r="BC58" s="345"/>
      <c r="BD58" s="345"/>
      <c r="BE58" s="345"/>
      <c r="BF58" s="336"/>
      <c r="BG58" s="365">
        <f>BG56/BG103</f>
        <v>0.18914855477075518</v>
      </c>
      <c r="BH58" s="336"/>
      <c r="BI58" s="336"/>
      <c r="BJ58" s="336"/>
      <c r="BK58" s="365">
        <f>BK56/BK103</f>
        <v>0.20461008465801861</v>
      </c>
      <c r="BL58" s="336"/>
      <c r="BM58" s="336"/>
      <c r="BN58" s="337"/>
      <c r="BO58" s="337"/>
      <c r="BP58" s="337"/>
      <c r="BQ58" s="337"/>
      <c r="BR58" s="337"/>
      <c r="BS58" s="337"/>
      <c r="BT58" s="337"/>
      <c r="BU58" s="337"/>
      <c r="BV58" s="337"/>
      <c r="BW58" s="203"/>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V58" s="203"/>
      <c r="DW58" s="203"/>
      <c r="DX58" s="203"/>
      <c r="DY58" s="203"/>
      <c r="DZ58" s="203"/>
      <c r="EA58" s="203"/>
      <c r="EB58" s="203"/>
      <c r="EX58" s="336"/>
      <c r="EY58" s="336"/>
      <c r="EZ58" s="336"/>
      <c r="FA58" s="576"/>
      <c r="FB58" s="203"/>
      <c r="FC58" s="203"/>
      <c r="FD58" s="574"/>
    </row>
    <row r="59" spans="1:160">
      <c r="A59" s="203"/>
      <c r="B59" s="366" t="s">
        <v>242</v>
      </c>
      <c r="C59" s="203"/>
      <c r="D59" s="203"/>
      <c r="E59" s="203"/>
      <c r="F59" s="203"/>
      <c r="G59" s="203"/>
      <c r="H59" s="203"/>
      <c r="I59" s="203"/>
      <c r="J59" s="203"/>
      <c r="K59" s="203"/>
      <c r="L59" s="203"/>
      <c r="M59" s="203"/>
      <c r="N59" s="203"/>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8"/>
      <c r="AW59" s="338"/>
      <c r="AX59" s="338"/>
      <c r="AY59" s="338"/>
      <c r="AZ59" s="338"/>
      <c r="BA59" s="338"/>
      <c r="BB59" s="338"/>
      <c r="BC59" s="338"/>
      <c r="BD59" s="338"/>
      <c r="BE59" s="338"/>
      <c r="BF59" s="336"/>
      <c r="BG59" s="336"/>
      <c r="BH59" s="336"/>
      <c r="BI59" s="336"/>
      <c r="BJ59" s="336"/>
      <c r="BK59" s="336"/>
      <c r="BL59" s="336"/>
      <c r="BM59" s="336"/>
      <c r="BN59" s="336"/>
      <c r="BO59" s="336"/>
      <c r="BP59" s="336"/>
      <c r="BQ59" s="336"/>
      <c r="BR59" s="336"/>
      <c r="BS59" s="336"/>
      <c r="BT59" s="336"/>
      <c r="BU59" s="336"/>
      <c r="BV59" s="336"/>
      <c r="BW59" s="336"/>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V59" s="203"/>
      <c r="DW59" s="203"/>
      <c r="DX59" s="203"/>
      <c r="DY59" s="203"/>
      <c r="DZ59" s="203"/>
      <c r="EA59" s="203"/>
      <c r="EB59" s="203"/>
      <c r="EX59" s="336"/>
      <c r="EY59" s="336"/>
      <c r="EZ59" s="336"/>
      <c r="FA59" s="577"/>
      <c r="FB59" s="203"/>
      <c r="FC59" s="203"/>
      <c r="FD59" s="574"/>
    </row>
    <row r="60" spans="1:160">
      <c r="A60" s="203"/>
      <c r="B60" s="366" t="s">
        <v>243</v>
      </c>
      <c r="C60" s="203"/>
      <c r="D60" s="203"/>
      <c r="E60" s="203"/>
      <c r="F60" s="203"/>
      <c r="G60" s="203"/>
      <c r="H60" s="203"/>
      <c r="I60" s="203"/>
      <c r="J60" s="203"/>
      <c r="K60" s="203"/>
      <c r="L60" s="203"/>
      <c r="M60" s="203"/>
      <c r="N60" s="203"/>
      <c r="O60" s="336"/>
      <c r="P60" s="336"/>
      <c r="Q60" s="336"/>
      <c r="R60" s="336"/>
      <c r="S60" s="336"/>
      <c r="T60" s="336"/>
      <c r="U60" s="336"/>
      <c r="V60" s="336"/>
      <c r="W60" s="336">
        <v>27.9</v>
      </c>
      <c r="X60" s="336">
        <v>27.9</v>
      </c>
      <c r="Y60" s="336">
        <v>33.9</v>
      </c>
      <c r="Z60" s="336">
        <v>48.5</v>
      </c>
      <c r="AA60" s="336">
        <v>52</v>
      </c>
      <c r="AB60" s="336">
        <v>70.900000000000006</v>
      </c>
      <c r="AC60" s="336">
        <v>56.2</v>
      </c>
      <c r="AD60" s="336">
        <v>67.096000000000004</v>
      </c>
      <c r="AE60" s="336">
        <v>69</v>
      </c>
      <c r="AF60" s="336">
        <v>83</v>
      </c>
      <c r="AG60" s="336">
        <v>98.4</v>
      </c>
      <c r="AH60" s="336">
        <v>143.27600000000001</v>
      </c>
      <c r="AI60" s="336">
        <v>152.69999999999999</v>
      </c>
      <c r="AJ60" s="336">
        <v>161.328</v>
      </c>
      <c r="AK60" s="336">
        <v>166.5</v>
      </c>
      <c r="AL60" s="336">
        <v>174.2</v>
      </c>
      <c r="AM60" s="336">
        <v>216.44399999999999</v>
      </c>
      <c r="AN60" s="336">
        <v>209.78200000000001</v>
      </c>
      <c r="AO60" s="336">
        <v>257.8</v>
      </c>
      <c r="AP60" s="336">
        <v>258</v>
      </c>
      <c r="AQ60" s="336">
        <v>353.6</v>
      </c>
      <c r="AR60" s="367">
        <v>444.68200000000002</v>
      </c>
      <c r="AS60" s="367">
        <v>361.6</v>
      </c>
      <c r="AT60" s="367">
        <v>388</v>
      </c>
      <c r="AU60" s="367">
        <v>439.9</v>
      </c>
      <c r="AV60" s="367">
        <v>532.697</v>
      </c>
      <c r="AW60" s="367">
        <v>465</v>
      </c>
      <c r="AX60" s="367">
        <v>400.666</v>
      </c>
      <c r="AY60" s="367">
        <v>450.30500000000001</v>
      </c>
      <c r="AZ60" s="367">
        <v>465.178</v>
      </c>
      <c r="BA60" s="367">
        <v>477.8</v>
      </c>
      <c r="BB60" s="367">
        <v>476.12599999999998</v>
      </c>
      <c r="BC60" s="367">
        <v>498</v>
      </c>
      <c r="BD60" s="367">
        <v>511</v>
      </c>
      <c r="BE60" s="367">
        <v>523.12</v>
      </c>
      <c r="BF60" s="367">
        <v>571.57000000000005</v>
      </c>
      <c r="BG60" s="368">
        <v>598.69200000000001</v>
      </c>
      <c r="BH60" s="368">
        <v>604.471</v>
      </c>
      <c r="BI60" s="368">
        <v>702.26</v>
      </c>
      <c r="BJ60" s="368">
        <v>687</v>
      </c>
      <c r="BK60" s="368">
        <v>697.59699999999998</v>
      </c>
      <c r="BL60" s="368">
        <v>696.78599999999994</v>
      </c>
      <c r="BM60" s="368">
        <v>717.05200000000002</v>
      </c>
      <c r="BN60" s="368">
        <v>730.46400000000006</v>
      </c>
      <c r="BO60" s="368">
        <v>748.68200000000002</v>
      </c>
      <c r="BP60" s="352">
        <v>735</v>
      </c>
      <c r="BQ60" s="352">
        <v>780</v>
      </c>
      <c r="BR60" s="367">
        <f>Fixed!S63-BQ60-BP60-BO60</f>
        <v>736.31799999999998</v>
      </c>
      <c r="BS60" s="367"/>
      <c r="BT60" s="367"/>
      <c r="BU60" s="367"/>
      <c r="BV60" s="367"/>
      <c r="BW60" s="336"/>
      <c r="BX60" s="203"/>
      <c r="BY60" s="337"/>
      <c r="BZ60" s="337"/>
      <c r="CA60" s="337"/>
      <c r="CB60" s="337">
        <f t="shared" ref="CB60:CK61" si="246">AA60/W60-1</f>
        <v>0.86379928315412191</v>
      </c>
      <c r="CC60" s="337">
        <f t="shared" si="246"/>
        <v>1.5412186379928317</v>
      </c>
      <c r="CD60" s="337">
        <f t="shared" si="246"/>
        <v>0.65781710914454283</v>
      </c>
      <c r="CE60" s="337">
        <f t="shared" si="246"/>
        <v>0.38342268041237126</v>
      </c>
      <c r="CF60" s="337">
        <f t="shared" si="246"/>
        <v>0.32692307692307687</v>
      </c>
      <c r="CG60" s="337">
        <f t="shared" si="246"/>
        <v>0.17066290550070518</v>
      </c>
      <c r="CH60" s="337">
        <f t="shared" si="246"/>
        <v>0.7508896797153024</v>
      </c>
      <c r="CI60" s="337">
        <f t="shared" si="246"/>
        <v>1.1353881006319306</v>
      </c>
      <c r="CJ60" s="337">
        <f t="shared" si="246"/>
        <v>1.2130434782608694</v>
      </c>
      <c r="CK60" s="337">
        <f t="shared" si="246"/>
        <v>0.94371084337349398</v>
      </c>
      <c r="CL60" s="337">
        <f t="shared" ref="CL60:CU61" si="247">AK60/AG60-1</f>
        <v>0.69207317073170715</v>
      </c>
      <c r="CM60" s="337">
        <f t="shared" si="247"/>
        <v>0.21583517127781326</v>
      </c>
      <c r="CN60" s="337">
        <f t="shared" si="247"/>
        <v>0.41744597249508852</v>
      </c>
      <c r="CO60" s="337">
        <f t="shared" si="247"/>
        <v>0.30034463949221468</v>
      </c>
      <c r="CP60" s="337">
        <f t="shared" si="247"/>
        <v>0.54834834834834845</v>
      </c>
      <c r="CQ60" s="337">
        <f t="shared" si="247"/>
        <v>0.48105625717566025</v>
      </c>
      <c r="CR60" s="337">
        <f t="shared" si="247"/>
        <v>0.63367891925856124</v>
      </c>
      <c r="CS60" s="337">
        <f t="shared" si="247"/>
        <v>1.1197338189167803</v>
      </c>
      <c r="CT60" s="337">
        <f t="shared" si="247"/>
        <v>0.40263770364623741</v>
      </c>
      <c r="CU60" s="337">
        <f t="shared" si="247"/>
        <v>0.50387596899224807</v>
      </c>
      <c r="CV60" s="337">
        <f t="shared" ref="CV60:DE61" si="248">AU60/AQ60-1</f>
        <v>0.24406108597285048</v>
      </c>
      <c r="CW60" s="337">
        <f t="shared" si="248"/>
        <v>0.19792795750671255</v>
      </c>
      <c r="CX60" s="337">
        <f t="shared" si="248"/>
        <v>0.28595132743362828</v>
      </c>
      <c r="CY60" s="337">
        <f t="shared" si="248"/>
        <v>3.2644329896907243E-2</v>
      </c>
      <c r="CZ60" s="337">
        <f t="shared" si="248"/>
        <v>2.3653102977949647E-2</v>
      </c>
      <c r="DA60" s="337">
        <f t="shared" si="248"/>
        <v>-0.12674935282158528</v>
      </c>
      <c r="DB60" s="337">
        <f t="shared" si="248"/>
        <v>2.7526881720430163E-2</v>
      </c>
      <c r="DC60" s="337">
        <f t="shared" si="248"/>
        <v>0.18833641986093141</v>
      </c>
      <c r="DD60" s="337">
        <f t="shared" si="248"/>
        <v>0.10591710063179405</v>
      </c>
      <c r="DE60" s="337">
        <f t="shared" si="248"/>
        <v>9.8504228488879519E-2</v>
      </c>
      <c r="DF60" s="337">
        <f t="shared" ref="DF60:DO61" si="249">BE60/BA60-1</f>
        <v>9.4851402260359929E-2</v>
      </c>
      <c r="DG60" s="337">
        <f t="shared" si="249"/>
        <v>0.20045954222201701</v>
      </c>
      <c r="DH60" s="337">
        <f t="shared" si="249"/>
        <v>0.20219277108433742</v>
      </c>
      <c r="DI60" s="337">
        <f t="shared" si="249"/>
        <v>0.18291780821917802</v>
      </c>
      <c r="DJ60" s="337">
        <f t="shared" si="249"/>
        <v>0.34244532803180916</v>
      </c>
      <c r="DK60" s="337">
        <f t="shared" si="249"/>
        <v>0.20195251675210368</v>
      </c>
      <c r="DL60" s="337">
        <f t="shared" si="249"/>
        <v>0.16520180660506556</v>
      </c>
      <c r="DM60" s="337">
        <f t="shared" si="249"/>
        <v>0.15272031247156592</v>
      </c>
      <c r="DN60" s="337">
        <f t="shared" si="249"/>
        <v>2.1063423803149961E-2</v>
      </c>
      <c r="DO60" s="337">
        <f t="shared" si="249"/>
        <v>6.3266375545851572E-2</v>
      </c>
      <c r="DP60" s="337">
        <f t="shared" ref="DP60:DS61" si="250">BO60/BK60-1</f>
        <v>7.3229959417830059E-2</v>
      </c>
      <c r="DQ60" s="337">
        <f t="shared" si="250"/>
        <v>5.4843237378477738E-2</v>
      </c>
      <c r="DR60" s="337">
        <f t="shared" si="250"/>
        <v>8.7787217663433115E-2</v>
      </c>
      <c r="DS60" s="337">
        <f t="shared" si="250"/>
        <v>8.014084198536775E-3</v>
      </c>
      <c r="DT60" s="203"/>
      <c r="DV60" s="203"/>
      <c r="DW60" s="203"/>
      <c r="DX60" s="203"/>
      <c r="DY60" s="203"/>
      <c r="DZ60" s="203"/>
      <c r="EA60" s="203"/>
      <c r="EB60" s="203"/>
      <c r="EX60" s="367">
        <v>730.40423999999996</v>
      </c>
      <c r="EY60" s="367">
        <v>719.32048999999995</v>
      </c>
      <c r="EZ60" s="367">
        <v>821.64419999999996</v>
      </c>
      <c r="FA60" s="583">
        <v>723.56499999999983</v>
      </c>
      <c r="FB60" s="369">
        <v>0.19</v>
      </c>
      <c r="FC60" s="369">
        <v>0.17</v>
      </c>
      <c r="FD60" s="576">
        <v>5.3224163027656202E-2</v>
      </c>
    </row>
    <row r="61" spans="1:160">
      <c r="A61" s="203"/>
      <c r="B61" s="366" t="s">
        <v>244</v>
      </c>
      <c r="C61" s="203"/>
      <c r="D61" s="203"/>
      <c r="E61" s="203"/>
      <c r="F61" s="203"/>
      <c r="G61" s="203"/>
      <c r="H61" s="203"/>
      <c r="I61" s="203"/>
      <c r="J61" s="203"/>
      <c r="K61" s="203"/>
      <c r="L61" s="203"/>
      <c r="M61" s="203"/>
      <c r="N61" s="203"/>
      <c r="O61" s="336"/>
      <c r="P61" s="336"/>
      <c r="Q61" s="336"/>
      <c r="R61" s="336"/>
      <c r="S61" s="336"/>
      <c r="T61" s="336"/>
      <c r="U61" s="336"/>
      <c r="V61" s="336"/>
      <c r="W61" s="336">
        <v>95.8</v>
      </c>
      <c r="X61" s="336">
        <v>95.8</v>
      </c>
      <c r="Y61" s="336">
        <v>107.9</v>
      </c>
      <c r="Z61" s="336">
        <v>123.9</v>
      </c>
      <c r="AA61" s="336">
        <v>117.7</v>
      </c>
      <c r="AB61" s="336">
        <v>125.395</v>
      </c>
      <c r="AC61" s="336">
        <v>143.4</v>
      </c>
      <c r="AD61" s="336">
        <v>147.69999999999999</v>
      </c>
      <c r="AE61" s="336">
        <v>148.1</v>
      </c>
      <c r="AF61" s="336">
        <v>146</v>
      </c>
      <c r="AG61" s="336">
        <v>160</v>
      </c>
      <c r="AH61" s="336">
        <v>163.46100000000001</v>
      </c>
      <c r="AI61" s="336">
        <v>165.97499999999999</v>
      </c>
      <c r="AJ61" s="336">
        <v>176.37200000000001</v>
      </c>
      <c r="AK61" s="336">
        <v>188</v>
      </c>
      <c r="AL61" s="336">
        <v>192.6</v>
      </c>
      <c r="AM61" s="336">
        <v>195.95699999999999</v>
      </c>
      <c r="AN61" s="336">
        <v>198.982</v>
      </c>
      <c r="AO61" s="336">
        <v>212.3</v>
      </c>
      <c r="AP61" s="336">
        <v>232</v>
      </c>
      <c r="AQ61" s="336">
        <v>229</v>
      </c>
      <c r="AR61" s="367">
        <v>237.06299999999999</v>
      </c>
      <c r="AS61" s="367">
        <v>243.5</v>
      </c>
      <c r="AT61" s="367">
        <v>250</v>
      </c>
      <c r="AU61" s="367">
        <v>266.8</v>
      </c>
      <c r="AV61" s="367">
        <v>259.678</v>
      </c>
      <c r="AW61" s="367">
        <v>259</v>
      </c>
      <c r="AX61" s="367">
        <v>261.01600000000002</v>
      </c>
      <c r="AY61" s="367">
        <v>269.34399999999999</v>
      </c>
      <c r="AZ61" s="367">
        <v>284.03500000000003</v>
      </c>
      <c r="BA61" s="367">
        <v>278.2</v>
      </c>
      <c r="BB61" s="367">
        <v>268.35300000000001</v>
      </c>
      <c r="BC61" s="367">
        <v>256</v>
      </c>
      <c r="BD61" s="367">
        <v>259</v>
      </c>
      <c r="BE61" s="367">
        <v>269.58499999999998</v>
      </c>
      <c r="BF61" s="367">
        <v>277.85199999999998</v>
      </c>
      <c r="BG61" s="368">
        <v>276.29599999999999</v>
      </c>
      <c r="BH61" s="368">
        <v>297.86399999999998</v>
      </c>
      <c r="BI61" s="368">
        <v>313.66800000000001</v>
      </c>
      <c r="BJ61" s="368">
        <v>318</v>
      </c>
      <c r="BK61" s="368">
        <v>315.11200000000002</v>
      </c>
      <c r="BL61" s="368">
        <v>324.29399999999998</v>
      </c>
      <c r="BM61" s="368">
        <v>327.976</v>
      </c>
      <c r="BN61" s="368">
        <v>296</v>
      </c>
      <c r="BO61" s="368">
        <v>283.904</v>
      </c>
      <c r="BP61" s="352">
        <v>330</v>
      </c>
      <c r="BQ61" s="352">
        <v>340</v>
      </c>
      <c r="BR61" s="367">
        <f>Fixed!S64-BQ61-BP61-BO61</f>
        <v>372.65025000000014</v>
      </c>
      <c r="BS61" s="367"/>
      <c r="BT61" s="367"/>
      <c r="BU61" s="367"/>
      <c r="BV61" s="367"/>
      <c r="BW61" s="336"/>
      <c r="BX61" s="203"/>
      <c r="BY61" s="337"/>
      <c r="BZ61" s="337"/>
      <c r="CA61" s="337"/>
      <c r="CB61" s="337">
        <f t="shared" si="246"/>
        <v>0.22860125260960351</v>
      </c>
      <c r="CC61" s="337">
        <f t="shared" si="246"/>
        <v>0.30892484342379967</v>
      </c>
      <c r="CD61" s="337">
        <f t="shared" si="246"/>
        <v>0.32900834105653387</v>
      </c>
      <c r="CE61" s="337">
        <f t="shared" si="246"/>
        <v>0.19209039548022577</v>
      </c>
      <c r="CF61" s="337">
        <f t="shared" si="246"/>
        <v>0.2582837723024638</v>
      </c>
      <c r="CG61" s="337">
        <f t="shared" si="246"/>
        <v>0.16432074644124572</v>
      </c>
      <c r="CH61" s="337">
        <f t="shared" si="246"/>
        <v>0.11576011157601118</v>
      </c>
      <c r="CI61" s="337">
        <f t="shared" si="246"/>
        <v>0.10670954637779295</v>
      </c>
      <c r="CJ61" s="337">
        <f t="shared" si="246"/>
        <v>0.12069547602970965</v>
      </c>
      <c r="CK61" s="337">
        <f t="shared" si="246"/>
        <v>0.20802739726027397</v>
      </c>
      <c r="CL61" s="337">
        <f t="shared" si="247"/>
        <v>0.17500000000000004</v>
      </c>
      <c r="CM61" s="337">
        <f t="shared" si="247"/>
        <v>0.17826270486538065</v>
      </c>
      <c r="CN61" s="337">
        <f t="shared" si="247"/>
        <v>0.18064166290103922</v>
      </c>
      <c r="CO61" s="337">
        <f t="shared" si="247"/>
        <v>0.12819495157961569</v>
      </c>
      <c r="CP61" s="337">
        <f t="shared" si="247"/>
        <v>0.12925531914893629</v>
      </c>
      <c r="CQ61" s="337">
        <f t="shared" si="247"/>
        <v>0.20456905503634482</v>
      </c>
      <c r="CR61" s="337">
        <f t="shared" si="247"/>
        <v>0.16862372867516862</v>
      </c>
      <c r="CS61" s="337">
        <f t="shared" si="247"/>
        <v>0.19137911971937149</v>
      </c>
      <c r="CT61" s="337">
        <f t="shared" si="247"/>
        <v>0.14696184644371169</v>
      </c>
      <c r="CU61" s="337">
        <f t="shared" si="247"/>
        <v>7.7586206896551824E-2</v>
      </c>
      <c r="CV61" s="337">
        <f t="shared" si="248"/>
        <v>0.16506550218340621</v>
      </c>
      <c r="CW61" s="337">
        <f t="shared" si="248"/>
        <v>9.539658234309023E-2</v>
      </c>
      <c r="CX61" s="337">
        <f t="shared" si="248"/>
        <v>6.3655030800821466E-2</v>
      </c>
      <c r="CY61" s="337">
        <f t="shared" si="248"/>
        <v>4.4064000000000103E-2</v>
      </c>
      <c r="CZ61" s="337">
        <f t="shared" si="248"/>
        <v>9.5352323838080455E-3</v>
      </c>
      <c r="DA61" s="337">
        <f t="shared" si="248"/>
        <v>9.379693312487003E-2</v>
      </c>
      <c r="DB61" s="337">
        <f t="shared" si="248"/>
        <v>7.4131274131274072E-2</v>
      </c>
      <c r="DC61" s="337">
        <f t="shared" si="248"/>
        <v>2.8109387930241869E-2</v>
      </c>
      <c r="DD61" s="337">
        <f t="shared" si="248"/>
        <v>-4.9542592372579297E-2</v>
      </c>
      <c r="DE61" s="337">
        <f t="shared" si="248"/>
        <v>-8.8140546059464531E-2</v>
      </c>
      <c r="DF61" s="337">
        <f t="shared" si="249"/>
        <v>-3.0966930265995729E-2</v>
      </c>
      <c r="DG61" s="337">
        <f t="shared" si="249"/>
        <v>3.5397405655982928E-2</v>
      </c>
      <c r="DH61" s="337">
        <f t="shared" si="249"/>
        <v>7.928124999999997E-2</v>
      </c>
      <c r="DI61" s="337">
        <f t="shared" si="249"/>
        <v>0.15005405405405403</v>
      </c>
      <c r="DJ61" s="337">
        <f t="shared" si="249"/>
        <v>0.16352170929391474</v>
      </c>
      <c r="DK61" s="337">
        <f t="shared" si="249"/>
        <v>0.14449419115212425</v>
      </c>
      <c r="DL61" s="337">
        <f t="shared" si="249"/>
        <v>0.14048701392709284</v>
      </c>
      <c r="DM61" s="337">
        <f t="shared" si="249"/>
        <v>8.8731770203851479E-2</v>
      </c>
      <c r="DN61" s="337">
        <f t="shared" si="249"/>
        <v>4.5615108968718454E-2</v>
      </c>
      <c r="DO61" s="337">
        <f t="shared" si="249"/>
        <v>-6.9182389937106903E-2</v>
      </c>
      <c r="DP61" s="337">
        <f t="shared" si="250"/>
        <v>-9.9037802432151212E-2</v>
      </c>
      <c r="DQ61" s="337">
        <f t="shared" si="250"/>
        <v>1.7595145146071189E-2</v>
      </c>
      <c r="DR61" s="337">
        <f t="shared" si="250"/>
        <v>3.6661219113593768E-2</v>
      </c>
      <c r="DS61" s="337">
        <f t="shared" si="250"/>
        <v>0.25895354729729769</v>
      </c>
      <c r="DT61" s="203"/>
      <c r="DV61" s="203"/>
      <c r="DW61" s="203"/>
      <c r="DX61" s="203"/>
      <c r="DY61" s="203"/>
      <c r="DZ61" s="203"/>
      <c r="EA61" s="203"/>
      <c r="EB61" s="203"/>
      <c r="EX61" s="367">
        <v>290.11079999999998</v>
      </c>
      <c r="EY61" s="367">
        <v>333.60768000000002</v>
      </c>
      <c r="EZ61" s="367">
        <v>349.73982000000001</v>
      </c>
      <c r="FA61" s="583">
        <v>332.61799999999999</v>
      </c>
      <c r="FB61" s="369">
        <v>0.12</v>
      </c>
      <c r="FC61" s="369">
        <v>0.115</v>
      </c>
      <c r="FD61" s="576">
        <v>4.5968553459119432E-2</v>
      </c>
    </row>
    <row r="62" spans="1:160">
      <c r="A62" s="203"/>
      <c r="B62" s="366" t="s">
        <v>259</v>
      </c>
      <c r="C62" s="203"/>
      <c r="D62" s="203"/>
      <c r="E62" s="203"/>
      <c r="F62" s="203"/>
      <c r="G62" s="203"/>
      <c r="H62" s="203"/>
      <c r="I62" s="203"/>
      <c r="J62" s="203"/>
      <c r="K62" s="203"/>
      <c r="L62" s="203"/>
      <c r="M62" s="203"/>
      <c r="N62" s="203"/>
      <c r="O62" s="336"/>
      <c r="P62" s="336"/>
      <c r="Q62" s="336"/>
      <c r="R62" s="336"/>
      <c r="S62" s="336"/>
      <c r="T62" s="336"/>
      <c r="U62" s="336"/>
      <c r="V62" s="336"/>
      <c r="W62" s="336">
        <v>0</v>
      </c>
      <c r="X62" s="336">
        <v>0</v>
      </c>
      <c r="Y62" s="336">
        <v>0</v>
      </c>
      <c r="Z62" s="336">
        <v>130.1</v>
      </c>
      <c r="AA62" s="336">
        <v>95.9</v>
      </c>
      <c r="AB62" s="336">
        <v>111.28</v>
      </c>
      <c r="AC62" s="336">
        <v>130.6</v>
      </c>
      <c r="AD62" s="336">
        <v>104</v>
      </c>
      <c r="AE62" s="336">
        <v>145.9</v>
      </c>
      <c r="AF62" s="336">
        <v>497</v>
      </c>
      <c r="AG62" s="336">
        <v>272</v>
      </c>
      <c r="AH62" s="336">
        <v>286.44099999999997</v>
      </c>
      <c r="AI62" s="336">
        <v>302</v>
      </c>
      <c r="AJ62" s="336">
        <v>349.40800000000002</v>
      </c>
      <c r="AK62" s="336">
        <v>336.6</v>
      </c>
      <c r="AL62" s="336">
        <v>470.5</v>
      </c>
      <c r="AM62" s="336">
        <v>274.30099999999999</v>
      </c>
      <c r="AN62" s="336">
        <v>129.858</v>
      </c>
      <c r="AO62" s="336">
        <v>151.4</v>
      </c>
      <c r="AP62" s="336">
        <v>179</v>
      </c>
      <c r="AQ62" s="336">
        <v>147.1</v>
      </c>
      <c r="AR62" s="367">
        <v>145.44800000000001</v>
      </c>
      <c r="AS62" s="367">
        <v>143.6</v>
      </c>
      <c r="AT62" s="367">
        <v>203</v>
      </c>
      <c r="AU62" s="367">
        <v>166</v>
      </c>
      <c r="AV62" s="367">
        <v>195.45</v>
      </c>
      <c r="AW62" s="367">
        <v>266</v>
      </c>
      <c r="AX62" s="367">
        <v>424.37200000000001</v>
      </c>
      <c r="AY62" s="367">
        <v>164.78100000000001</v>
      </c>
      <c r="AZ62" s="367">
        <v>148.78</v>
      </c>
      <c r="BA62" s="367">
        <v>147.30000000000001</v>
      </c>
      <c r="BB62" s="367">
        <v>162.821</v>
      </c>
      <c r="BC62" s="367">
        <v>157</v>
      </c>
      <c r="BD62" s="367">
        <v>181</v>
      </c>
      <c r="BE62" s="367">
        <v>166.93299999999999</v>
      </c>
      <c r="BF62" s="367">
        <v>202.72300000000001</v>
      </c>
      <c r="BG62" s="368">
        <v>185.17699999999999</v>
      </c>
      <c r="BH62" s="368">
        <v>182.10499999999999</v>
      </c>
      <c r="BI62" s="368">
        <v>195.59100000000001</v>
      </c>
      <c r="BJ62" s="368">
        <v>453</v>
      </c>
      <c r="BK62" s="368">
        <v>229.30099999999999</v>
      </c>
      <c r="BL62" s="368">
        <v>238.029</v>
      </c>
      <c r="BM62" s="368">
        <v>161.053</v>
      </c>
      <c r="BN62" s="368">
        <v>301.2</v>
      </c>
      <c r="BO62" s="368">
        <v>282.79000000000002</v>
      </c>
      <c r="BP62" s="352">
        <v>250</v>
      </c>
      <c r="BQ62" s="352">
        <v>250</v>
      </c>
      <c r="BR62" s="367">
        <f>Fixed!S65-BQ62-BP62-BO62</f>
        <v>286.32474999999994</v>
      </c>
      <c r="BS62" s="367"/>
      <c r="BT62" s="367"/>
      <c r="BU62" s="367"/>
      <c r="BV62" s="367"/>
      <c r="BW62" s="336"/>
      <c r="BX62" s="203"/>
      <c r="BY62" s="337"/>
      <c r="BZ62" s="337"/>
      <c r="CA62" s="337"/>
      <c r="CB62" s="337"/>
      <c r="CC62" s="337"/>
      <c r="CD62" s="337"/>
      <c r="CE62" s="337">
        <f t="shared" ref="CE62:DS62" si="251">AD62/Z62-1</f>
        <v>-0.2006149116064565</v>
      </c>
      <c r="CF62" s="337">
        <f t="shared" si="251"/>
        <v>0.52137643378519294</v>
      </c>
      <c r="CG62" s="337">
        <f t="shared" si="251"/>
        <v>3.4662113587347232</v>
      </c>
      <c r="CH62" s="337">
        <f t="shared" si="251"/>
        <v>1.0826952526799389</v>
      </c>
      <c r="CI62" s="337">
        <f t="shared" si="251"/>
        <v>1.7542403846153842</v>
      </c>
      <c r="CJ62" s="337">
        <f t="shared" si="251"/>
        <v>1.0699108978752569</v>
      </c>
      <c r="CK62" s="337">
        <f t="shared" si="251"/>
        <v>-0.29696579476861162</v>
      </c>
      <c r="CL62" s="337">
        <f t="shared" si="251"/>
        <v>0.23750000000000004</v>
      </c>
      <c r="CM62" s="337">
        <f t="shared" si="251"/>
        <v>0.64257211781832924</v>
      </c>
      <c r="CN62" s="337">
        <f t="shared" si="251"/>
        <v>-9.1718543046357626E-2</v>
      </c>
      <c r="CO62" s="337">
        <f t="shared" si="251"/>
        <v>-0.62834852092682481</v>
      </c>
      <c r="CP62" s="337">
        <f t="shared" si="251"/>
        <v>-0.55020796197266786</v>
      </c>
      <c r="CQ62" s="337">
        <f t="shared" si="251"/>
        <v>-0.61955366631243358</v>
      </c>
      <c r="CR62" s="337">
        <f t="shared" si="251"/>
        <v>-0.46372780266933045</v>
      </c>
      <c r="CS62" s="337">
        <f t="shared" si="251"/>
        <v>0.12005421306350006</v>
      </c>
      <c r="CT62" s="337">
        <f t="shared" si="251"/>
        <v>-5.1519154557463698E-2</v>
      </c>
      <c r="CU62" s="337">
        <f t="shared" si="251"/>
        <v>0.13407821229050287</v>
      </c>
      <c r="CV62" s="337">
        <f t="shared" si="251"/>
        <v>0.12848402447314755</v>
      </c>
      <c r="CW62" s="337">
        <f t="shared" si="251"/>
        <v>0.3437792200649028</v>
      </c>
      <c r="CX62" s="337">
        <f t="shared" si="251"/>
        <v>0.85236768802228413</v>
      </c>
      <c r="CY62" s="337">
        <f t="shared" si="251"/>
        <v>1.0905024630541873</v>
      </c>
      <c r="CZ62" s="337">
        <f t="shared" si="251"/>
        <v>-7.3433734939758466E-3</v>
      </c>
      <c r="DA62" s="337">
        <f t="shared" si="251"/>
        <v>-0.23878229726272704</v>
      </c>
      <c r="DB62" s="337">
        <f t="shared" si="251"/>
        <v>-0.44624060150375933</v>
      </c>
      <c r="DC62" s="337">
        <f t="shared" si="251"/>
        <v>-0.61632482821675327</v>
      </c>
      <c r="DD62" s="337">
        <f t="shared" si="251"/>
        <v>-4.7220249907452994E-2</v>
      </c>
      <c r="DE62" s="337">
        <f t="shared" si="251"/>
        <v>0.21656136577496965</v>
      </c>
      <c r="DF62" s="337">
        <f t="shared" si="251"/>
        <v>0.13328581126951788</v>
      </c>
      <c r="DG62" s="337">
        <f t="shared" si="251"/>
        <v>0.24506666830445711</v>
      </c>
      <c r="DH62" s="337">
        <f t="shared" si="251"/>
        <v>0.17947133757961775</v>
      </c>
      <c r="DI62" s="337">
        <f t="shared" si="251"/>
        <v>6.1049723756905205E-3</v>
      </c>
      <c r="DJ62" s="337">
        <f t="shared" si="251"/>
        <v>0.17167366548255902</v>
      </c>
      <c r="DK62" s="337">
        <f t="shared" si="251"/>
        <v>1.2345762444320574</v>
      </c>
      <c r="DL62" s="337">
        <f t="shared" si="251"/>
        <v>0.23828013198183351</v>
      </c>
      <c r="DM62" s="337">
        <f t="shared" si="251"/>
        <v>0.30709755360918156</v>
      </c>
      <c r="DN62" s="337">
        <f t="shared" si="251"/>
        <v>-0.17658276710073573</v>
      </c>
      <c r="DO62" s="337">
        <f t="shared" si="251"/>
        <v>-0.33509933774834444</v>
      </c>
      <c r="DP62" s="337">
        <f t="shared" si="251"/>
        <v>0.23326980693498944</v>
      </c>
      <c r="DQ62" s="337">
        <f t="shared" si="251"/>
        <v>5.0292191287616195E-2</v>
      </c>
      <c r="DR62" s="337">
        <f t="shared" si="251"/>
        <v>0.55228403072280563</v>
      </c>
      <c r="DS62" s="337">
        <f t="shared" si="251"/>
        <v>-4.9386620185923102E-2</v>
      </c>
      <c r="DT62" s="203"/>
      <c r="DV62" s="203"/>
      <c r="DW62" s="203"/>
      <c r="DX62" s="203"/>
      <c r="DY62" s="203"/>
      <c r="DZ62" s="203"/>
      <c r="EA62" s="203"/>
      <c r="EB62" s="203"/>
      <c r="EX62" s="367">
        <v>203.69470000000001</v>
      </c>
      <c r="EY62" s="367">
        <v>214.88389999999998</v>
      </c>
      <c r="EZ62" s="367">
        <v>185.81145000000001</v>
      </c>
      <c r="FA62" s="583">
        <v>171.61700000000002</v>
      </c>
      <c r="FB62" s="369">
        <v>0.18</v>
      </c>
      <c r="FC62" s="369">
        <v>-0.05</v>
      </c>
      <c r="FD62" s="576">
        <v>-0.62115452538631344</v>
      </c>
    </row>
    <row r="63" spans="1:160">
      <c r="A63" s="203"/>
      <c r="B63" s="370" t="s">
        <v>534</v>
      </c>
      <c r="C63" s="358"/>
      <c r="D63" s="358"/>
      <c r="E63" s="358"/>
      <c r="F63" s="358"/>
      <c r="G63" s="358"/>
      <c r="H63" s="358"/>
      <c r="I63" s="358"/>
      <c r="J63" s="358"/>
      <c r="K63" s="358"/>
      <c r="L63" s="358"/>
      <c r="M63" s="358"/>
      <c r="N63" s="358"/>
      <c r="O63" s="359"/>
      <c r="P63" s="359"/>
      <c r="Q63" s="359"/>
      <c r="R63" s="359"/>
      <c r="S63" s="359"/>
      <c r="T63" s="359"/>
      <c r="U63" s="359"/>
      <c r="V63" s="359"/>
      <c r="W63" s="359"/>
      <c r="X63" s="359"/>
      <c r="Y63" s="359"/>
      <c r="Z63" s="359"/>
      <c r="AA63" s="359"/>
      <c r="AB63" s="359"/>
      <c r="AC63" s="359"/>
      <c r="AD63" s="359">
        <v>111</v>
      </c>
      <c r="AE63" s="359">
        <v>135.4</v>
      </c>
      <c r="AF63" s="359">
        <v>144</v>
      </c>
      <c r="AG63" s="359">
        <v>90</v>
      </c>
      <c r="AH63" s="359">
        <v>87.974999999999994</v>
      </c>
      <c r="AI63" s="359">
        <v>61.5</v>
      </c>
      <c r="AJ63" s="359">
        <v>66.319000000000003</v>
      </c>
      <c r="AK63" s="359">
        <v>75.599999999999994</v>
      </c>
      <c r="AL63" s="359">
        <v>84.5</v>
      </c>
      <c r="AM63" s="359">
        <v>73.658000000000001</v>
      </c>
      <c r="AN63" s="359">
        <v>68.617999999999995</v>
      </c>
      <c r="AO63" s="359">
        <v>76.900000000000006</v>
      </c>
      <c r="AP63" s="359">
        <v>79.7</v>
      </c>
      <c r="AQ63" s="359">
        <v>70</v>
      </c>
      <c r="AR63" s="371">
        <v>68.647999999999996</v>
      </c>
      <c r="AS63" s="371">
        <v>76.900000000000006</v>
      </c>
      <c r="AT63" s="371">
        <v>85.5</v>
      </c>
      <c r="AU63" s="371">
        <v>75.400000000000006</v>
      </c>
      <c r="AV63" s="371">
        <v>81.992999999999995</v>
      </c>
      <c r="AW63" s="371">
        <v>80</v>
      </c>
      <c r="AX63" s="371">
        <v>84.572999999999993</v>
      </c>
      <c r="AY63" s="371">
        <v>75.448999999999998</v>
      </c>
      <c r="AZ63" s="371">
        <v>74.697999999999993</v>
      </c>
      <c r="BA63" s="371">
        <v>71.98</v>
      </c>
      <c r="BB63" s="371">
        <v>81.741</v>
      </c>
      <c r="BC63" s="371">
        <v>80.8</v>
      </c>
      <c r="BD63" s="371">
        <v>79</v>
      </c>
      <c r="BE63" s="371">
        <v>83.915999999999997</v>
      </c>
      <c r="BF63" s="371">
        <v>80</v>
      </c>
      <c r="BG63" s="372">
        <v>78.897999999999996</v>
      </c>
      <c r="BH63" s="372">
        <v>96.989000000000004</v>
      </c>
      <c r="BI63" s="372">
        <v>94.015000000000001</v>
      </c>
      <c r="BJ63" s="372">
        <v>96</v>
      </c>
      <c r="BK63" s="372">
        <v>91.322000000000003</v>
      </c>
      <c r="BL63" s="372">
        <v>93.852999999999994</v>
      </c>
      <c r="BM63" s="372">
        <v>94.156000000000006</v>
      </c>
      <c r="BN63" s="372">
        <v>88.704999999999998</v>
      </c>
      <c r="BO63" s="372">
        <v>87.616</v>
      </c>
      <c r="BP63" s="534">
        <v>90</v>
      </c>
      <c r="BQ63" s="534">
        <v>95</v>
      </c>
      <c r="BR63" s="371">
        <f>Fixed!S66-BQ63-BP63-BO63</f>
        <v>95.42</v>
      </c>
      <c r="BS63" s="367"/>
      <c r="BT63" s="367"/>
      <c r="BU63" s="367"/>
      <c r="BV63" s="367"/>
      <c r="BW63" s="336"/>
      <c r="BX63" s="203"/>
      <c r="BY63" s="337"/>
      <c r="BZ63" s="337"/>
      <c r="CA63" s="337"/>
      <c r="CB63" s="360"/>
      <c r="CC63" s="360"/>
      <c r="CD63" s="360"/>
      <c r="CE63" s="360"/>
      <c r="CF63" s="360"/>
      <c r="CG63" s="360"/>
      <c r="CH63" s="360"/>
      <c r="CI63" s="360">
        <f t="shared" ref="CI63:CR64" si="252">AH63/AD63-1</f>
        <v>-0.20743243243243248</v>
      </c>
      <c r="CJ63" s="360">
        <f t="shared" si="252"/>
        <v>-0.54579025110782875</v>
      </c>
      <c r="CK63" s="360">
        <f t="shared" si="252"/>
        <v>-0.53945138888888888</v>
      </c>
      <c r="CL63" s="360">
        <f t="shared" si="252"/>
        <v>-0.16000000000000003</v>
      </c>
      <c r="CM63" s="360">
        <f t="shared" si="252"/>
        <v>-3.9499857914180092E-2</v>
      </c>
      <c r="CN63" s="360">
        <f t="shared" si="252"/>
        <v>0.19769105691056921</v>
      </c>
      <c r="CO63" s="360">
        <f t="shared" si="252"/>
        <v>3.4665782053408423E-2</v>
      </c>
      <c r="CP63" s="360">
        <f t="shared" si="252"/>
        <v>1.7195767195767431E-2</v>
      </c>
      <c r="CQ63" s="360">
        <f t="shared" si="252"/>
        <v>-5.6804733727810586E-2</v>
      </c>
      <c r="CR63" s="360">
        <f t="shared" si="252"/>
        <v>-4.9661951179776787E-2</v>
      </c>
      <c r="CS63" s="360">
        <f t="shared" ref="CS63:DB64" si="253">AR63/AN63-1</f>
        <v>4.3720306625094629E-4</v>
      </c>
      <c r="CT63" s="360">
        <f t="shared" si="253"/>
        <v>0</v>
      </c>
      <c r="CU63" s="360">
        <f t="shared" si="253"/>
        <v>7.2772898368883343E-2</v>
      </c>
      <c r="CV63" s="360">
        <f t="shared" si="253"/>
        <v>7.714285714285718E-2</v>
      </c>
      <c r="CW63" s="360">
        <f t="shared" si="253"/>
        <v>0.19439750611816797</v>
      </c>
      <c r="CX63" s="360">
        <f t="shared" si="253"/>
        <v>4.0312093628088297E-2</v>
      </c>
      <c r="CY63" s="360">
        <f t="shared" si="253"/>
        <v>-1.0842105263157986E-2</v>
      </c>
      <c r="CZ63" s="360">
        <f t="shared" si="253"/>
        <v>6.4986737400518635E-4</v>
      </c>
      <c r="DA63" s="360">
        <f t="shared" si="253"/>
        <v>-8.8971009720341998E-2</v>
      </c>
      <c r="DB63" s="360">
        <f t="shared" si="253"/>
        <v>-0.10024999999999995</v>
      </c>
      <c r="DC63" s="360">
        <f t="shared" ref="DC63:DL64" si="254">BB63/AX63-1</f>
        <v>-3.3485864282927102E-2</v>
      </c>
      <c r="DD63" s="360">
        <f t="shared" si="254"/>
        <v>7.092207981550458E-2</v>
      </c>
      <c r="DE63" s="360">
        <f t="shared" si="254"/>
        <v>5.7591903397681499E-2</v>
      </c>
      <c r="DF63" s="360">
        <f t="shared" si="254"/>
        <v>0.16582383995554317</v>
      </c>
      <c r="DG63" s="360">
        <f t="shared" si="254"/>
        <v>-2.1298980927563882E-2</v>
      </c>
      <c r="DH63" s="360">
        <f t="shared" si="254"/>
        <v>-2.3539603960396005E-2</v>
      </c>
      <c r="DI63" s="360">
        <f t="shared" si="254"/>
        <v>0.2277088607594937</v>
      </c>
      <c r="DJ63" s="360">
        <f t="shared" si="254"/>
        <v>0.12034653701320375</v>
      </c>
      <c r="DK63" s="360">
        <f t="shared" si="254"/>
        <v>0.19999999999999996</v>
      </c>
      <c r="DL63" s="360">
        <f t="shared" si="254"/>
        <v>0.15746913736723367</v>
      </c>
      <c r="DM63" s="360">
        <f t="shared" ref="DM63:DS64" si="255">BL63/BH63-1</f>
        <v>-3.2333563599995951E-2</v>
      </c>
      <c r="DN63" s="360">
        <f t="shared" si="255"/>
        <v>1.4997606764879379E-3</v>
      </c>
      <c r="DO63" s="360">
        <f t="shared" si="255"/>
        <v>-7.5989583333333388E-2</v>
      </c>
      <c r="DP63" s="360">
        <f t="shared" si="255"/>
        <v>-4.0581678018440259E-2</v>
      </c>
      <c r="DQ63" s="360">
        <f t="shared" si="255"/>
        <v>-4.1053562486015327E-2</v>
      </c>
      <c r="DR63" s="360">
        <f t="shared" si="255"/>
        <v>8.9638472322528528E-3</v>
      </c>
      <c r="DS63" s="360">
        <f t="shared" si="255"/>
        <v>7.5700355109633133E-2</v>
      </c>
      <c r="DT63" s="203"/>
      <c r="DV63" s="203"/>
      <c r="DW63" s="203"/>
      <c r="DX63" s="203"/>
      <c r="DY63" s="203"/>
      <c r="DZ63" s="203"/>
      <c r="EA63" s="203"/>
      <c r="EB63" s="203"/>
      <c r="EX63" s="371">
        <v>80.475960000000001</v>
      </c>
      <c r="EY63" s="371">
        <v>111.53734999999999</v>
      </c>
      <c r="EZ63" s="371">
        <v>108.11725</v>
      </c>
      <c r="FA63" s="584">
        <v>95.668999999999983</v>
      </c>
      <c r="FB63" s="373">
        <v>0.15</v>
      </c>
      <c r="FC63" s="373">
        <v>0.15</v>
      </c>
      <c r="FD63" s="596">
        <v>-3.4479166666668837E-3</v>
      </c>
    </row>
    <row r="64" spans="1:160">
      <c r="A64" s="203"/>
      <c r="B64" s="366" t="s">
        <v>245</v>
      </c>
      <c r="C64" s="203"/>
      <c r="D64" s="203"/>
      <c r="E64" s="203"/>
      <c r="F64" s="203"/>
      <c r="G64" s="203"/>
      <c r="H64" s="203"/>
      <c r="I64" s="203"/>
      <c r="J64" s="203"/>
      <c r="K64" s="203"/>
      <c r="L64" s="203"/>
      <c r="M64" s="203"/>
      <c r="N64" s="203"/>
      <c r="O64" s="336"/>
      <c r="P64" s="336"/>
      <c r="Q64" s="336"/>
      <c r="R64" s="336"/>
      <c r="S64" s="336"/>
      <c r="T64" s="336"/>
      <c r="U64" s="336"/>
      <c r="V64" s="336"/>
      <c r="W64" s="336">
        <f>SUM(W60:W62)</f>
        <v>123.69999999999999</v>
      </c>
      <c r="X64" s="336">
        <f>SUM(X60:X62)</f>
        <v>123.69999999999999</v>
      </c>
      <c r="Y64" s="336">
        <f>SUM(Y60:Y62)</f>
        <v>141.80000000000001</v>
      </c>
      <c r="Z64" s="336">
        <f>SUM(Z60:Z62)</f>
        <v>302.5</v>
      </c>
      <c r="AA64" s="336">
        <f>SUM(AA60:AA63)</f>
        <v>265.60000000000002</v>
      </c>
      <c r="AB64" s="336">
        <f>SUM(AB60:AB63)</f>
        <v>307.57500000000005</v>
      </c>
      <c r="AC64" s="336">
        <f>SUM(AC60:AC63)</f>
        <v>330.20000000000005</v>
      </c>
      <c r="AD64" s="336">
        <f>SUM(AD60:AD63)</f>
        <v>429.79599999999999</v>
      </c>
      <c r="AE64" s="336">
        <f t="shared" ref="AE64:AQ64" si="256">AE60+AE61+AE62+AE63</f>
        <v>498.4</v>
      </c>
      <c r="AF64" s="336">
        <f t="shared" si="256"/>
        <v>870</v>
      </c>
      <c r="AG64" s="336">
        <f t="shared" si="256"/>
        <v>620.4</v>
      </c>
      <c r="AH64" s="336">
        <f t="shared" si="256"/>
        <v>681.15300000000002</v>
      </c>
      <c r="AI64" s="336">
        <f t="shared" si="256"/>
        <v>682.17499999999995</v>
      </c>
      <c r="AJ64" s="336">
        <f t="shared" si="256"/>
        <v>753.42700000000002</v>
      </c>
      <c r="AK64" s="336">
        <f t="shared" si="256"/>
        <v>766.7</v>
      </c>
      <c r="AL64" s="336">
        <f t="shared" si="256"/>
        <v>921.8</v>
      </c>
      <c r="AM64" s="336">
        <f t="shared" si="256"/>
        <v>760.36</v>
      </c>
      <c r="AN64" s="336">
        <f t="shared" si="256"/>
        <v>607.24</v>
      </c>
      <c r="AO64" s="336">
        <f t="shared" si="256"/>
        <v>698.4</v>
      </c>
      <c r="AP64" s="336">
        <f t="shared" si="256"/>
        <v>748.7</v>
      </c>
      <c r="AQ64" s="336">
        <f t="shared" si="256"/>
        <v>799.7</v>
      </c>
      <c r="AR64" s="336">
        <f t="shared" ref="AR64:BC64" si="257">SUM(AR60:AR63)</f>
        <v>895.84100000000001</v>
      </c>
      <c r="AS64" s="336">
        <f t="shared" si="257"/>
        <v>825.6</v>
      </c>
      <c r="AT64" s="336">
        <f t="shared" si="257"/>
        <v>926.5</v>
      </c>
      <c r="AU64" s="336">
        <f t="shared" si="257"/>
        <v>948.1</v>
      </c>
      <c r="AV64" s="336">
        <f t="shared" si="257"/>
        <v>1069.818</v>
      </c>
      <c r="AW64" s="336">
        <f t="shared" si="257"/>
        <v>1070</v>
      </c>
      <c r="AX64" s="336">
        <f t="shared" si="257"/>
        <v>1170.6270000000002</v>
      </c>
      <c r="AY64" s="336">
        <f t="shared" si="257"/>
        <v>959.87900000000002</v>
      </c>
      <c r="AZ64" s="336">
        <f t="shared" si="257"/>
        <v>972.69099999999992</v>
      </c>
      <c r="BA64" s="336">
        <f t="shared" si="257"/>
        <v>975.28</v>
      </c>
      <c r="BB64" s="336">
        <f t="shared" si="257"/>
        <v>989.04100000000005</v>
      </c>
      <c r="BC64" s="336">
        <f t="shared" si="257"/>
        <v>991.8</v>
      </c>
      <c r="BD64" s="336">
        <v>1031</v>
      </c>
      <c r="BE64" s="336">
        <v>1043.5540000000001</v>
      </c>
      <c r="BF64" s="367">
        <v>1132.1600000000001</v>
      </c>
      <c r="BG64" s="368">
        <v>1139.0630000000001</v>
      </c>
      <c r="BH64" s="368">
        <v>1181.338</v>
      </c>
      <c r="BI64" s="368">
        <v>1305.5350000000001</v>
      </c>
      <c r="BJ64" s="367">
        <f>SUM(BJ60:BJ63)</f>
        <v>1554</v>
      </c>
      <c r="BK64" s="368">
        <v>1333.3309999999999</v>
      </c>
      <c r="BL64" s="368">
        <v>1352.962</v>
      </c>
      <c r="BM64" s="368">
        <v>1300.2370000000001</v>
      </c>
      <c r="BN64" s="367">
        <f>SUM(BN60:BN63)</f>
        <v>1416.3689999999999</v>
      </c>
      <c r="BO64" s="368">
        <v>1402.992</v>
      </c>
      <c r="BP64" s="367">
        <f t="shared" ref="BP64:BR64" si="258">SUM(BP60:BP63)</f>
        <v>1405</v>
      </c>
      <c r="BQ64" s="367">
        <f t="shared" si="258"/>
        <v>1465</v>
      </c>
      <c r="BR64" s="367">
        <f t="shared" si="258"/>
        <v>1490.7130000000002</v>
      </c>
      <c r="BS64" s="367"/>
      <c r="BT64" s="367"/>
      <c r="BU64" s="367"/>
      <c r="BV64" s="367"/>
      <c r="BW64" s="336"/>
      <c r="BX64" s="203"/>
      <c r="BY64" s="337"/>
      <c r="BZ64" s="337"/>
      <c r="CA64" s="337"/>
      <c r="CB64" s="337">
        <f t="shared" ref="CB64:CH64" si="259">AA64/W64-1</f>
        <v>1.1471301535974137</v>
      </c>
      <c r="CC64" s="337">
        <f t="shared" si="259"/>
        <v>1.4864591754244145</v>
      </c>
      <c r="CD64" s="337">
        <f t="shared" si="259"/>
        <v>1.3286318758815234</v>
      </c>
      <c r="CE64" s="337">
        <f t="shared" si="259"/>
        <v>0.42081322314049574</v>
      </c>
      <c r="CF64" s="337">
        <f t="shared" si="259"/>
        <v>0.87650602409638534</v>
      </c>
      <c r="CG64" s="337">
        <f t="shared" si="259"/>
        <v>1.828578395513289</v>
      </c>
      <c r="CH64" s="337">
        <f t="shared" si="259"/>
        <v>0.87886129618413045</v>
      </c>
      <c r="CI64" s="337">
        <f t="shared" si="252"/>
        <v>0.58482861636683459</v>
      </c>
      <c r="CJ64" s="337">
        <f t="shared" si="252"/>
        <v>0.36872993579454261</v>
      </c>
      <c r="CK64" s="337">
        <f t="shared" si="252"/>
        <v>-0.13399195402298847</v>
      </c>
      <c r="CL64" s="337">
        <f t="shared" si="252"/>
        <v>0.23581560283687963</v>
      </c>
      <c r="CM64" s="337">
        <f t="shared" si="252"/>
        <v>0.35329360657590869</v>
      </c>
      <c r="CN64" s="337">
        <f t="shared" si="252"/>
        <v>0.11461135339172501</v>
      </c>
      <c r="CO64" s="337">
        <f t="shared" si="252"/>
        <v>-0.19402941492672809</v>
      </c>
      <c r="CP64" s="337">
        <f t="shared" si="252"/>
        <v>-8.9083083344202563E-2</v>
      </c>
      <c r="CQ64" s="337">
        <f t="shared" si="252"/>
        <v>-0.18778476893035356</v>
      </c>
      <c r="CR64" s="337">
        <f t="shared" si="252"/>
        <v>5.1738650113104301E-2</v>
      </c>
      <c r="CS64" s="337">
        <f t="shared" si="253"/>
        <v>0.4752667808444766</v>
      </c>
      <c r="CT64" s="337">
        <f t="shared" si="253"/>
        <v>0.18213058419243988</v>
      </c>
      <c r="CU64" s="337">
        <f t="shared" si="253"/>
        <v>0.23747829571256829</v>
      </c>
      <c r="CV64" s="337">
        <f t="shared" si="253"/>
        <v>0.18556958859572337</v>
      </c>
      <c r="CW64" s="337">
        <f t="shared" si="253"/>
        <v>0.19420522168554455</v>
      </c>
      <c r="CX64" s="337">
        <f t="shared" si="253"/>
        <v>0.29602713178294571</v>
      </c>
      <c r="CY64" s="337">
        <f t="shared" si="253"/>
        <v>0.26349379384781457</v>
      </c>
      <c r="CZ64" s="337">
        <f t="shared" si="253"/>
        <v>1.2423794958337675E-2</v>
      </c>
      <c r="DA64" s="337">
        <f t="shared" si="253"/>
        <v>-9.0788339698902099E-2</v>
      </c>
      <c r="DB64" s="337">
        <f t="shared" si="253"/>
        <v>-8.8523364485981304E-2</v>
      </c>
      <c r="DC64" s="337">
        <f t="shared" si="254"/>
        <v>-0.15511858175148885</v>
      </c>
      <c r="DD64" s="337">
        <f t="shared" si="254"/>
        <v>3.3255233211685997E-2</v>
      </c>
      <c r="DE64" s="337">
        <f t="shared" si="254"/>
        <v>5.9946067147737647E-2</v>
      </c>
      <c r="DF64" s="337">
        <f t="shared" si="254"/>
        <v>7.0004511524895507E-2</v>
      </c>
      <c r="DG64" s="337">
        <f t="shared" si="254"/>
        <v>0.14470482012373598</v>
      </c>
      <c r="DH64" s="337">
        <f t="shared" si="254"/>
        <v>0.1484805404315388</v>
      </c>
      <c r="DI64" s="337">
        <f t="shared" si="254"/>
        <v>0.14581765276430647</v>
      </c>
      <c r="DJ64" s="337">
        <f t="shared" si="254"/>
        <v>0.25104690317894418</v>
      </c>
      <c r="DK64" s="337">
        <f t="shared" si="254"/>
        <v>0.37259751271905017</v>
      </c>
      <c r="DL64" s="337">
        <f t="shared" si="254"/>
        <v>0.17055070702849595</v>
      </c>
      <c r="DM64" s="337">
        <f t="shared" si="255"/>
        <v>0.14527933580397812</v>
      </c>
      <c r="DN64" s="337">
        <f t="shared" si="255"/>
        <v>-4.0581064467823946E-3</v>
      </c>
      <c r="DO64" s="337">
        <f t="shared" si="255"/>
        <v>-8.8565637065637137E-2</v>
      </c>
      <c r="DP64" s="337">
        <f t="shared" si="255"/>
        <v>5.2245841430222484E-2</v>
      </c>
      <c r="DQ64" s="337">
        <f t="shared" si="255"/>
        <v>3.8462277580597171E-2</v>
      </c>
      <c r="DR64" s="337">
        <f t="shared" si="255"/>
        <v>0.12671766762520975</v>
      </c>
      <c r="DS64" s="337">
        <f t="shared" si="255"/>
        <v>5.2489146543026832E-2</v>
      </c>
      <c r="DT64" s="203"/>
      <c r="DV64" s="203"/>
      <c r="DW64" s="203"/>
      <c r="DX64" s="203"/>
      <c r="DY64" s="203"/>
      <c r="DZ64" s="203"/>
      <c r="EA64" s="203"/>
      <c r="EB64" s="203"/>
      <c r="EX64" s="367">
        <v>1304.6857</v>
      </c>
      <c r="EY64" s="367">
        <v>1379.34942</v>
      </c>
      <c r="EZ64" s="367">
        <v>1465.3127199999999</v>
      </c>
      <c r="FA64" s="583">
        <v>1323.4689999999996</v>
      </c>
      <c r="FB64" s="337">
        <v>0.16761622837833046</v>
      </c>
      <c r="FC64" s="337">
        <v>0.12238486137866844</v>
      </c>
      <c r="FD64" s="576">
        <v>-0.14834684684684707</v>
      </c>
    </row>
    <row r="65" spans="1:160">
      <c r="A65" s="203"/>
      <c r="B65" s="366" t="s">
        <v>2068</v>
      </c>
      <c r="C65" s="203"/>
      <c r="D65" s="203"/>
      <c r="E65" s="203"/>
      <c r="F65" s="203"/>
      <c r="G65" s="203"/>
      <c r="H65" s="203"/>
      <c r="I65" s="203"/>
      <c r="J65" s="203"/>
      <c r="K65" s="203"/>
      <c r="L65" s="203"/>
      <c r="M65" s="203"/>
      <c r="N65" s="203"/>
      <c r="O65" s="336"/>
      <c r="P65" s="336"/>
      <c r="Q65" s="336"/>
      <c r="R65" s="336"/>
      <c r="S65" s="336"/>
      <c r="T65" s="336"/>
      <c r="U65" s="336"/>
      <c r="V65" s="336"/>
      <c r="W65" s="336">
        <f t="shared" ref="W65:BG65" si="260">W56-W64</f>
        <v>4.5474735088646412E-13</v>
      </c>
      <c r="X65" s="336">
        <f t="shared" si="260"/>
        <v>3.979039320256561E-13</v>
      </c>
      <c r="Y65" s="336">
        <f t="shared" si="260"/>
        <v>0</v>
      </c>
      <c r="Z65" s="336">
        <f t="shared" ca="1" si="260"/>
        <v>0</v>
      </c>
      <c r="AA65" s="336">
        <f t="shared" si="260"/>
        <v>0</v>
      </c>
      <c r="AB65" s="336">
        <f t="shared" si="260"/>
        <v>0</v>
      </c>
      <c r="AC65" s="336">
        <f t="shared" si="260"/>
        <v>0</v>
      </c>
      <c r="AD65" s="336">
        <f t="shared" si="260"/>
        <v>0</v>
      </c>
      <c r="AE65" s="336">
        <f t="shared" si="260"/>
        <v>0</v>
      </c>
      <c r="AF65" s="336">
        <f t="shared" si="260"/>
        <v>0</v>
      </c>
      <c r="AG65" s="336">
        <f t="shared" si="260"/>
        <v>0</v>
      </c>
      <c r="AH65" s="336">
        <f t="shared" si="260"/>
        <v>0</v>
      </c>
      <c r="AI65" s="336">
        <f t="shared" si="260"/>
        <v>0</v>
      </c>
      <c r="AJ65" s="336">
        <f t="shared" si="260"/>
        <v>0</v>
      </c>
      <c r="AK65" s="336">
        <f t="shared" si="260"/>
        <v>0</v>
      </c>
      <c r="AL65" s="336">
        <f t="shared" si="260"/>
        <v>0</v>
      </c>
      <c r="AM65" s="336">
        <f t="shared" si="260"/>
        <v>0</v>
      </c>
      <c r="AN65" s="336">
        <f t="shared" si="260"/>
        <v>0</v>
      </c>
      <c r="AO65" s="336">
        <f t="shared" si="260"/>
        <v>0</v>
      </c>
      <c r="AP65" s="336">
        <f t="shared" si="260"/>
        <v>0</v>
      </c>
      <c r="AQ65" s="336">
        <f t="shared" si="260"/>
        <v>0</v>
      </c>
      <c r="AR65" s="336">
        <f t="shared" si="260"/>
        <v>0</v>
      </c>
      <c r="AS65" s="336">
        <f t="shared" si="260"/>
        <v>0</v>
      </c>
      <c r="AT65" s="336">
        <f t="shared" si="260"/>
        <v>0</v>
      </c>
      <c r="AU65" s="336">
        <f t="shared" si="260"/>
        <v>0</v>
      </c>
      <c r="AV65" s="336">
        <f t="shared" si="260"/>
        <v>-79.025000000000546</v>
      </c>
      <c r="AW65" s="336">
        <f t="shared" si="260"/>
        <v>0.3999999999996362</v>
      </c>
      <c r="AX65" s="336">
        <f t="shared" si="260"/>
        <v>6.0000000000854925E-3</v>
      </c>
      <c r="AY65" s="336">
        <f t="shared" si="260"/>
        <v>0</v>
      </c>
      <c r="AZ65" s="336">
        <f t="shared" si="260"/>
        <v>1.0000000005447873E-3</v>
      </c>
      <c r="BA65" s="336">
        <f t="shared" si="260"/>
        <v>4.4000000000664841E-2</v>
      </c>
      <c r="BB65" s="336">
        <f t="shared" si="260"/>
        <v>0</v>
      </c>
      <c r="BC65" s="336">
        <f t="shared" si="260"/>
        <v>-0.72099999999909414</v>
      </c>
      <c r="BD65" s="336">
        <f t="shared" si="260"/>
        <v>-0.20000000000027285</v>
      </c>
      <c r="BE65" s="336">
        <f t="shared" si="260"/>
        <v>0</v>
      </c>
      <c r="BF65" s="336">
        <f t="shared" si="260"/>
        <v>4.7999999999547072E-2</v>
      </c>
      <c r="BG65" s="336">
        <f t="shared" si="260"/>
        <v>0</v>
      </c>
      <c r="BH65" s="336">
        <f>BH56-BH64</f>
        <v>0</v>
      </c>
      <c r="BI65" s="336">
        <f>BI56-BI64</f>
        <v>0</v>
      </c>
      <c r="BJ65" s="336">
        <f>BJ56-BJ64</f>
        <v>5.7999999999537977E-2</v>
      </c>
      <c r="BK65" s="336">
        <f t="shared" ref="BK65" si="261">BK56-BK64</f>
        <v>9.9999999952160579E-4</v>
      </c>
      <c r="BL65" s="336">
        <f>BL56-BL64</f>
        <v>0</v>
      </c>
      <c r="BM65" s="336">
        <f ca="1">BM56-BM64</f>
        <v>0</v>
      </c>
      <c r="BN65" s="336">
        <f ca="1">BN56-BN64</f>
        <v>0</v>
      </c>
      <c r="BO65" s="344">
        <v>0</v>
      </c>
      <c r="BP65" s="344">
        <v>0</v>
      </c>
      <c r="BQ65" s="344">
        <v>0</v>
      </c>
      <c r="BR65" s="344">
        <v>0</v>
      </c>
      <c r="BS65" s="344"/>
      <c r="BT65" s="344"/>
      <c r="BU65" s="344"/>
      <c r="BV65" s="344"/>
      <c r="BW65" s="336"/>
      <c r="BX65" s="337"/>
      <c r="BY65" s="337"/>
      <c r="BZ65" s="337"/>
      <c r="CA65" s="337"/>
      <c r="CB65" s="337"/>
      <c r="CC65" s="337"/>
      <c r="CD65" s="337"/>
      <c r="CE65" s="337"/>
      <c r="CF65" s="337"/>
      <c r="CG65" s="337"/>
      <c r="CH65" s="337"/>
      <c r="CI65" s="337"/>
      <c r="CJ65" s="337"/>
      <c r="CK65" s="337"/>
      <c r="CL65" s="337"/>
      <c r="CM65" s="337"/>
      <c r="CN65" s="337"/>
      <c r="CO65" s="337"/>
      <c r="CP65" s="337"/>
      <c r="CQ65" s="337"/>
      <c r="CR65" s="337"/>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V65" s="203"/>
      <c r="DW65" s="203"/>
      <c r="DX65" s="203"/>
      <c r="DY65" s="203"/>
      <c r="DZ65" s="203"/>
      <c r="EA65" s="203"/>
      <c r="EB65" s="203"/>
      <c r="EX65" s="344">
        <v>0</v>
      </c>
      <c r="EY65" s="344">
        <v>0</v>
      </c>
      <c r="EZ65" s="344">
        <v>0</v>
      </c>
      <c r="FA65" s="585">
        <v>0</v>
      </c>
      <c r="FB65" s="203"/>
      <c r="FC65" s="203"/>
      <c r="FD65" s="574"/>
    </row>
    <row r="66" spans="1:160">
      <c r="A66" s="203"/>
      <c r="B66" s="366" t="s">
        <v>682</v>
      </c>
      <c r="C66" s="203"/>
      <c r="D66" s="203"/>
      <c r="E66" s="203"/>
      <c r="F66" s="203"/>
      <c r="G66" s="203"/>
      <c r="H66" s="203"/>
      <c r="I66" s="203"/>
      <c r="J66" s="203"/>
      <c r="K66" s="203"/>
      <c r="L66" s="203"/>
      <c r="M66" s="203"/>
      <c r="N66" s="203"/>
      <c r="O66" s="336"/>
      <c r="P66" s="336"/>
      <c r="Q66" s="336"/>
      <c r="R66" s="336"/>
      <c r="S66" s="336"/>
      <c r="T66" s="336"/>
      <c r="U66" s="336"/>
      <c r="V66" s="336"/>
      <c r="W66" s="336"/>
      <c r="X66" s="336"/>
      <c r="Y66" s="336"/>
      <c r="Z66" s="336"/>
      <c r="AA66" s="336"/>
      <c r="AB66" s="336"/>
      <c r="AC66" s="336"/>
      <c r="AD66" s="336"/>
      <c r="AE66" s="344">
        <v>0</v>
      </c>
      <c r="AF66" s="344">
        <v>386</v>
      </c>
      <c r="AG66" s="344">
        <v>142</v>
      </c>
      <c r="AH66" s="344">
        <v>182</v>
      </c>
      <c r="AI66" s="344">
        <f>472.63-AJ66</f>
        <v>224.053</v>
      </c>
      <c r="AJ66" s="344">
        <v>248.577</v>
      </c>
      <c r="AK66" s="344">
        <v>228.267</v>
      </c>
      <c r="AL66" s="344">
        <v>293.5</v>
      </c>
      <c r="AM66" s="344">
        <f>161.999-AN66</f>
        <v>161.999</v>
      </c>
      <c r="AN66" s="344">
        <v>0</v>
      </c>
      <c r="AO66" s="344">
        <v>0</v>
      </c>
      <c r="AP66" s="344">
        <v>0</v>
      </c>
      <c r="AQ66" s="344">
        <v>0</v>
      </c>
      <c r="AR66" s="344">
        <v>0</v>
      </c>
      <c r="AS66" s="344">
        <v>0</v>
      </c>
      <c r="AT66" s="344">
        <v>0</v>
      </c>
      <c r="AU66" s="344">
        <v>0</v>
      </c>
      <c r="AV66" s="344">
        <v>0</v>
      </c>
      <c r="AW66" s="344">
        <v>0</v>
      </c>
      <c r="AX66" s="344">
        <v>0</v>
      </c>
      <c r="AY66" s="344">
        <v>0</v>
      </c>
      <c r="AZ66" s="344">
        <v>0</v>
      </c>
      <c r="BA66" s="344">
        <v>0</v>
      </c>
      <c r="BB66" s="344">
        <v>0</v>
      </c>
      <c r="BC66" s="344">
        <v>0</v>
      </c>
      <c r="BD66" s="344">
        <v>0</v>
      </c>
      <c r="BE66" s="344">
        <v>0</v>
      </c>
      <c r="BF66" s="344">
        <v>0</v>
      </c>
      <c r="BG66" s="344">
        <v>0</v>
      </c>
      <c r="BH66" s="344">
        <v>0</v>
      </c>
      <c r="BI66" s="344"/>
      <c r="BJ66" s="344"/>
      <c r="BK66" s="344">
        <v>0</v>
      </c>
      <c r="BL66" s="344">
        <v>0</v>
      </c>
      <c r="BM66" s="344">
        <v>0</v>
      </c>
      <c r="BN66" s="344">
        <v>0</v>
      </c>
      <c r="BO66" s="344">
        <v>0</v>
      </c>
      <c r="BP66" s="344">
        <v>0</v>
      </c>
      <c r="BQ66" s="344">
        <v>0</v>
      </c>
      <c r="BR66" s="344">
        <v>0</v>
      </c>
      <c r="BS66" s="344"/>
      <c r="BT66" s="344"/>
      <c r="BU66" s="344"/>
      <c r="BV66" s="344"/>
      <c r="BW66" s="344"/>
      <c r="BX66" s="337"/>
      <c r="BY66" s="337"/>
      <c r="BZ66" s="337"/>
      <c r="CA66" s="337"/>
      <c r="CB66" s="337"/>
      <c r="CC66" s="337"/>
      <c r="CD66" s="337"/>
      <c r="CE66" s="337"/>
      <c r="CF66" s="337"/>
      <c r="CG66" s="337"/>
      <c r="CH66" s="337"/>
      <c r="CI66" s="337"/>
      <c r="CJ66" s="337"/>
      <c r="CK66" s="337"/>
      <c r="CL66" s="337"/>
      <c r="CM66" s="337"/>
      <c r="CN66" s="337"/>
      <c r="CO66" s="337"/>
      <c r="CP66" s="337"/>
      <c r="CQ66" s="337"/>
      <c r="CR66" s="337"/>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V66" s="203"/>
      <c r="DW66" s="203"/>
      <c r="DX66" s="203"/>
      <c r="DY66" s="203"/>
      <c r="DZ66" s="203"/>
      <c r="EA66" s="203"/>
      <c r="EB66" s="203"/>
      <c r="EX66" s="344">
        <v>0</v>
      </c>
      <c r="EY66" s="344">
        <v>0</v>
      </c>
      <c r="EZ66" s="344">
        <v>0</v>
      </c>
      <c r="FA66" s="585">
        <v>0</v>
      </c>
      <c r="FB66" s="203"/>
      <c r="FC66" s="203"/>
      <c r="FD66" s="574"/>
    </row>
    <row r="67" spans="1:160">
      <c r="A67" s="203"/>
      <c r="B67" s="366" t="s">
        <v>683</v>
      </c>
      <c r="C67" s="203"/>
      <c r="D67" s="203"/>
      <c r="E67" s="203"/>
      <c r="F67" s="203"/>
      <c r="G67" s="203"/>
      <c r="H67" s="203"/>
      <c r="I67" s="203"/>
      <c r="J67" s="203"/>
      <c r="K67" s="203"/>
      <c r="L67" s="203"/>
      <c r="M67" s="203"/>
      <c r="N67" s="203"/>
      <c r="O67" s="336"/>
      <c r="P67" s="336"/>
      <c r="Q67" s="336"/>
      <c r="R67" s="336"/>
      <c r="S67" s="336"/>
      <c r="T67" s="336"/>
      <c r="U67" s="336"/>
      <c r="V67" s="336"/>
      <c r="W67" s="336"/>
      <c r="X67" s="336"/>
      <c r="Y67" s="336"/>
      <c r="Z67" s="336"/>
      <c r="AA67" s="336"/>
      <c r="AB67" s="336"/>
      <c r="AC67" s="336"/>
      <c r="AD67" s="336"/>
      <c r="AE67" s="336">
        <f t="shared" ref="AE67:BG67" si="262">AE62-AE66</f>
        <v>145.9</v>
      </c>
      <c r="AF67" s="336">
        <f t="shared" si="262"/>
        <v>111</v>
      </c>
      <c r="AG67" s="336">
        <f t="shared" si="262"/>
        <v>130</v>
      </c>
      <c r="AH67" s="336">
        <f t="shared" si="262"/>
        <v>104.44099999999997</v>
      </c>
      <c r="AI67" s="336">
        <f t="shared" si="262"/>
        <v>77.947000000000003</v>
      </c>
      <c r="AJ67" s="336">
        <f t="shared" si="262"/>
        <v>100.83100000000002</v>
      </c>
      <c r="AK67" s="336">
        <f t="shared" si="262"/>
        <v>108.33300000000003</v>
      </c>
      <c r="AL67" s="336">
        <f t="shared" si="262"/>
        <v>177</v>
      </c>
      <c r="AM67" s="336">
        <f t="shared" si="262"/>
        <v>112.30199999999999</v>
      </c>
      <c r="AN67" s="336">
        <f t="shared" si="262"/>
        <v>129.858</v>
      </c>
      <c r="AO67" s="336">
        <f t="shared" si="262"/>
        <v>151.4</v>
      </c>
      <c r="AP67" s="336">
        <f t="shared" si="262"/>
        <v>179</v>
      </c>
      <c r="AQ67" s="336">
        <f t="shared" si="262"/>
        <v>147.1</v>
      </c>
      <c r="AR67" s="336">
        <f t="shared" si="262"/>
        <v>145.44800000000001</v>
      </c>
      <c r="AS67" s="336">
        <f t="shared" si="262"/>
        <v>143.6</v>
      </c>
      <c r="AT67" s="336">
        <f t="shared" si="262"/>
        <v>203</v>
      </c>
      <c r="AU67" s="336">
        <f t="shared" si="262"/>
        <v>166</v>
      </c>
      <c r="AV67" s="336">
        <f t="shared" si="262"/>
        <v>195.45</v>
      </c>
      <c r="AW67" s="336">
        <f t="shared" si="262"/>
        <v>266</v>
      </c>
      <c r="AX67" s="336">
        <f t="shared" si="262"/>
        <v>424.37200000000001</v>
      </c>
      <c r="AY67" s="336">
        <f t="shared" si="262"/>
        <v>164.78100000000001</v>
      </c>
      <c r="AZ67" s="336">
        <f t="shared" si="262"/>
        <v>148.78</v>
      </c>
      <c r="BA67" s="336">
        <f t="shared" si="262"/>
        <v>147.30000000000001</v>
      </c>
      <c r="BB67" s="336">
        <f t="shared" si="262"/>
        <v>162.821</v>
      </c>
      <c r="BC67" s="336">
        <f t="shared" si="262"/>
        <v>157</v>
      </c>
      <c r="BD67" s="336">
        <f t="shared" si="262"/>
        <v>181</v>
      </c>
      <c r="BE67" s="336">
        <f t="shared" si="262"/>
        <v>166.93299999999999</v>
      </c>
      <c r="BF67" s="336">
        <f t="shared" si="262"/>
        <v>202.72300000000001</v>
      </c>
      <c r="BG67" s="336">
        <f t="shared" si="262"/>
        <v>185.17699999999999</v>
      </c>
      <c r="BH67" s="336">
        <f t="shared" ref="BH67:BI67" si="263">BH62-BH66</f>
        <v>182.10499999999999</v>
      </c>
      <c r="BI67" s="336">
        <f t="shared" si="263"/>
        <v>195.59100000000001</v>
      </c>
      <c r="BJ67" s="336">
        <f t="shared" ref="BJ67:BL67" si="264">BJ62-BJ66</f>
        <v>453</v>
      </c>
      <c r="BK67" s="336">
        <f t="shared" si="264"/>
        <v>229.30099999999999</v>
      </c>
      <c r="BL67" s="336">
        <f t="shared" si="264"/>
        <v>238.029</v>
      </c>
      <c r="BM67" s="336">
        <f t="shared" ref="BM67:BN67" si="265">BM62-BM66</f>
        <v>161.053</v>
      </c>
      <c r="BN67" s="336">
        <f t="shared" si="265"/>
        <v>301.2</v>
      </c>
      <c r="BO67" s="336">
        <f t="shared" ref="BO67:BR67" si="266">BO62-BO66</f>
        <v>282.79000000000002</v>
      </c>
      <c r="BP67" s="336">
        <f t="shared" si="266"/>
        <v>250</v>
      </c>
      <c r="BQ67" s="336">
        <f t="shared" si="266"/>
        <v>250</v>
      </c>
      <c r="BR67" s="336">
        <f t="shared" si="266"/>
        <v>286.32474999999994</v>
      </c>
      <c r="BS67" s="336"/>
      <c r="BT67" s="336"/>
      <c r="BU67" s="336"/>
      <c r="BV67" s="336"/>
      <c r="BW67" s="336"/>
      <c r="BX67" s="337"/>
      <c r="BY67" s="337"/>
      <c r="BZ67" s="337"/>
      <c r="CA67" s="337"/>
      <c r="CB67" s="337"/>
      <c r="CC67" s="337"/>
      <c r="CD67" s="337"/>
      <c r="CE67" s="337"/>
      <c r="CF67" s="337"/>
      <c r="CG67" s="337"/>
      <c r="CH67" s="337"/>
      <c r="CI67" s="337"/>
      <c r="CJ67" s="337"/>
      <c r="CK67" s="337"/>
      <c r="CL67" s="337"/>
      <c r="CM67" s="337"/>
      <c r="CN67" s="337"/>
      <c r="CO67" s="337"/>
      <c r="CP67" s="337"/>
      <c r="CQ67" s="337"/>
      <c r="CR67" s="337"/>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V67" s="203"/>
      <c r="DW67" s="203"/>
      <c r="DX67" s="203"/>
      <c r="DY67" s="203"/>
      <c r="DZ67" s="203"/>
      <c r="EA67" s="203"/>
      <c r="EB67" s="203"/>
      <c r="EX67" s="336">
        <v>203.69470000000001</v>
      </c>
      <c r="EY67" s="336">
        <v>214.88389999999998</v>
      </c>
      <c r="EZ67" s="336">
        <v>185.81145000000001</v>
      </c>
      <c r="FA67" s="577">
        <v>171.61700000000002</v>
      </c>
      <c r="FB67" s="203"/>
      <c r="FC67" s="203"/>
      <c r="FD67" s="574"/>
    </row>
    <row r="68" spans="1:160">
      <c r="A68" s="203"/>
      <c r="B68" s="366"/>
      <c r="C68" s="203"/>
      <c r="D68" s="203"/>
      <c r="E68" s="203"/>
      <c r="F68" s="203"/>
      <c r="G68" s="203"/>
      <c r="H68" s="203"/>
      <c r="I68" s="203"/>
      <c r="J68" s="203"/>
      <c r="K68" s="203"/>
      <c r="L68" s="203"/>
      <c r="M68" s="203"/>
      <c r="N68" s="203"/>
      <c r="O68" s="336"/>
      <c r="P68" s="336"/>
      <c r="Q68" s="336"/>
      <c r="R68" s="336"/>
      <c r="S68" s="336"/>
      <c r="T68" s="336"/>
      <c r="U68" s="336"/>
      <c r="V68" s="336"/>
      <c r="W68" s="336"/>
      <c r="X68" s="336"/>
      <c r="Y68" s="336"/>
      <c r="Z68" s="336"/>
      <c r="AA68" s="336"/>
      <c r="AB68" s="336"/>
      <c r="AC68" s="336"/>
      <c r="AD68" s="336"/>
      <c r="AE68" s="336">
        <f t="shared" ref="AE68:BG68" si="267">AE64-AE66</f>
        <v>498.4</v>
      </c>
      <c r="AF68" s="336">
        <f t="shared" si="267"/>
        <v>484</v>
      </c>
      <c r="AG68" s="336">
        <f t="shared" si="267"/>
        <v>478.4</v>
      </c>
      <c r="AH68" s="336">
        <f t="shared" si="267"/>
        <v>499.15300000000002</v>
      </c>
      <c r="AI68" s="336">
        <f t="shared" si="267"/>
        <v>458.12199999999996</v>
      </c>
      <c r="AJ68" s="336">
        <f t="shared" si="267"/>
        <v>504.85</v>
      </c>
      <c r="AK68" s="336">
        <f t="shared" si="267"/>
        <v>538.43299999999999</v>
      </c>
      <c r="AL68" s="336">
        <f t="shared" si="267"/>
        <v>628.29999999999995</v>
      </c>
      <c r="AM68" s="336">
        <f t="shared" si="267"/>
        <v>598.36099999999999</v>
      </c>
      <c r="AN68" s="336">
        <f t="shared" si="267"/>
        <v>607.24</v>
      </c>
      <c r="AO68" s="336">
        <f t="shared" si="267"/>
        <v>698.4</v>
      </c>
      <c r="AP68" s="336">
        <f t="shared" si="267"/>
        <v>748.7</v>
      </c>
      <c r="AQ68" s="336">
        <f t="shared" si="267"/>
        <v>799.7</v>
      </c>
      <c r="AR68" s="336">
        <f t="shared" si="267"/>
        <v>895.84100000000001</v>
      </c>
      <c r="AS68" s="336">
        <f t="shared" si="267"/>
        <v>825.6</v>
      </c>
      <c r="AT68" s="336">
        <f t="shared" si="267"/>
        <v>926.5</v>
      </c>
      <c r="AU68" s="336">
        <f t="shared" si="267"/>
        <v>948.1</v>
      </c>
      <c r="AV68" s="336">
        <f t="shared" si="267"/>
        <v>1069.818</v>
      </c>
      <c r="AW68" s="336">
        <f t="shared" si="267"/>
        <v>1070</v>
      </c>
      <c r="AX68" s="336">
        <f t="shared" si="267"/>
        <v>1170.6270000000002</v>
      </c>
      <c r="AY68" s="336">
        <f t="shared" si="267"/>
        <v>959.87900000000002</v>
      </c>
      <c r="AZ68" s="336">
        <f t="shared" si="267"/>
        <v>972.69099999999992</v>
      </c>
      <c r="BA68" s="336">
        <f t="shared" si="267"/>
        <v>975.28</v>
      </c>
      <c r="BB68" s="336">
        <f t="shared" si="267"/>
        <v>989.04100000000005</v>
      </c>
      <c r="BC68" s="336">
        <f t="shared" si="267"/>
        <v>991.8</v>
      </c>
      <c r="BD68" s="336">
        <f t="shared" si="267"/>
        <v>1031</v>
      </c>
      <c r="BE68" s="336">
        <f t="shared" si="267"/>
        <v>1043.5540000000001</v>
      </c>
      <c r="BF68" s="336">
        <f t="shared" si="267"/>
        <v>1132.1600000000001</v>
      </c>
      <c r="BG68" s="336">
        <f t="shared" si="267"/>
        <v>1139.0630000000001</v>
      </c>
      <c r="BH68" s="336">
        <f t="shared" ref="BH68:BI68" si="268">BH64-BH66</f>
        <v>1181.338</v>
      </c>
      <c r="BI68" s="336">
        <f t="shared" si="268"/>
        <v>1305.5350000000001</v>
      </c>
      <c r="BJ68" s="336">
        <f t="shared" ref="BJ68:BL68" si="269">BJ64-BJ66</f>
        <v>1554</v>
      </c>
      <c r="BK68" s="336">
        <f t="shared" si="269"/>
        <v>1333.3309999999999</v>
      </c>
      <c r="BL68" s="336">
        <f t="shared" si="269"/>
        <v>1352.962</v>
      </c>
      <c r="BM68" s="336">
        <f t="shared" ref="BM68:BN68" si="270">BM64-BM66</f>
        <v>1300.2370000000001</v>
      </c>
      <c r="BN68" s="336">
        <f t="shared" si="270"/>
        <v>1416.3689999999999</v>
      </c>
      <c r="BO68" s="336">
        <f t="shared" ref="BO68:BR68" si="271">BO64-BO66</f>
        <v>1402.992</v>
      </c>
      <c r="BP68" s="336">
        <f t="shared" si="271"/>
        <v>1405</v>
      </c>
      <c r="BQ68" s="336">
        <f t="shared" si="271"/>
        <v>1465</v>
      </c>
      <c r="BR68" s="336">
        <f t="shared" si="271"/>
        <v>1490.7130000000002</v>
      </c>
      <c r="BS68" s="336"/>
      <c r="BT68" s="336"/>
      <c r="BU68" s="336"/>
      <c r="BV68" s="336"/>
      <c r="BW68" s="336"/>
      <c r="BX68" s="337"/>
      <c r="BY68" s="337"/>
      <c r="BZ68" s="337"/>
      <c r="CA68" s="337"/>
      <c r="CB68" s="337"/>
      <c r="CC68" s="337"/>
      <c r="CD68" s="337"/>
      <c r="CE68" s="337"/>
      <c r="CF68" s="337"/>
      <c r="CG68" s="337"/>
      <c r="CH68" s="337"/>
      <c r="CI68" s="337"/>
      <c r="CJ68" s="337">
        <f t="shared" ref="CJ68:CR68" si="272">AI68/AE68-1</f>
        <v>-8.0814606741573036E-2</v>
      </c>
      <c r="CK68" s="337">
        <f t="shared" si="272"/>
        <v>4.3078512396694357E-2</v>
      </c>
      <c r="CL68" s="337">
        <f t="shared" si="272"/>
        <v>0.12548704013377932</v>
      </c>
      <c r="CM68" s="337">
        <f t="shared" si="272"/>
        <v>0.25873229250350072</v>
      </c>
      <c r="CN68" s="337">
        <f t="shared" si="272"/>
        <v>0.30611714783398325</v>
      </c>
      <c r="CO68" s="337">
        <f t="shared" si="272"/>
        <v>0.20281271664850942</v>
      </c>
      <c r="CP68" s="337">
        <f t="shared" si="272"/>
        <v>0.29709731758640356</v>
      </c>
      <c r="CQ68" s="337">
        <f t="shared" si="272"/>
        <v>0.19162820308769701</v>
      </c>
      <c r="CR68" s="337">
        <f t="shared" si="272"/>
        <v>0.33648416257075597</v>
      </c>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V68" s="203"/>
      <c r="DW68" s="203"/>
      <c r="DX68" s="203"/>
      <c r="DY68" s="203"/>
      <c r="DZ68" s="203"/>
      <c r="EA68" s="203"/>
      <c r="EB68" s="203"/>
      <c r="EX68" s="336">
        <v>1304.6857</v>
      </c>
      <c r="EY68" s="336">
        <v>1379.34942</v>
      </c>
      <c r="EZ68" s="336">
        <v>1465.3127199999999</v>
      </c>
      <c r="FA68" s="577">
        <v>1323.4689999999996</v>
      </c>
      <c r="FB68" s="203"/>
      <c r="FC68" s="203"/>
      <c r="FD68" s="574"/>
    </row>
    <row r="69" spans="1:160">
      <c r="A69" s="203"/>
      <c r="B69" s="366"/>
      <c r="C69" s="203"/>
      <c r="D69" s="203"/>
      <c r="E69" s="203"/>
      <c r="F69" s="203"/>
      <c r="G69" s="203"/>
      <c r="H69" s="203"/>
      <c r="I69" s="203"/>
      <c r="J69" s="203"/>
      <c r="K69" s="203"/>
      <c r="L69" s="203"/>
      <c r="M69" s="203"/>
      <c r="N69" s="203"/>
      <c r="O69" s="336"/>
      <c r="P69" s="336"/>
      <c r="Q69" s="336"/>
      <c r="R69" s="336"/>
      <c r="S69" s="336"/>
      <c r="T69" s="336"/>
      <c r="U69" s="336"/>
      <c r="V69" s="336"/>
      <c r="W69" s="336"/>
      <c r="X69" s="336"/>
      <c r="Y69" s="336"/>
      <c r="Z69" s="336"/>
      <c r="AA69" s="336"/>
      <c r="AB69" s="336"/>
      <c r="AC69" s="336"/>
      <c r="AD69" s="336"/>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c r="BQ69" s="337"/>
      <c r="BR69" s="337"/>
      <c r="BS69" s="337"/>
      <c r="BT69" s="337"/>
      <c r="BU69" s="337"/>
      <c r="BV69" s="337"/>
      <c r="BW69" s="336"/>
      <c r="BX69" s="337"/>
      <c r="BY69" s="337"/>
      <c r="BZ69" s="337"/>
      <c r="CA69" s="337"/>
      <c r="CB69" s="337"/>
      <c r="CC69" s="337"/>
      <c r="CD69" s="337"/>
      <c r="CE69" s="337"/>
      <c r="CF69" s="337"/>
      <c r="CG69" s="337"/>
      <c r="CH69" s="337"/>
      <c r="CI69" s="337"/>
      <c r="CJ69" s="337"/>
      <c r="CK69" s="337"/>
      <c r="CL69" s="337"/>
      <c r="CM69" s="337"/>
      <c r="CN69" s="337"/>
      <c r="CO69" s="337"/>
      <c r="CP69" s="337"/>
      <c r="CQ69" s="337"/>
      <c r="CR69" s="337"/>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V69" s="203"/>
      <c r="DW69" s="203"/>
      <c r="DX69" s="203"/>
      <c r="DY69" s="203"/>
      <c r="DZ69" s="203"/>
      <c r="EA69" s="203"/>
      <c r="EB69" s="203"/>
      <c r="EX69" s="337"/>
      <c r="EY69" s="337"/>
      <c r="EZ69" s="337"/>
      <c r="FA69" s="576"/>
      <c r="FB69" s="203"/>
      <c r="FC69" s="203"/>
      <c r="FD69" s="574"/>
    </row>
    <row r="70" spans="1:160">
      <c r="A70" s="203"/>
      <c r="B70" s="203" t="s">
        <v>235</v>
      </c>
      <c r="C70" s="203"/>
      <c r="D70" s="203"/>
      <c r="E70" s="203"/>
      <c r="F70" s="203"/>
      <c r="G70" s="203"/>
      <c r="H70" s="203"/>
      <c r="I70" s="203"/>
      <c r="J70" s="203"/>
      <c r="K70" s="203"/>
      <c r="L70" s="203"/>
      <c r="M70" s="203"/>
      <c r="N70" s="203"/>
      <c r="O70" s="336">
        <f t="shared" ref="O70:BG70" si="273">O57-O56</f>
        <v>1928.5733459999999</v>
      </c>
      <c r="P70" s="336">
        <f t="shared" si="273"/>
        <v>1880.2923045</v>
      </c>
      <c r="Q70" s="336">
        <f t="shared" si="273"/>
        <v>1923.7311175500001</v>
      </c>
      <c r="R70" s="336">
        <f t="shared" si="273"/>
        <v>2027.4448500000001</v>
      </c>
      <c r="S70" s="336">
        <f t="shared" si="273"/>
        <v>2100.9471000000003</v>
      </c>
      <c r="T70" s="336">
        <f t="shared" si="273"/>
        <v>2063.2047000000002</v>
      </c>
      <c r="U70" s="336">
        <f t="shared" si="273"/>
        <v>2122.6022999999996</v>
      </c>
      <c r="V70" s="336">
        <f t="shared" si="273"/>
        <v>2143.2875999999997</v>
      </c>
      <c r="W70" s="336">
        <f t="shared" si="273"/>
        <v>2277.2999999999997</v>
      </c>
      <c r="X70" s="336">
        <f t="shared" si="273"/>
        <v>2320.2999999999997</v>
      </c>
      <c r="Y70" s="336">
        <f t="shared" si="273"/>
        <v>2333.1999999999998</v>
      </c>
      <c r="Z70" s="336">
        <f t="shared" ca="1" si="273"/>
        <v>2454.1379999999999</v>
      </c>
      <c r="AA70" s="336">
        <f t="shared" si="273"/>
        <v>2430.4</v>
      </c>
      <c r="AB70" s="336">
        <f t="shared" si="273"/>
        <v>2483.4249999999997</v>
      </c>
      <c r="AC70" s="336">
        <f t="shared" si="273"/>
        <v>2549.8000000000002</v>
      </c>
      <c r="AD70" s="336">
        <f t="shared" si="273"/>
        <v>2678.6570000000002</v>
      </c>
      <c r="AE70" s="336">
        <f t="shared" si="273"/>
        <v>2840.4</v>
      </c>
      <c r="AF70" s="336">
        <f t="shared" si="273"/>
        <v>2838</v>
      </c>
      <c r="AG70" s="336">
        <f t="shared" si="273"/>
        <v>2962.6</v>
      </c>
      <c r="AH70" s="336">
        <f t="shared" si="273"/>
        <v>3246.3500000000008</v>
      </c>
      <c r="AI70" s="336">
        <f t="shared" si="273"/>
        <v>3377.0889999999999</v>
      </c>
      <c r="AJ70" s="336">
        <f t="shared" si="273"/>
        <v>3469.239</v>
      </c>
      <c r="AK70" s="336">
        <f t="shared" si="273"/>
        <v>3452.8</v>
      </c>
      <c r="AL70" s="336">
        <f t="shared" si="273"/>
        <v>3533.951</v>
      </c>
      <c r="AM70" s="336">
        <f t="shared" si="273"/>
        <v>3529.5880000000006</v>
      </c>
      <c r="AN70" s="336">
        <f t="shared" si="273"/>
        <v>3522.6</v>
      </c>
      <c r="AO70" s="336">
        <f t="shared" si="273"/>
        <v>3579.1519999999991</v>
      </c>
      <c r="AP70" s="336">
        <f t="shared" si="273"/>
        <v>3766.799</v>
      </c>
      <c r="AQ70" s="336">
        <f t="shared" si="273"/>
        <v>3895.3</v>
      </c>
      <c r="AR70" s="336">
        <f t="shared" si="273"/>
        <v>3937.3020000000001</v>
      </c>
      <c r="AS70" s="336">
        <f t="shared" si="273"/>
        <v>4025.3660000000009</v>
      </c>
      <c r="AT70" s="336">
        <f t="shared" si="273"/>
        <v>4130.5969999999998</v>
      </c>
      <c r="AU70" s="336">
        <f t="shared" si="273"/>
        <v>4202.1000000000004</v>
      </c>
      <c r="AV70" s="336">
        <f t="shared" si="273"/>
        <v>4354.26</v>
      </c>
      <c r="AW70" s="336">
        <f t="shared" si="273"/>
        <v>4335</v>
      </c>
      <c r="AX70" s="336">
        <f t="shared" si="273"/>
        <v>4454.3169999999991</v>
      </c>
      <c r="AY70" s="336">
        <f t="shared" si="273"/>
        <v>4560.21</v>
      </c>
      <c r="AZ70" s="336">
        <f t="shared" si="273"/>
        <v>4487.7829999999994</v>
      </c>
      <c r="BA70" s="336">
        <f t="shared" si="273"/>
        <v>4646.1129999999994</v>
      </c>
      <c r="BB70" s="336">
        <f t="shared" si="273"/>
        <v>4791.8230000000003</v>
      </c>
      <c r="BC70" s="336">
        <f t="shared" si="273"/>
        <v>4960.8999999999996</v>
      </c>
      <c r="BD70" s="336">
        <f t="shared" si="273"/>
        <v>5033</v>
      </c>
      <c r="BE70" s="336">
        <f t="shared" si="273"/>
        <v>5101.3719999999994</v>
      </c>
      <c r="BF70" s="336">
        <f t="shared" si="273"/>
        <v>5341.2420000000002</v>
      </c>
      <c r="BG70" s="336">
        <f t="shared" si="273"/>
        <v>5423.3630000000003</v>
      </c>
      <c r="BH70" s="336">
        <f t="shared" ref="BH70:BI70" si="274">BH57-BH56</f>
        <v>5499.848</v>
      </c>
      <c r="BI70" s="336">
        <f t="shared" si="274"/>
        <v>5431.3499999999985</v>
      </c>
      <c r="BJ70" s="336">
        <f t="shared" ref="BJ70:BL70" si="275">BJ57-BJ56</f>
        <v>5621</v>
      </c>
      <c r="BK70" s="336">
        <f t="shared" si="275"/>
        <v>5818.8560000000007</v>
      </c>
      <c r="BL70" s="336">
        <f t="shared" si="275"/>
        <v>6020.732</v>
      </c>
      <c r="BM70" s="336">
        <f t="shared" ref="BM70:BN70" ca="1" si="276">BM57-BM56</f>
        <v>6190.4939999999997</v>
      </c>
      <c r="BN70" s="336">
        <f t="shared" ca="1" si="276"/>
        <v>6437.558</v>
      </c>
      <c r="BO70" s="336">
        <f t="shared" ref="BO70:BR70" si="277">BO57-BO56</f>
        <v>6581.6109999999999</v>
      </c>
      <c r="BP70" s="336">
        <f t="shared" si="277"/>
        <v>6770</v>
      </c>
      <c r="BQ70" s="336">
        <f t="shared" si="277"/>
        <v>6885</v>
      </c>
      <c r="BR70" s="336">
        <f t="shared" si="277"/>
        <v>7085.4275653905988</v>
      </c>
      <c r="BS70" s="336"/>
      <c r="BT70" s="336"/>
      <c r="BU70" s="336"/>
      <c r="BV70" s="336"/>
      <c r="BW70" s="336"/>
      <c r="BX70" s="337">
        <f t="shared" ref="BX70:DS70" si="278">W70/S70-1</f>
        <v>8.3939714617278671E-2</v>
      </c>
      <c r="BY70" s="337">
        <f t="shared" si="278"/>
        <v>0.12460969093372043</v>
      </c>
      <c r="BZ70" s="337">
        <f t="shared" si="278"/>
        <v>9.9216749176235464E-2</v>
      </c>
      <c r="CA70" s="337">
        <f t="shared" ca="1" si="278"/>
        <v>0.14503438549264236</v>
      </c>
      <c r="CB70" s="337">
        <f t="shared" si="278"/>
        <v>6.7228735783603666E-2</v>
      </c>
      <c r="CC70" s="337">
        <f t="shared" si="278"/>
        <v>7.0303409041934328E-2</v>
      </c>
      <c r="CD70" s="337">
        <f t="shared" si="278"/>
        <v>9.2833876221498635E-2</v>
      </c>
      <c r="CE70" s="337">
        <f t="shared" ca="1" si="278"/>
        <v>9.1485890361503897E-2</v>
      </c>
      <c r="CF70" s="337">
        <f t="shared" si="278"/>
        <v>0.16869651086240944</v>
      </c>
      <c r="CG70" s="337">
        <f t="shared" si="278"/>
        <v>0.14277660891712074</v>
      </c>
      <c r="CH70" s="337">
        <f t="shared" si="278"/>
        <v>0.16189505059220322</v>
      </c>
      <c r="CI70" s="337">
        <f t="shared" si="278"/>
        <v>0.21193194948065419</v>
      </c>
      <c r="CJ70" s="337">
        <f t="shared" si="278"/>
        <v>0.18894838755104915</v>
      </c>
      <c r="CK70" s="337">
        <f t="shared" si="278"/>
        <v>0.222423890063425</v>
      </c>
      <c r="CL70" s="337">
        <f t="shared" si="278"/>
        <v>0.16546276918922587</v>
      </c>
      <c r="CM70" s="337">
        <f t="shared" si="278"/>
        <v>8.8592111140203267E-2</v>
      </c>
      <c r="CN70" s="337">
        <f t="shared" si="278"/>
        <v>4.515693841648849E-2</v>
      </c>
      <c r="CO70" s="337">
        <f t="shared" si="278"/>
        <v>1.5381183020253042E-2</v>
      </c>
      <c r="CP70" s="337">
        <f t="shared" si="278"/>
        <v>3.6594068582020078E-2</v>
      </c>
      <c r="CQ70" s="337">
        <f t="shared" si="278"/>
        <v>6.5888859239983777E-2</v>
      </c>
      <c r="CR70" s="337">
        <f t="shared" si="278"/>
        <v>0.10361322624623592</v>
      </c>
      <c r="CS70" s="337">
        <f t="shared" si="278"/>
        <v>0.11772611139499234</v>
      </c>
      <c r="CT70" s="337">
        <f t="shared" si="278"/>
        <v>0.12467031296798847</v>
      </c>
      <c r="CU70" s="337">
        <f t="shared" si="278"/>
        <v>9.6580146697500924E-2</v>
      </c>
      <c r="CV70" s="337">
        <f t="shared" si="278"/>
        <v>7.8761584473596491E-2</v>
      </c>
      <c r="CW70" s="337">
        <f t="shared" si="278"/>
        <v>0.10589942046609591</v>
      </c>
      <c r="CX70" s="337">
        <f t="shared" si="278"/>
        <v>7.6920707334438454E-2</v>
      </c>
      <c r="CY70" s="337">
        <f t="shared" si="278"/>
        <v>7.837123786222655E-2</v>
      </c>
      <c r="CZ70" s="337">
        <f t="shared" si="278"/>
        <v>8.5221674876847286E-2</v>
      </c>
      <c r="DA70" s="337">
        <f t="shared" si="278"/>
        <v>3.0664912063128824E-2</v>
      </c>
      <c r="DB70" s="337">
        <f t="shared" si="278"/>
        <v>7.1767704728950221E-2</v>
      </c>
      <c r="DC70" s="337">
        <f t="shared" si="278"/>
        <v>7.5770539007439686E-2</v>
      </c>
      <c r="DD70" s="337">
        <f t="shared" si="278"/>
        <v>8.7866567548424257E-2</v>
      </c>
      <c r="DE70" s="337">
        <f t="shared" si="278"/>
        <v>0.12148916291184331</v>
      </c>
      <c r="DF70" s="337">
        <f t="shared" si="278"/>
        <v>9.7987070051890779E-2</v>
      </c>
      <c r="DG70" s="337">
        <f t="shared" si="278"/>
        <v>0.1146576156923993</v>
      </c>
      <c r="DH70" s="337">
        <f t="shared" si="278"/>
        <v>9.3221592856135072E-2</v>
      </c>
      <c r="DI70" s="337">
        <f t="shared" si="278"/>
        <v>9.275740115239417E-2</v>
      </c>
      <c r="DJ70" s="337">
        <f t="shared" si="278"/>
        <v>6.4684167318125319E-2</v>
      </c>
      <c r="DK70" s="337">
        <f t="shared" si="278"/>
        <v>5.2376956520599371E-2</v>
      </c>
      <c r="DL70" s="337">
        <f t="shared" si="278"/>
        <v>7.2923940366890427E-2</v>
      </c>
      <c r="DM70" s="337">
        <f t="shared" si="278"/>
        <v>9.4708799224996865E-2</v>
      </c>
      <c r="DN70" s="337">
        <f t="shared" ca="1" si="278"/>
        <v>0.13977077522163017</v>
      </c>
      <c r="DO70" s="337">
        <f t="shared" ca="1" si="278"/>
        <v>0.14526916918697741</v>
      </c>
      <c r="DP70" s="337">
        <f t="shared" si="278"/>
        <v>0.13108332634455966</v>
      </c>
      <c r="DQ70" s="337">
        <f t="shared" si="278"/>
        <v>0.12444799070943535</v>
      </c>
      <c r="DR70" s="337">
        <f t="shared" ca="1" si="278"/>
        <v>0.11218910800979698</v>
      </c>
      <c r="DS70" s="337">
        <f t="shared" ca="1" si="278"/>
        <v>0.10063902575955019</v>
      </c>
      <c r="DT70" s="203"/>
      <c r="DV70" s="203"/>
      <c r="DW70" s="203"/>
      <c r="DX70" s="203"/>
      <c r="DY70" s="203"/>
      <c r="DZ70" s="203"/>
      <c r="EA70" s="203"/>
      <c r="EB70" s="203"/>
      <c r="EX70" s="336">
        <v>5735.8006749999995</v>
      </c>
      <c r="EY70" s="336">
        <v>5942.0081789999986</v>
      </c>
      <c r="EZ70" s="336">
        <v>6070.4928120000004</v>
      </c>
      <c r="FA70" s="577">
        <v>6315.2387108040748</v>
      </c>
      <c r="FB70" s="337">
        <v>8.039498164312886E-2</v>
      </c>
      <c r="FC70" s="337">
        <v>0.1176766019497919</v>
      </c>
      <c r="FD70" s="576">
        <v>0.12350804319588593</v>
      </c>
    </row>
    <row r="71" spans="1:160">
      <c r="A71" s="203"/>
      <c r="B71" s="203" t="s">
        <v>673</v>
      </c>
      <c r="C71" s="203"/>
      <c r="D71" s="203"/>
      <c r="E71" s="203"/>
      <c r="F71" s="203"/>
      <c r="G71" s="203"/>
      <c r="H71" s="203"/>
      <c r="I71" s="203"/>
      <c r="J71" s="203"/>
      <c r="K71" s="203"/>
      <c r="L71" s="203"/>
      <c r="M71" s="203"/>
      <c r="N71" s="203"/>
      <c r="O71" s="336"/>
      <c r="P71" s="336"/>
      <c r="Q71" s="336"/>
      <c r="R71" s="336"/>
      <c r="S71" s="336"/>
      <c r="T71" s="336"/>
      <c r="U71" s="336"/>
      <c r="V71" s="336"/>
      <c r="W71" s="336">
        <f t="shared" ref="W71:BG71" si="279">W57-W64</f>
        <v>2277.3000000000002</v>
      </c>
      <c r="X71" s="336">
        <f t="shared" si="279"/>
        <v>2320.3000000000002</v>
      </c>
      <c r="Y71" s="336">
        <f t="shared" si="279"/>
        <v>2333.1999999999998</v>
      </c>
      <c r="Z71" s="336">
        <f t="shared" ca="1" si="279"/>
        <v>2454.1379999999999</v>
      </c>
      <c r="AA71" s="336">
        <f t="shared" si="279"/>
        <v>2430.4</v>
      </c>
      <c r="AB71" s="336">
        <f t="shared" si="279"/>
        <v>2483.4250000000002</v>
      </c>
      <c r="AC71" s="336">
        <f t="shared" si="279"/>
        <v>2549.8000000000002</v>
      </c>
      <c r="AD71" s="336">
        <f t="shared" si="279"/>
        <v>2678.6570000000002</v>
      </c>
      <c r="AE71" s="336">
        <f t="shared" si="279"/>
        <v>2840.4</v>
      </c>
      <c r="AF71" s="336">
        <f t="shared" si="279"/>
        <v>2838</v>
      </c>
      <c r="AG71" s="336">
        <f t="shared" si="279"/>
        <v>2962.6</v>
      </c>
      <c r="AH71" s="336">
        <f t="shared" si="279"/>
        <v>3246.3500000000004</v>
      </c>
      <c r="AI71" s="336">
        <f t="shared" si="279"/>
        <v>3377.0889999999999</v>
      </c>
      <c r="AJ71" s="336">
        <f t="shared" si="279"/>
        <v>3469.239</v>
      </c>
      <c r="AK71" s="336">
        <f t="shared" si="279"/>
        <v>3452.8</v>
      </c>
      <c r="AL71" s="336">
        <f t="shared" si="279"/>
        <v>3533.951</v>
      </c>
      <c r="AM71" s="336">
        <f t="shared" si="279"/>
        <v>3529.5880000000002</v>
      </c>
      <c r="AN71" s="336">
        <f t="shared" si="279"/>
        <v>3522.6000000000004</v>
      </c>
      <c r="AO71" s="336">
        <f t="shared" si="279"/>
        <v>3579.1519999999996</v>
      </c>
      <c r="AP71" s="336">
        <f t="shared" si="279"/>
        <v>3766.799</v>
      </c>
      <c r="AQ71" s="336">
        <f t="shared" si="279"/>
        <v>3895.3</v>
      </c>
      <c r="AR71" s="336">
        <f t="shared" si="279"/>
        <v>3937.3020000000001</v>
      </c>
      <c r="AS71" s="336">
        <f t="shared" si="279"/>
        <v>4025.3660000000004</v>
      </c>
      <c r="AT71" s="336">
        <f t="shared" si="279"/>
        <v>4130.5969999999998</v>
      </c>
      <c r="AU71" s="336">
        <f t="shared" si="279"/>
        <v>4202.0999999999995</v>
      </c>
      <c r="AV71" s="336">
        <f t="shared" si="279"/>
        <v>4275.2349999999997</v>
      </c>
      <c r="AW71" s="336">
        <f t="shared" si="279"/>
        <v>4335.3999999999996</v>
      </c>
      <c r="AX71" s="336">
        <f t="shared" si="279"/>
        <v>4454.3229999999994</v>
      </c>
      <c r="AY71" s="336">
        <f t="shared" si="279"/>
        <v>4560.21</v>
      </c>
      <c r="AZ71" s="336">
        <f t="shared" si="279"/>
        <v>4487.7840000000006</v>
      </c>
      <c r="BA71" s="336">
        <f t="shared" si="279"/>
        <v>4646.1570000000002</v>
      </c>
      <c r="BB71" s="336">
        <f t="shared" si="279"/>
        <v>4791.8229999999994</v>
      </c>
      <c r="BC71" s="336">
        <f t="shared" si="279"/>
        <v>4960.1790000000001</v>
      </c>
      <c r="BD71" s="336">
        <f t="shared" si="279"/>
        <v>5032.8</v>
      </c>
      <c r="BE71" s="336">
        <f t="shared" si="279"/>
        <v>5101.3720000000003</v>
      </c>
      <c r="BF71" s="336">
        <f t="shared" si="279"/>
        <v>5341.29</v>
      </c>
      <c r="BG71" s="336">
        <f t="shared" si="279"/>
        <v>5423.3630000000003</v>
      </c>
      <c r="BH71" s="336">
        <f t="shared" ref="BH71:BI71" si="280">BH57-BH64</f>
        <v>5499.848</v>
      </c>
      <c r="BI71" s="336">
        <f t="shared" si="280"/>
        <v>5431.35</v>
      </c>
      <c r="BJ71" s="336">
        <f t="shared" ref="BJ71:BL71" si="281">BJ57-BJ64</f>
        <v>5621.058</v>
      </c>
      <c r="BK71" s="336">
        <f t="shared" si="281"/>
        <v>5818.857</v>
      </c>
      <c r="BL71" s="336">
        <f t="shared" si="281"/>
        <v>6020.732</v>
      </c>
      <c r="BM71" s="336">
        <f t="shared" ref="BM71:BN71" si="282">BM57-BM64</f>
        <v>6190.4939999999997</v>
      </c>
      <c r="BN71" s="336">
        <f t="shared" si="282"/>
        <v>6437.558</v>
      </c>
      <c r="BO71" s="336">
        <f t="shared" ref="BO71:BR71" si="283">BO57-BO64</f>
        <v>6581.6109999999999</v>
      </c>
      <c r="BP71" s="336">
        <f t="shared" si="283"/>
        <v>6770</v>
      </c>
      <c r="BQ71" s="336">
        <f t="shared" si="283"/>
        <v>6885</v>
      </c>
      <c r="BR71" s="336">
        <f t="shared" si="283"/>
        <v>7085.4275653905988</v>
      </c>
      <c r="BS71" s="336"/>
      <c r="BT71" s="336"/>
      <c r="BU71" s="336"/>
      <c r="BV71" s="336"/>
      <c r="BW71" s="336"/>
      <c r="BX71" s="337"/>
      <c r="BY71" s="337"/>
      <c r="BZ71" s="337"/>
      <c r="CA71" s="337"/>
      <c r="CB71" s="337">
        <f t="shared" ref="CB71:DS71" si="284">AA71/W71-1</f>
        <v>6.7228735783603444E-2</v>
      </c>
      <c r="CC71" s="337">
        <f t="shared" si="284"/>
        <v>7.0303409041934328E-2</v>
      </c>
      <c r="CD71" s="337">
        <f t="shared" si="284"/>
        <v>9.2833876221498635E-2</v>
      </c>
      <c r="CE71" s="337">
        <f t="shared" ca="1" si="284"/>
        <v>9.1485890361503897E-2</v>
      </c>
      <c r="CF71" s="337">
        <f t="shared" si="284"/>
        <v>0.16869651086240944</v>
      </c>
      <c r="CG71" s="337">
        <f t="shared" si="284"/>
        <v>0.14277660891712052</v>
      </c>
      <c r="CH71" s="337">
        <f t="shared" si="284"/>
        <v>0.16189505059220322</v>
      </c>
      <c r="CI71" s="337">
        <f t="shared" si="284"/>
        <v>0.21193194948065397</v>
      </c>
      <c r="CJ71" s="337">
        <f t="shared" si="284"/>
        <v>0.18894838755104915</v>
      </c>
      <c r="CK71" s="337">
        <f t="shared" si="284"/>
        <v>0.222423890063425</v>
      </c>
      <c r="CL71" s="337">
        <f t="shared" si="284"/>
        <v>0.16546276918922587</v>
      </c>
      <c r="CM71" s="337">
        <f t="shared" si="284"/>
        <v>8.8592111140203489E-2</v>
      </c>
      <c r="CN71" s="337">
        <f t="shared" si="284"/>
        <v>4.5156938416488268E-2</v>
      </c>
      <c r="CO71" s="337">
        <f t="shared" si="284"/>
        <v>1.5381183020253264E-2</v>
      </c>
      <c r="CP71" s="337">
        <f t="shared" si="284"/>
        <v>3.65940685820203E-2</v>
      </c>
      <c r="CQ71" s="337">
        <f t="shared" si="284"/>
        <v>6.5888859239983777E-2</v>
      </c>
      <c r="CR71" s="337">
        <f t="shared" si="284"/>
        <v>0.10361322624623615</v>
      </c>
      <c r="CS71" s="337">
        <f t="shared" si="284"/>
        <v>0.11772611139499234</v>
      </c>
      <c r="CT71" s="337">
        <f t="shared" si="284"/>
        <v>0.12467031296798825</v>
      </c>
      <c r="CU71" s="337">
        <f t="shared" si="284"/>
        <v>9.6580146697500924E-2</v>
      </c>
      <c r="CV71" s="337">
        <f t="shared" si="284"/>
        <v>7.8761584473596269E-2</v>
      </c>
      <c r="CW71" s="337">
        <f t="shared" si="284"/>
        <v>8.5828569919198294E-2</v>
      </c>
      <c r="CX71" s="337">
        <f t="shared" si="284"/>
        <v>7.7020077180559365E-2</v>
      </c>
      <c r="CY71" s="337">
        <f t="shared" si="284"/>
        <v>7.8372690436757653E-2</v>
      </c>
      <c r="CZ71" s="337">
        <f t="shared" si="284"/>
        <v>8.5221674876847509E-2</v>
      </c>
      <c r="DA71" s="337">
        <f t="shared" si="284"/>
        <v>4.9716331382953394E-2</v>
      </c>
      <c r="DB71" s="337">
        <f t="shared" si="284"/>
        <v>7.1678968491950101E-2</v>
      </c>
      <c r="DC71" s="337">
        <f t="shared" si="284"/>
        <v>7.5769089938022116E-2</v>
      </c>
      <c r="DD71" s="337">
        <f t="shared" si="284"/>
        <v>8.7708460794568621E-2</v>
      </c>
      <c r="DE71" s="337">
        <f t="shared" si="284"/>
        <v>0.12144434758892131</v>
      </c>
      <c r="DF71" s="337">
        <f t="shared" si="284"/>
        <v>9.7976671903252655E-2</v>
      </c>
      <c r="DG71" s="337">
        <f t="shared" si="284"/>
        <v>0.11466763275688607</v>
      </c>
      <c r="DH71" s="337">
        <f t="shared" si="284"/>
        <v>9.3380500985952297E-2</v>
      </c>
      <c r="DI71" s="337">
        <f t="shared" si="284"/>
        <v>9.2800826577650541E-2</v>
      </c>
      <c r="DJ71" s="337">
        <f t="shared" si="284"/>
        <v>6.4684167318125319E-2</v>
      </c>
      <c r="DK71" s="337">
        <f t="shared" si="284"/>
        <v>5.2378358037103334E-2</v>
      </c>
      <c r="DL71" s="337">
        <f t="shared" si="284"/>
        <v>7.2924124754326636E-2</v>
      </c>
      <c r="DM71" s="337">
        <f t="shared" si="284"/>
        <v>9.4708799224996865E-2</v>
      </c>
      <c r="DN71" s="337">
        <f t="shared" si="284"/>
        <v>0.13977077522162995</v>
      </c>
      <c r="DO71" s="337">
        <f t="shared" si="284"/>
        <v>0.14525735190777245</v>
      </c>
      <c r="DP71" s="337">
        <f t="shared" si="284"/>
        <v>0.13108313196217058</v>
      </c>
      <c r="DQ71" s="337">
        <f t="shared" si="284"/>
        <v>0.12444799070943535</v>
      </c>
      <c r="DR71" s="337">
        <f t="shared" si="284"/>
        <v>0.11218910800979698</v>
      </c>
      <c r="DS71" s="337">
        <f t="shared" si="284"/>
        <v>0.10063902575955019</v>
      </c>
      <c r="DT71" s="203"/>
      <c r="DV71" s="203"/>
      <c r="DW71" s="203"/>
      <c r="DX71" s="203"/>
      <c r="DY71" s="203"/>
      <c r="DZ71" s="203"/>
      <c r="EA71" s="203"/>
      <c r="EB71" s="203"/>
      <c r="EX71" s="336">
        <v>5735.8006749999995</v>
      </c>
      <c r="EY71" s="336">
        <v>5942.0081789999986</v>
      </c>
      <c r="EZ71" s="336">
        <v>6070.4928120000004</v>
      </c>
      <c r="FA71" s="577">
        <v>6315.2387108040748</v>
      </c>
      <c r="FB71" s="337">
        <v>8.039498164312886E-2</v>
      </c>
      <c r="FC71" s="337">
        <v>0.11767660194979146</v>
      </c>
      <c r="FD71" s="576">
        <v>0.1234964504554259</v>
      </c>
    </row>
    <row r="72" spans="1:160">
      <c r="A72" s="203"/>
      <c r="B72" s="203" t="s">
        <v>675</v>
      </c>
      <c r="C72" s="203"/>
      <c r="D72" s="203"/>
      <c r="E72" s="203"/>
      <c r="F72" s="203"/>
      <c r="G72" s="203"/>
      <c r="H72" s="203"/>
      <c r="I72" s="203"/>
      <c r="J72" s="203"/>
      <c r="K72" s="203"/>
      <c r="L72" s="203"/>
      <c r="M72" s="203"/>
      <c r="N72" s="203"/>
      <c r="O72" s="336"/>
      <c r="P72" s="336"/>
      <c r="Q72" s="336"/>
      <c r="R72" s="336"/>
      <c r="S72" s="336"/>
      <c r="T72" s="336"/>
      <c r="U72" s="336"/>
      <c r="V72" s="336"/>
      <c r="W72" s="336"/>
      <c r="X72" s="336"/>
      <c r="Y72" s="336"/>
      <c r="Z72" s="336"/>
      <c r="AA72" s="336">
        <v>2483</v>
      </c>
      <c r="AB72" s="336"/>
      <c r="AC72" s="336"/>
      <c r="AD72" s="336"/>
      <c r="AE72" s="336">
        <v>2909</v>
      </c>
      <c r="AF72" s="336"/>
      <c r="AG72" s="336"/>
      <c r="AH72" s="336"/>
      <c r="AI72" s="336"/>
      <c r="AJ72" s="336"/>
      <c r="AK72" s="337"/>
      <c r="AL72" s="337"/>
      <c r="AM72" s="362"/>
      <c r="AN72" s="362"/>
      <c r="AO72" s="362"/>
      <c r="AP72" s="363"/>
      <c r="AQ72" s="363"/>
      <c r="AR72" s="337"/>
      <c r="AS72" s="337"/>
      <c r="AT72" s="337"/>
      <c r="AU72" s="337"/>
      <c r="AV72" s="337"/>
      <c r="AW72" s="337"/>
      <c r="AX72" s="337"/>
      <c r="AY72" s="337"/>
      <c r="AZ72" s="337"/>
      <c r="BA72" s="337"/>
      <c r="BB72" s="337"/>
      <c r="BC72" s="337"/>
      <c r="BD72" s="337"/>
      <c r="BE72" s="338">
        <f t="shared" ref="BE72:BR72" si="285">BE71/BD71-1</f>
        <v>1.3625019869655031E-2</v>
      </c>
      <c r="BF72" s="338">
        <f t="shared" si="285"/>
        <v>4.7030093080841606E-2</v>
      </c>
      <c r="BG72" s="338">
        <f t="shared" si="285"/>
        <v>1.536576370127829E-2</v>
      </c>
      <c r="BH72" s="338">
        <f t="shared" si="285"/>
        <v>1.4102873069717026E-2</v>
      </c>
      <c r="BI72" s="338">
        <f t="shared" si="285"/>
        <v>-1.2454526015991618E-2</v>
      </c>
      <c r="BJ72" s="338">
        <f t="shared" si="285"/>
        <v>3.4928332734955436E-2</v>
      </c>
      <c r="BK72" s="338">
        <f t="shared" si="285"/>
        <v>3.5188927066755138E-2</v>
      </c>
      <c r="BL72" s="338">
        <f t="shared" si="285"/>
        <v>3.4693239582962665E-2</v>
      </c>
      <c r="BM72" s="338">
        <f t="shared" si="285"/>
        <v>2.819623926127246E-2</v>
      </c>
      <c r="BN72" s="338">
        <f t="shared" si="285"/>
        <v>3.9910223642895204E-2</v>
      </c>
      <c r="BO72" s="338">
        <f>BO71/BN71-1</f>
        <v>2.2376963438620612E-2</v>
      </c>
      <c r="BP72" s="338">
        <f>BP71/BO71-1</f>
        <v>2.8623539130465225E-2</v>
      </c>
      <c r="BQ72" s="338">
        <f t="shared" si="285"/>
        <v>1.6986706056129952E-2</v>
      </c>
      <c r="BR72" s="338">
        <f t="shared" si="285"/>
        <v>2.9110757500450113E-2</v>
      </c>
      <c r="BS72" s="338"/>
      <c r="BT72" s="338"/>
      <c r="BU72" s="338"/>
      <c r="BV72" s="338"/>
      <c r="BW72" s="336"/>
      <c r="BX72" s="337"/>
      <c r="BY72" s="337"/>
      <c r="BZ72" s="337"/>
      <c r="CA72" s="337"/>
      <c r="CB72" s="337"/>
      <c r="CC72" s="337"/>
      <c r="CD72" s="337"/>
      <c r="CE72" s="337"/>
      <c r="CF72" s="337"/>
      <c r="CG72" s="337"/>
      <c r="CH72" s="337"/>
      <c r="CI72" s="337"/>
      <c r="CJ72" s="337"/>
      <c r="CK72" s="337"/>
      <c r="CL72" s="337"/>
      <c r="CM72" s="337"/>
      <c r="CN72" s="337"/>
      <c r="CO72" s="337"/>
      <c r="CP72" s="337"/>
      <c r="CQ72" s="337"/>
      <c r="CR72" s="337"/>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V72" s="203"/>
      <c r="DW72" s="203"/>
      <c r="DX72" s="203"/>
      <c r="DY72" s="203"/>
      <c r="DZ72" s="203"/>
      <c r="EA72" s="203"/>
      <c r="EB72" s="203"/>
      <c r="EX72" s="337"/>
      <c r="EY72" s="337"/>
      <c r="EZ72" s="337"/>
      <c r="FA72" s="578">
        <v>2.0151010695443006E-2</v>
      </c>
      <c r="FB72" s="203"/>
      <c r="FC72" s="203"/>
      <c r="FD72" s="574"/>
    </row>
    <row r="73" spans="1:160">
      <c r="A73" s="203"/>
      <c r="B73" s="203"/>
      <c r="C73" s="203"/>
      <c r="D73" s="203"/>
      <c r="E73" s="203"/>
      <c r="F73" s="203"/>
      <c r="G73" s="203"/>
      <c r="H73" s="203"/>
      <c r="I73" s="203"/>
      <c r="J73" s="203"/>
      <c r="K73" s="203"/>
      <c r="L73" s="203"/>
      <c r="M73" s="203"/>
      <c r="N73" s="203"/>
      <c r="O73" s="336"/>
      <c r="P73" s="336"/>
      <c r="Q73" s="336"/>
      <c r="R73" s="336"/>
      <c r="S73" s="336"/>
      <c r="T73" s="336"/>
      <c r="U73" s="336"/>
      <c r="V73" s="336"/>
      <c r="W73" s="336"/>
      <c r="X73" s="336"/>
      <c r="Y73" s="336"/>
      <c r="Z73" s="336"/>
      <c r="AA73" s="336"/>
      <c r="AB73" s="336"/>
      <c r="AC73" s="336"/>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f t="shared" ref="BF73:BN73" si="286">BF71/BB71-1</f>
        <v>0.11466763275688607</v>
      </c>
      <c r="BG73" s="337">
        <f t="shared" si="286"/>
        <v>9.3380500985952297E-2</v>
      </c>
      <c r="BH73" s="337">
        <f t="shared" si="286"/>
        <v>9.2800826577650541E-2</v>
      </c>
      <c r="BI73" s="337">
        <f t="shared" si="286"/>
        <v>6.4684167318125319E-2</v>
      </c>
      <c r="BJ73" s="337">
        <f t="shared" si="286"/>
        <v>5.2378358037103334E-2</v>
      </c>
      <c r="BK73" s="337">
        <f t="shared" si="286"/>
        <v>7.2924124754326636E-2</v>
      </c>
      <c r="BL73" s="337">
        <f t="shared" si="286"/>
        <v>9.4708799224996865E-2</v>
      </c>
      <c r="BM73" s="337">
        <f t="shared" si="286"/>
        <v>0.13977077522162995</v>
      </c>
      <c r="BN73" s="337">
        <f t="shared" si="286"/>
        <v>0.14525735190777245</v>
      </c>
      <c r="BO73" s="337">
        <f>BO71/BK71-1</f>
        <v>0.13108313196217058</v>
      </c>
      <c r="BP73" s="337">
        <f>BP71/BL71-1</f>
        <v>0.12444799070943535</v>
      </c>
      <c r="BQ73" s="337">
        <f>BQ71/BM71-1</f>
        <v>0.11218910800979698</v>
      </c>
      <c r="BR73" s="337">
        <f>BR71/BN71-1</f>
        <v>0.10063902575955019</v>
      </c>
      <c r="BS73" s="337"/>
      <c r="BT73" s="337"/>
      <c r="BU73" s="337"/>
      <c r="BV73" s="337"/>
      <c r="BW73" s="336"/>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V73" s="203"/>
      <c r="DW73" s="203"/>
      <c r="DX73" s="203"/>
      <c r="DY73" s="203"/>
      <c r="DZ73" s="203"/>
      <c r="EA73" s="203"/>
      <c r="EB73" s="203"/>
      <c r="EX73" s="337"/>
      <c r="EY73" s="337"/>
      <c r="EZ73" s="337"/>
      <c r="FA73" s="576">
        <v>0.1234964504554259</v>
      </c>
      <c r="FB73" s="203"/>
      <c r="FC73" s="203"/>
      <c r="FD73" s="574"/>
    </row>
    <row r="74" spans="1:160" hidden="1">
      <c r="A74" s="203"/>
      <c r="B74" s="203"/>
      <c r="C74" s="203"/>
      <c r="D74" s="203"/>
      <c r="E74" s="203"/>
      <c r="F74" s="203"/>
      <c r="G74" s="203"/>
      <c r="H74" s="203"/>
      <c r="I74" s="203"/>
      <c r="J74" s="203"/>
      <c r="K74" s="203"/>
      <c r="L74" s="203"/>
      <c r="M74" s="203"/>
      <c r="N74" s="203"/>
      <c r="O74" s="336"/>
      <c r="P74" s="336"/>
      <c r="Q74" s="336"/>
      <c r="R74" s="336"/>
      <c r="S74" s="336"/>
      <c r="T74" s="336"/>
      <c r="U74" s="336"/>
      <c r="V74" s="336"/>
      <c r="W74" s="336"/>
      <c r="X74" s="336"/>
      <c r="Y74" s="336"/>
      <c r="Z74" s="336"/>
      <c r="AA74" s="336"/>
      <c r="AB74" s="336"/>
      <c r="AC74" s="336"/>
      <c r="AD74" s="337"/>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c r="BE74" s="336"/>
      <c r="BF74" s="336"/>
      <c r="BG74" s="336"/>
      <c r="BH74" s="336"/>
      <c r="BI74" s="336"/>
      <c r="BJ74" s="336"/>
      <c r="BK74" s="336"/>
      <c r="BL74" s="336"/>
      <c r="BM74" s="336"/>
      <c r="BN74" s="336"/>
      <c r="BO74" s="336"/>
      <c r="BP74" s="336"/>
      <c r="BQ74" s="336"/>
      <c r="BR74" s="336"/>
      <c r="BS74" s="336"/>
      <c r="BT74" s="336"/>
      <c r="BU74" s="336"/>
      <c r="BV74" s="336"/>
      <c r="BW74" s="336"/>
      <c r="BX74" s="337"/>
      <c r="BY74" s="337"/>
      <c r="BZ74" s="337"/>
      <c r="CA74" s="337"/>
      <c r="CB74" s="337"/>
      <c r="CC74" s="337"/>
      <c r="CD74" s="337"/>
      <c r="CE74" s="337"/>
      <c r="CF74" s="337"/>
      <c r="CG74" s="337"/>
      <c r="CH74" s="337"/>
      <c r="CI74" s="337"/>
      <c r="CJ74" s="337"/>
      <c r="CK74" s="337"/>
      <c r="CL74" s="337"/>
      <c r="CM74" s="337"/>
      <c r="CN74" s="337"/>
      <c r="CO74" s="337"/>
      <c r="CP74" s="337"/>
      <c r="CQ74" s="337"/>
      <c r="CR74" s="337"/>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V74" s="203"/>
      <c r="DW74" s="203"/>
      <c r="DX74" s="203"/>
      <c r="DY74" s="203"/>
      <c r="DZ74" s="203"/>
      <c r="EA74" s="203"/>
      <c r="EB74" s="203"/>
      <c r="EX74" s="336"/>
      <c r="EY74" s="336"/>
      <c r="EZ74" s="336"/>
      <c r="FA74" s="577"/>
      <c r="FB74" s="203"/>
      <c r="FC74" s="203"/>
      <c r="FD74" s="574"/>
    </row>
    <row r="75" spans="1:160" hidden="1">
      <c r="A75" s="203"/>
      <c r="B75" s="203" t="str">
        <f>B52</f>
        <v>Video</v>
      </c>
      <c r="C75" s="203"/>
      <c r="D75" s="203"/>
      <c r="E75" s="203"/>
      <c r="F75" s="203"/>
      <c r="G75" s="203"/>
      <c r="H75" s="203"/>
      <c r="I75" s="203"/>
      <c r="J75" s="203"/>
      <c r="K75" s="203"/>
      <c r="L75" s="203"/>
      <c r="M75" s="203"/>
      <c r="N75" s="203"/>
      <c r="O75" s="336"/>
      <c r="P75" s="336"/>
      <c r="Q75" s="336"/>
      <c r="R75" s="336"/>
      <c r="S75" s="336"/>
      <c r="T75" s="336"/>
      <c r="U75" s="336"/>
      <c r="V75" s="336"/>
      <c r="W75" s="336">
        <v>33.5</v>
      </c>
      <c r="X75" s="336">
        <v>34.4</v>
      </c>
      <c r="Y75" s="336">
        <v>35.4</v>
      </c>
      <c r="Z75" s="336">
        <v>35.4</v>
      </c>
      <c r="AA75" s="336">
        <v>38</v>
      </c>
      <c r="AB75" s="336">
        <v>39.299999999999997</v>
      </c>
      <c r="AC75" s="336">
        <v>42.3</v>
      </c>
      <c r="AD75" s="336">
        <v>43.6</v>
      </c>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7"/>
      <c r="BY75" s="337"/>
      <c r="BZ75" s="337"/>
      <c r="CA75" s="337"/>
      <c r="CB75" s="337">
        <f t="shared" ref="CB75:CE78" si="287">AA75/W75-1</f>
        <v>0.13432835820895517</v>
      </c>
      <c r="CC75" s="337">
        <f t="shared" si="287"/>
        <v>0.14244186046511631</v>
      </c>
      <c r="CD75" s="337">
        <f t="shared" si="287"/>
        <v>0.19491525423728806</v>
      </c>
      <c r="CE75" s="337">
        <f t="shared" si="287"/>
        <v>0.23163841807909624</v>
      </c>
      <c r="CF75" s="337"/>
      <c r="CG75" s="337"/>
      <c r="CH75" s="337"/>
      <c r="CI75" s="337"/>
      <c r="CJ75" s="337"/>
      <c r="CK75" s="337"/>
      <c r="CL75" s="337"/>
      <c r="CM75" s="337"/>
      <c r="CN75" s="337"/>
      <c r="CO75" s="337"/>
      <c r="CP75" s="337"/>
      <c r="CQ75" s="337"/>
      <c r="CR75" s="337"/>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V75" s="203"/>
      <c r="DW75" s="203"/>
      <c r="DX75" s="203"/>
      <c r="DY75" s="203"/>
      <c r="DZ75" s="203"/>
      <c r="EA75" s="203"/>
      <c r="EB75" s="203"/>
      <c r="EX75" s="336"/>
      <c r="EY75" s="336"/>
      <c r="EZ75" s="336"/>
      <c r="FA75" s="577"/>
      <c r="FB75" s="203"/>
      <c r="FC75" s="203"/>
      <c r="FD75" s="574"/>
    </row>
    <row r="76" spans="1:160" hidden="1">
      <c r="A76" s="203"/>
      <c r="B76" s="203" t="str">
        <f>B53</f>
        <v>Internet</v>
      </c>
      <c r="C76" s="203"/>
      <c r="D76" s="203"/>
      <c r="E76" s="203"/>
      <c r="F76" s="203"/>
      <c r="G76" s="203"/>
      <c r="H76" s="203"/>
      <c r="I76" s="203"/>
      <c r="J76" s="203"/>
      <c r="K76" s="203"/>
      <c r="L76" s="203"/>
      <c r="M76" s="203"/>
      <c r="N76" s="203"/>
      <c r="O76" s="336"/>
      <c r="P76" s="336"/>
      <c r="Q76" s="336"/>
      <c r="R76" s="336"/>
      <c r="S76" s="336"/>
      <c r="T76" s="336"/>
      <c r="U76" s="336"/>
      <c r="V76" s="336"/>
      <c r="W76" s="336">
        <v>33</v>
      </c>
      <c r="X76" s="336">
        <v>69.099999999999994</v>
      </c>
      <c r="Y76" s="336">
        <v>60.4</v>
      </c>
      <c r="Z76" s="336">
        <v>60.4</v>
      </c>
      <c r="AA76" s="336">
        <v>51.2</v>
      </c>
      <c r="AB76" s="336">
        <v>79.7</v>
      </c>
      <c r="AC76" s="336">
        <v>74.900000000000006</v>
      </c>
      <c r="AD76" s="336">
        <v>93.6</v>
      </c>
      <c r="AE76" s="336"/>
      <c r="AF76" s="336"/>
      <c r="AG76" s="336"/>
      <c r="AH76" s="336"/>
      <c r="AI76" s="336"/>
      <c r="AJ76" s="336"/>
      <c r="AK76" s="336"/>
      <c r="AL76" s="336"/>
      <c r="AM76" s="336"/>
      <c r="AN76" s="336"/>
      <c r="AO76" s="336"/>
      <c r="AP76" s="336"/>
      <c r="AQ76" s="336"/>
      <c r="AR76" s="336"/>
      <c r="AS76" s="336"/>
      <c r="AT76" s="336"/>
      <c r="AU76" s="336"/>
      <c r="AV76" s="336"/>
      <c r="AW76" s="336"/>
      <c r="AX76" s="336"/>
      <c r="AY76" s="336"/>
      <c r="AZ76" s="336"/>
      <c r="BA76" s="336"/>
      <c r="BB76" s="336"/>
      <c r="BC76" s="336"/>
      <c r="BD76" s="336"/>
      <c r="BE76" s="336"/>
      <c r="BF76" s="336"/>
      <c r="BG76" s="336"/>
      <c r="BH76" s="336"/>
      <c r="BI76" s="336"/>
      <c r="BJ76" s="336"/>
      <c r="BK76" s="336"/>
      <c r="BL76" s="336"/>
      <c r="BM76" s="336"/>
      <c r="BN76" s="336"/>
      <c r="BO76" s="336"/>
      <c r="BP76" s="336"/>
      <c r="BQ76" s="336"/>
      <c r="BR76" s="336"/>
      <c r="BS76" s="336"/>
      <c r="BT76" s="336"/>
      <c r="BU76" s="336"/>
      <c r="BV76" s="336"/>
      <c r="BW76" s="336"/>
      <c r="BX76" s="337"/>
      <c r="BY76" s="337"/>
      <c r="BZ76" s="337"/>
      <c r="CA76" s="337"/>
      <c r="CB76" s="337">
        <f t="shared" si="287"/>
        <v>0.55151515151515151</v>
      </c>
      <c r="CC76" s="337">
        <f t="shared" si="287"/>
        <v>0.15340086830680177</v>
      </c>
      <c r="CD76" s="337">
        <f t="shared" si="287"/>
        <v>0.24006622516556297</v>
      </c>
      <c r="CE76" s="337">
        <f t="shared" si="287"/>
        <v>0.54966887417218535</v>
      </c>
      <c r="CF76" s="337"/>
      <c r="CG76" s="337"/>
      <c r="CH76" s="337"/>
      <c r="CI76" s="337"/>
      <c r="CJ76" s="337"/>
      <c r="CK76" s="337"/>
      <c r="CL76" s="337"/>
      <c r="CM76" s="337"/>
      <c r="CN76" s="337"/>
      <c r="CO76" s="337"/>
      <c r="CP76" s="337"/>
      <c r="CQ76" s="337"/>
      <c r="CR76" s="337"/>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V76" s="203"/>
      <c r="DW76" s="203"/>
      <c r="DX76" s="203"/>
      <c r="DY76" s="203"/>
      <c r="DZ76" s="203"/>
      <c r="EA76" s="203"/>
      <c r="EB76" s="203"/>
      <c r="EX76" s="336"/>
      <c r="EY76" s="336"/>
      <c r="EZ76" s="336"/>
      <c r="FA76" s="577"/>
      <c r="FB76" s="203"/>
      <c r="FC76" s="203"/>
      <c r="FD76" s="574"/>
    </row>
    <row r="77" spans="1:160" hidden="1">
      <c r="A77" s="203"/>
      <c r="B77" s="358" t="str">
        <f>B54</f>
        <v>Voice</v>
      </c>
      <c r="C77" s="358"/>
      <c r="D77" s="358"/>
      <c r="E77" s="358"/>
      <c r="F77" s="358"/>
      <c r="G77" s="358"/>
      <c r="H77" s="358"/>
      <c r="I77" s="358"/>
      <c r="J77" s="358"/>
      <c r="K77" s="358"/>
      <c r="L77" s="358"/>
      <c r="M77" s="358"/>
      <c r="N77" s="358"/>
      <c r="O77" s="359"/>
      <c r="P77" s="359"/>
      <c r="Q77" s="359"/>
      <c r="R77" s="359"/>
      <c r="S77" s="359"/>
      <c r="T77" s="359"/>
      <c r="U77" s="359"/>
      <c r="V77" s="359"/>
      <c r="W77" s="359">
        <v>28.4</v>
      </c>
      <c r="X77" s="359">
        <v>29.3</v>
      </c>
      <c r="Y77" s="359">
        <v>31.9</v>
      </c>
      <c r="Z77" s="359">
        <v>31.9</v>
      </c>
      <c r="AA77" s="359">
        <v>29.3</v>
      </c>
      <c r="AB77" s="359">
        <v>34.5</v>
      </c>
      <c r="AC77" s="359">
        <v>38.1</v>
      </c>
      <c r="AD77" s="359">
        <v>42</v>
      </c>
      <c r="AE77" s="359"/>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7"/>
      <c r="BY77" s="337"/>
      <c r="BZ77" s="337"/>
      <c r="CA77" s="337"/>
      <c r="CB77" s="360">
        <f t="shared" si="287"/>
        <v>3.1690140845070491E-2</v>
      </c>
      <c r="CC77" s="360">
        <f t="shared" si="287"/>
        <v>0.1774744027303754</v>
      </c>
      <c r="CD77" s="360">
        <f t="shared" si="287"/>
        <v>0.19435736677116</v>
      </c>
      <c r="CE77" s="360">
        <f t="shared" si="287"/>
        <v>0.31661442006269591</v>
      </c>
      <c r="CF77" s="360"/>
      <c r="CG77" s="360"/>
      <c r="CH77" s="360"/>
      <c r="CI77" s="360"/>
      <c r="CJ77" s="360"/>
      <c r="CK77" s="337"/>
      <c r="CL77" s="337"/>
      <c r="CM77" s="337"/>
      <c r="CN77" s="337"/>
      <c r="CO77" s="337"/>
      <c r="CP77" s="337"/>
      <c r="CQ77" s="337"/>
      <c r="CR77" s="337"/>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V77" s="203"/>
      <c r="DW77" s="203"/>
      <c r="DX77" s="203"/>
      <c r="DY77" s="203"/>
      <c r="DZ77" s="203"/>
      <c r="EA77" s="203"/>
      <c r="EB77" s="203"/>
      <c r="EX77" s="336"/>
      <c r="EY77" s="336"/>
      <c r="EZ77" s="336"/>
      <c r="FA77" s="577"/>
      <c r="FB77" s="203"/>
      <c r="FC77" s="203"/>
      <c r="FD77" s="574"/>
    </row>
    <row r="78" spans="1:160" hidden="1">
      <c r="A78" s="203"/>
      <c r="B78" s="203" t="s">
        <v>246</v>
      </c>
      <c r="C78" s="203"/>
      <c r="D78" s="203"/>
      <c r="E78" s="203"/>
      <c r="F78" s="203"/>
      <c r="G78" s="203"/>
      <c r="H78" s="203"/>
      <c r="I78" s="203"/>
      <c r="J78" s="203"/>
      <c r="K78" s="203"/>
      <c r="L78" s="203"/>
      <c r="M78" s="203"/>
      <c r="N78" s="203"/>
      <c r="O78" s="336"/>
      <c r="P78" s="336"/>
      <c r="Q78" s="336"/>
      <c r="R78" s="336"/>
      <c r="S78" s="336"/>
      <c r="T78" s="336"/>
      <c r="U78" s="336"/>
      <c r="V78" s="336"/>
      <c r="W78" s="336">
        <f t="shared" ref="W78:AD78" si="288">SUM(W75:W77)</f>
        <v>94.9</v>
      </c>
      <c r="X78" s="336">
        <f t="shared" si="288"/>
        <v>132.80000000000001</v>
      </c>
      <c r="Y78" s="336">
        <f t="shared" si="288"/>
        <v>127.69999999999999</v>
      </c>
      <c r="Z78" s="336">
        <f t="shared" si="288"/>
        <v>127.69999999999999</v>
      </c>
      <c r="AA78" s="336">
        <f t="shared" si="288"/>
        <v>118.5</v>
      </c>
      <c r="AB78" s="336">
        <f t="shared" si="288"/>
        <v>153.5</v>
      </c>
      <c r="AC78" s="336">
        <f t="shared" si="288"/>
        <v>155.30000000000001</v>
      </c>
      <c r="AD78" s="336">
        <f t="shared" si="288"/>
        <v>179.2</v>
      </c>
      <c r="AE78" s="336"/>
      <c r="AF78" s="336"/>
      <c r="AG78" s="336"/>
      <c r="AH78" s="336"/>
      <c r="AI78" s="336"/>
      <c r="AJ78" s="336"/>
      <c r="AK78" s="336"/>
      <c r="AL78" s="336"/>
      <c r="AM78" s="336"/>
      <c r="AN78" s="336"/>
      <c r="AO78" s="336"/>
      <c r="AP78" s="336"/>
      <c r="AQ78" s="336"/>
      <c r="AR78" s="336"/>
      <c r="AS78" s="336"/>
      <c r="AT78" s="336"/>
      <c r="AU78" s="336"/>
      <c r="AV78" s="336"/>
      <c r="AW78" s="336"/>
      <c r="AX78" s="336"/>
      <c r="AY78" s="336"/>
      <c r="AZ78" s="336"/>
      <c r="BA78" s="336"/>
      <c r="BB78" s="336"/>
      <c r="BC78" s="336"/>
      <c r="BD78" s="336"/>
      <c r="BE78" s="336"/>
      <c r="BF78" s="336"/>
      <c r="BG78" s="336"/>
      <c r="BH78" s="336"/>
      <c r="BI78" s="336"/>
      <c r="BJ78" s="336"/>
      <c r="BK78" s="336"/>
      <c r="BL78" s="336"/>
      <c r="BM78" s="336"/>
      <c r="BN78" s="336"/>
      <c r="BO78" s="336"/>
      <c r="BP78" s="336"/>
      <c r="BQ78" s="336"/>
      <c r="BR78" s="336"/>
      <c r="BS78" s="336"/>
      <c r="BT78" s="336"/>
      <c r="BU78" s="336"/>
      <c r="BV78" s="336"/>
      <c r="BW78" s="336"/>
      <c r="BX78" s="337"/>
      <c r="BY78" s="337"/>
      <c r="BZ78" s="337"/>
      <c r="CA78" s="337"/>
      <c r="CB78" s="337">
        <f t="shared" si="287"/>
        <v>0.24868282402528963</v>
      </c>
      <c r="CC78" s="337">
        <f t="shared" si="287"/>
        <v>0.15587349397590344</v>
      </c>
      <c r="CD78" s="337">
        <f t="shared" si="287"/>
        <v>0.21613155833985931</v>
      </c>
      <c r="CE78" s="337">
        <f t="shared" si="287"/>
        <v>0.40328895849647606</v>
      </c>
      <c r="CF78" s="337"/>
      <c r="CG78" s="337"/>
      <c r="CH78" s="337"/>
      <c r="CI78" s="337"/>
      <c r="CJ78" s="337"/>
      <c r="CK78" s="337"/>
      <c r="CL78" s="337"/>
      <c r="CM78" s="337"/>
      <c r="CN78" s="337"/>
      <c r="CO78" s="337"/>
      <c r="CP78" s="337"/>
      <c r="CQ78" s="337"/>
      <c r="CR78" s="337"/>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V78" s="203"/>
      <c r="DW78" s="203"/>
      <c r="DX78" s="203"/>
      <c r="DY78" s="203"/>
      <c r="DZ78" s="203"/>
      <c r="EA78" s="203"/>
      <c r="EB78" s="203"/>
      <c r="EX78" s="336"/>
      <c r="EY78" s="336"/>
      <c r="EZ78" s="336"/>
      <c r="FA78" s="577"/>
      <c r="FB78" s="203"/>
      <c r="FC78" s="203"/>
      <c r="FD78" s="574"/>
    </row>
    <row r="79" spans="1:160" hidden="1">
      <c r="A79" s="203"/>
      <c r="B79" s="203"/>
      <c r="C79" s="203"/>
      <c r="D79" s="203"/>
      <c r="E79" s="203"/>
      <c r="F79" s="203"/>
      <c r="G79" s="203"/>
      <c r="H79" s="203"/>
      <c r="I79" s="203"/>
      <c r="J79" s="203"/>
      <c r="K79" s="203"/>
      <c r="L79" s="203"/>
      <c r="M79" s="203"/>
      <c r="N79" s="203"/>
      <c r="O79" s="336"/>
      <c r="P79" s="336"/>
      <c r="Q79" s="336"/>
      <c r="R79" s="336"/>
      <c r="S79" s="336"/>
      <c r="T79" s="336"/>
      <c r="U79" s="336"/>
      <c r="V79" s="336"/>
      <c r="W79" s="336"/>
      <c r="X79" s="336"/>
      <c r="Y79" s="336"/>
      <c r="Z79" s="336"/>
      <c r="AA79" s="336"/>
      <c r="AB79" s="336"/>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6"/>
      <c r="AZ79" s="336"/>
      <c r="BA79" s="336"/>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7"/>
      <c r="BY79" s="337"/>
      <c r="BZ79" s="337"/>
      <c r="CA79" s="337"/>
      <c r="CB79" s="337"/>
      <c r="CC79" s="337"/>
      <c r="CD79" s="337"/>
      <c r="CE79" s="337"/>
      <c r="CF79" s="337"/>
      <c r="CG79" s="337"/>
      <c r="CH79" s="337"/>
      <c r="CI79" s="337"/>
      <c r="CJ79" s="337"/>
      <c r="CK79" s="337"/>
      <c r="CL79" s="337"/>
      <c r="CM79" s="337"/>
      <c r="CN79" s="337"/>
      <c r="CO79" s="337"/>
      <c r="CP79" s="337"/>
      <c r="CQ79" s="337"/>
      <c r="CR79" s="337"/>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V79" s="203"/>
      <c r="DW79" s="203"/>
      <c r="DX79" s="203"/>
      <c r="DY79" s="203"/>
      <c r="DZ79" s="203"/>
      <c r="EA79" s="203"/>
      <c r="EB79" s="203"/>
      <c r="EX79" s="336"/>
      <c r="EY79" s="336"/>
      <c r="EZ79" s="336"/>
      <c r="FA79" s="577"/>
      <c r="FB79" s="203"/>
      <c r="FC79" s="203"/>
      <c r="FD79" s="574"/>
    </row>
    <row r="80" spans="1:160" hidden="1">
      <c r="A80" s="203"/>
      <c r="B80" s="203" t="s">
        <v>247</v>
      </c>
      <c r="C80" s="203"/>
      <c r="D80" s="203"/>
      <c r="E80" s="203"/>
      <c r="F80" s="203"/>
      <c r="G80" s="203"/>
      <c r="H80" s="203"/>
      <c r="I80" s="203"/>
      <c r="J80" s="203"/>
      <c r="K80" s="203"/>
      <c r="L80" s="203"/>
      <c r="M80" s="203"/>
      <c r="N80" s="203"/>
      <c r="O80" s="336"/>
      <c r="P80" s="336"/>
      <c r="Q80" s="336"/>
      <c r="R80" s="336"/>
      <c r="S80" s="336"/>
      <c r="T80" s="336"/>
      <c r="U80" s="336"/>
      <c r="V80" s="336"/>
      <c r="W80" s="336"/>
      <c r="X80" s="336"/>
      <c r="Y80" s="336"/>
      <c r="Z80" s="336"/>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V80" s="203"/>
      <c r="DW80" s="203"/>
      <c r="DX80" s="203"/>
      <c r="DY80" s="203"/>
      <c r="DZ80" s="203"/>
      <c r="EA80" s="203"/>
      <c r="EB80" s="203"/>
      <c r="EX80" s="336"/>
      <c r="EY80" s="336"/>
      <c r="EZ80" s="336"/>
      <c r="FA80" s="577"/>
      <c r="FB80" s="203"/>
      <c r="FC80" s="203"/>
      <c r="FD80" s="574"/>
    </row>
    <row r="81" spans="1:160" hidden="1">
      <c r="A81" s="203"/>
      <c r="B81" s="203" t="str">
        <f>B75</f>
        <v>Video</v>
      </c>
      <c r="C81" s="203"/>
      <c r="D81" s="203"/>
      <c r="E81" s="203"/>
      <c r="F81" s="203"/>
      <c r="G81" s="203"/>
      <c r="H81" s="203"/>
      <c r="I81" s="203"/>
      <c r="J81" s="203"/>
      <c r="K81" s="203"/>
      <c r="L81" s="203"/>
      <c r="M81" s="203"/>
      <c r="N81" s="203"/>
      <c r="O81" s="336"/>
      <c r="P81" s="336"/>
      <c r="Q81" s="336"/>
      <c r="R81" s="336"/>
      <c r="S81" s="336"/>
      <c r="T81" s="336"/>
      <c r="U81" s="336"/>
      <c r="V81" s="336"/>
      <c r="W81" s="336">
        <f t="shared" ref="W81:AD83" si="289">W52-W75</f>
        <v>1410.7947999999999</v>
      </c>
      <c r="X81" s="336">
        <f t="shared" si="289"/>
        <v>1435.0493499999998</v>
      </c>
      <c r="Y81" s="336">
        <f t="shared" si="289"/>
        <v>1437.8407499999998</v>
      </c>
      <c r="Z81" s="336">
        <f t="shared" si="289"/>
        <v>1524.8495999999998</v>
      </c>
      <c r="AA81" s="336">
        <f t="shared" si="289"/>
        <v>1490.60878</v>
      </c>
      <c r="AB81" s="336">
        <f t="shared" si="289"/>
        <v>1484.2767417000002</v>
      </c>
      <c r="AC81" s="336">
        <f t="shared" si="289"/>
        <v>1519.7</v>
      </c>
      <c r="AD81" s="336">
        <f t="shared" si="289"/>
        <v>1581.3000000000002</v>
      </c>
      <c r="AE81" s="336"/>
      <c r="AF81" s="336"/>
      <c r="AG81" s="336"/>
      <c r="AH81" s="336"/>
      <c r="AI81" s="336"/>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7"/>
      <c r="BY81" s="337"/>
      <c r="BZ81" s="337"/>
      <c r="CA81" s="337"/>
      <c r="CB81" s="337">
        <f t="shared" ref="CB81:CE84" si="290">AA81/W81-1</f>
        <v>5.6573769622626946E-2</v>
      </c>
      <c r="CC81" s="337">
        <f t="shared" si="290"/>
        <v>3.4303622868440353E-2</v>
      </c>
      <c r="CD81" s="337">
        <f t="shared" si="290"/>
        <v>5.6932069841531652E-2</v>
      </c>
      <c r="CE81" s="337">
        <f t="shared" si="290"/>
        <v>3.702030678960111E-2</v>
      </c>
      <c r="CF81" s="337"/>
      <c r="CG81" s="337"/>
      <c r="CH81" s="337"/>
      <c r="CI81" s="337"/>
      <c r="CJ81" s="337"/>
      <c r="CK81" s="337"/>
      <c r="CL81" s="337"/>
      <c r="CM81" s="337"/>
      <c r="CN81" s="337"/>
      <c r="CO81" s="337"/>
      <c r="CP81" s="337"/>
      <c r="CQ81" s="337"/>
      <c r="CR81" s="337"/>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V81" s="203"/>
      <c r="DW81" s="203"/>
      <c r="DX81" s="203"/>
      <c r="DY81" s="203"/>
      <c r="DZ81" s="203"/>
      <c r="EA81" s="203"/>
      <c r="EB81" s="203"/>
      <c r="EX81" s="336"/>
      <c r="EY81" s="336"/>
      <c r="EZ81" s="336"/>
      <c r="FA81" s="577"/>
      <c r="FB81" s="203"/>
      <c r="FC81" s="203"/>
      <c r="FD81" s="574"/>
    </row>
    <row r="82" spans="1:160" hidden="1">
      <c r="A82" s="203"/>
      <c r="B82" s="203" t="str">
        <f>B76</f>
        <v>Internet</v>
      </c>
      <c r="C82" s="203"/>
      <c r="D82" s="203"/>
      <c r="E82" s="203"/>
      <c r="F82" s="203"/>
      <c r="G82" s="203"/>
      <c r="H82" s="203"/>
      <c r="I82" s="203"/>
      <c r="J82" s="203"/>
      <c r="K82" s="203"/>
      <c r="L82" s="203"/>
      <c r="M82" s="203"/>
      <c r="N82" s="203"/>
      <c r="O82" s="336"/>
      <c r="P82" s="336"/>
      <c r="Q82" s="336"/>
      <c r="R82" s="336"/>
      <c r="S82" s="336"/>
      <c r="T82" s="336"/>
      <c r="U82" s="336"/>
      <c r="V82" s="336"/>
      <c r="W82" s="336">
        <f t="shared" si="289"/>
        <v>467.50274999999993</v>
      </c>
      <c r="X82" s="336">
        <f t="shared" si="289"/>
        <v>468.93949999999995</v>
      </c>
      <c r="Y82" s="336">
        <f t="shared" si="289"/>
        <v>474.26480000000004</v>
      </c>
      <c r="Z82" s="336">
        <f t="shared" si="289"/>
        <v>498.50945000000013</v>
      </c>
      <c r="AA82" s="336">
        <f t="shared" si="289"/>
        <v>514.25244999999995</v>
      </c>
      <c r="AB82" s="336">
        <f t="shared" si="289"/>
        <v>540.61451499999998</v>
      </c>
      <c r="AC82" s="336">
        <f t="shared" si="289"/>
        <v>556.1</v>
      </c>
      <c r="AD82" s="336">
        <f t="shared" si="289"/>
        <v>602.19999999999993</v>
      </c>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7"/>
      <c r="BY82" s="337"/>
      <c r="BZ82" s="337"/>
      <c r="CA82" s="337"/>
      <c r="CB82" s="337">
        <f t="shared" si="290"/>
        <v>9.9998770060711006E-2</v>
      </c>
      <c r="CC82" s="337">
        <f t="shared" si="290"/>
        <v>0.15284490856496413</v>
      </c>
      <c r="CD82" s="337">
        <f t="shared" si="290"/>
        <v>0.17255170529206465</v>
      </c>
      <c r="CE82" s="337">
        <f t="shared" si="290"/>
        <v>0.20800117229472725</v>
      </c>
      <c r="CF82" s="337"/>
      <c r="CG82" s="337"/>
      <c r="CH82" s="337"/>
      <c r="CI82" s="337"/>
      <c r="CJ82" s="337"/>
      <c r="CK82" s="337"/>
      <c r="CL82" s="337"/>
      <c r="CM82" s="337"/>
      <c r="CN82" s="337"/>
      <c r="CO82" s="337"/>
      <c r="CP82" s="337"/>
      <c r="CQ82" s="337"/>
      <c r="CR82" s="337"/>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V82" s="203"/>
      <c r="DW82" s="203"/>
      <c r="DX82" s="203"/>
      <c r="DY82" s="203"/>
      <c r="DZ82" s="203"/>
      <c r="EA82" s="203"/>
      <c r="EB82" s="203"/>
      <c r="EX82" s="336"/>
      <c r="EY82" s="336"/>
      <c r="EZ82" s="336"/>
      <c r="FA82" s="577"/>
      <c r="FB82" s="203"/>
      <c r="FC82" s="203"/>
      <c r="FD82" s="574"/>
    </row>
    <row r="83" spans="1:160" hidden="1">
      <c r="A83" s="203"/>
      <c r="B83" s="358" t="str">
        <f>B77</f>
        <v>Voice</v>
      </c>
      <c r="C83" s="358"/>
      <c r="D83" s="358"/>
      <c r="E83" s="358"/>
      <c r="F83" s="358"/>
      <c r="G83" s="358"/>
      <c r="H83" s="358"/>
      <c r="I83" s="358"/>
      <c r="J83" s="358"/>
      <c r="K83" s="358"/>
      <c r="L83" s="358"/>
      <c r="M83" s="358"/>
      <c r="N83" s="358"/>
      <c r="O83" s="359"/>
      <c r="P83" s="359"/>
      <c r="Q83" s="359"/>
      <c r="R83" s="359"/>
      <c r="S83" s="359"/>
      <c r="T83" s="359"/>
      <c r="U83" s="359"/>
      <c r="V83" s="359"/>
      <c r="W83" s="359">
        <f t="shared" si="289"/>
        <v>268.16740000000004</v>
      </c>
      <c r="X83" s="359">
        <f t="shared" si="289"/>
        <v>282.3304</v>
      </c>
      <c r="Y83" s="359">
        <f t="shared" si="289"/>
        <v>279.04489999999998</v>
      </c>
      <c r="Z83" s="359">
        <f t="shared" si="289"/>
        <v>277.57894999999996</v>
      </c>
      <c r="AA83" s="359">
        <f t="shared" si="289"/>
        <v>271.38811854999994</v>
      </c>
      <c r="AB83" s="359">
        <f t="shared" si="289"/>
        <v>276.75991064999999</v>
      </c>
      <c r="AC83" s="359">
        <f t="shared" si="289"/>
        <v>287.89999999999998</v>
      </c>
      <c r="AD83" s="359">
        <f t="shared" si="289"/>
        <v>285.8</v>
      </c>
      <c r="AE83" s="359"/>
      <c r="AF83" s="336"/>
      <c r="AG83" s="336"/>
      <c r="AH83" s="336"/>
      <c r="AI83" s="336"/>
      <c r="AJ83" s="336"/>
      <c r="AK83" s="336"/>
      <c r="AL83" s="336"/>
      <c r="AM83" s="336"/>
      <c r="AN83" s="336"/>
      <c r="AO83" s="336"/>
      <c r="AP83" s="336"/>
      <c r="AQ83" s="336"/>
      <c r="AR83" s="336"/>
      <c r="AS83" s="336"/>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7"/>
      <c r="BY83" s="337"/>
      <c r="BZ83" s="337"/>
      <c r="CA83" s="337"/>
      <c r="CB83" s="360">
        <f t="shared" si="290"/>
        <v>1.2010104695797885E-2</v>
      </c>
      <c r="CC83" s="360">
        <f t="shared" si="290"/>
        <v>-1.9730391590845331E-2</v>
      </c>
      <c r="CD83" s="360">
        <f t="shared" si="290"/>
        <v>3.1733602728449828E-2</v>
      </c>
      <c r="CE83" s="360">
        <f t="shared" si="290"/>
        <v>2.9616979241401609E-2</v>
      </c>
      <c r="CF83" s="360"/>
      <c r="CG83" s="360"/>
      <c r="CH83" s="360"/>
      <c r="CI83" s="360"/>
      <c r="CJ83" s="360"/>
      <c r="CK83" s="337"/>
      <c r="CL83" s="337"/>
      <c r="CM83" s="337"/>
      <c r="CN83" s="337"/>
      <c r="CO83" s="337"/>
      <c r="CP83" s="337"/>
      <c r="CQ83" s="337"/>
      <c r="CR83" s="337"/>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V83" s="203"/>
      <c r="DW83" s="203"/>
      <c r="DX83" s="203"/>
      <c r="DY83" s="203"/>
      <c r="DZ83" s="203"/>
      <c r="EA83" s="203"/>
      <c r="EB83" s="203"/>
      <c r="EX83" s="336"/>
      <c r="EY83" s="336"/>
      <c r="EZ83" s="336"/>
      <c r="FA83" s="577"/>
      <c r="FB83" s="203"/>
      <c r="FC83" s="203"/>
      <c r="FD83" s="574"/>
    </row>
    <row r="84" spans="1:160" hidden="1">
      <c r="A84" s="203"/>
      <c r="B84" s="203" t="s">
        <v>247</v>
      </c>
      <c r="C84" s="203"/>
      <c r="D84" s="203"/>
      <c r="E84" s="203"/>
      <c r="F84" s="203"/>
      <c r="G84" s="203"/>
      <c r="H84" s="203"/>
      <c r="I84" s="203"/>
      <c r="J84" s="203"/>
      <c r="K84" s="203"/>
      <c r="L84" s="203"/>
      <c r="M84" s="203"/>
      <c r="N84" s="203"/>
      <c r="O84" s="336"/>
      <c r="P84" s="336"/>
      <c r="Q84" s="336"/>
      <c r="R84" s="336"/>
      <c r="S84" s="336"/>
      <c r="T84" s="336"/>
      <c r="U84" s="336"/>
      <c r="V84" s="336"/>
      <c r="W84" s="336">
        <f t="shared" ref="W84:AD84" si="291">SUM(W81:W83)</f>
        <v>2146.4649499999996</v>
      </c>
      <c r="X84" s="336">
        <f t="shared" si="291"/>
        <v>2186.3192499999996</v>
      </c>
      <c r="Y84" s="336">
        <f t="shared" si="291"/>
        <v>2191.1504499999996</v>
      </c>
      <c r="Z84" s="336">
        <f t="shared" si="291"/>
        <v>2300.9380000000001</v>
      </c>
      <c r="AA84" s="336">
        <f t="shared" si="291"/>
        <v>2276.2493485499999</v>
      </c>
      <c r="AB84" s="336">
        <f t="shared" si="291"/>
        <v>2301.6511673500004</v>
      </c>
      <c r="AC84" s="336">
        <f t="shared" si="291"/>
        <v>2363.7000000000003</v>
      </c>
      <c r="AD84" s="336">
        <f t="shared" si="291"/>
        <v>2469.3000000000002</v>
      </c>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7"/>
      <c r="BY84" s="337"/>
      <c r="BZ84" s="337"/>
      <c r="CA84" s="337"/>
      <c r="CB84" s="337">
        <f t="shared" si="290"/>
        <v>6.0464252421172926E-2</v>
      </c>
      <c r="CC84" s="337">
        <f t="shared" si="290"/>
        <v>5.2751636043089745E-2</v>
      </c>
      <c r="CD84" s="337">
        <f t="shared" si="290"/>
        <v>7.8748380787818872E-2</v>
      </c>
      <c r="CE84" s="337">
        <f t="shared" si="290"/>
        <v>7.3171028510981229E-2</v>
      </c>
      <c r="CF84" s="337"/>
      <c r="CG84" s="337"/>
      <c r="CH84" s="337"/>
      <c r="CI84" s="337"/>
      <c r="CJ84" s="337"/>
      <c r="CK84" s="337"/>
      <c r="CL84" s="337"/>
      <c r="CM84" s="337"/>
      <c r="CN84" s="337"/>
      <c r="CO84" s="337"/>
      <c r="CP84" s="337"/>
      <c r="CQ84" s="337"/>
      <c r="CR84" s="337"/>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V84" s="203"/>
      <c r="DW84" s="203"/>
      <c r="DX84" s="203"/>
      <c r="DY84" s="203"/>
      <c r="DZ84" s="203"/>
      <c r="EA84" s="203"/>
      <c r="EB84" s="203"/>
      <c r="EX84" s="336"/>
      <c r="EY84" s="336"/>
      <c r="EZ84" s="336"/>
      <c r="FA84" s="577"/>
      <c r="FB84" s="203"/>
      <c r="FC84" s="203"/>
      <c r="FD84" s="574"/>
    </row>
    <row r="85" spans="1:160">
      <c r="A85" s="203"/>
      <c r="B85" s="203"/>
      <c r="C85" s="203"/>
      <c r="D85" s="203"/>
      <c r="E85" s="203"/>
      <c r="F85" s="203"/>
      <c r="G85" s="203"/>
      <c r="H85" s="203"/>
      <c r="I85" s="203"/>
      <c r="J85" s="203"/>
      <c r="K85" s="203"/>
      <c r="L85" s="203"/>
      <c r="M85" s="203"/>
      <c r="N85" s="203"/>
      <c r="O85" s="336"/>
      <c r="P85" s="336"/>
      <c r="Q85" s="336"/>
      <c r="R85" s="336"/>
      <c r="S85" s="336"/>
      <c r="T85" s="336"/>
      <c r="U85" s="336"/>
      <c r="V85" s="336"/>
      <c r="W85" s="336"/>
      <c r="X85" s="336"/>
      <c r="Y85" s="336"/>
      <c r="Z85" s="336"/>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7"/>
      <c r="BY85" s="337"/>
      <c r="BZ85" s="337"/>
      <c r="CA85" s="337"/>
      <c r="CB85" s="337"/>
      <c r="CC85" s="337"/>
      <c r="CD85" s="337"/>
      <c r="CE85" s="337"/>
      <c r="CF85" s="337"/>
      <c r="CG85" s="337"/>
      <c r="CH85" s="337"/>
      <c r="CI85" s="337"/>
      <c r="CJ85" s="337"/>
      <c r="CK85" s="337"/>
      <c r="CL85" s="337"/>
      <c r="CM85" s="337"/>
      <c r="CN85" s="337"/>
      <c r="CO85" s="337"/>
      <c r="CP85" s="337"/>
      <c r="CQ85" s="337"/>
      <c r="CR85" s="337"/>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V85" s="203"/>
      <c r="DW85" s="203"/>
      <c r="DX85" s="203"/>
      <c r="DY85" s="203"/>
      <c r="DZ85" s="203"/>
      <c r="EA85" s="203"/>
      <c r="EB85" s="203"/>
      <c r="EX85" s="336"/>
      <c r="EY85" s="336"/>
      <c r="EZ85" s="336"/>
      <c r="FA85" s="577"/>
      <c r="FB85" s="203"/>
      <c r="FC85" s="203"/>
      <c r="FD85" s="574"/>
    </row>
    <row r="86" spans="1:160">
      <c r="A86" s="203"/>
      <c r="B86" s="205" t="s">
        <v>233</v>
      </c>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V86" s="203"/>
      <c r="DW86" s="203"/>
      <c r="DX86" s="203"/>
      <c r="DY86" s="203"/>
      <c r="DZ86" s="203"/>
      <c r="EA86" s="203"/>
      <c r="EB86" s="203"/>
      <c r="EX86" s="203"/>
      <c r="EY86" s="203"/>
      <c r="EZ86" s="203"/>
      <c r="FA86" s="574"/>
      <c r="FB86" s="203"/>
      <c r="FC86" s="203"/>
      <c r="FD86" s="574"/>
    </row>
    <row r="87" spans="1:160">
      <c r="A87" s="203"/>
      <c r="B87" s="203" t="str">
        <f>B40</f>
        <v>Video</v>
      </c>
      <c r="C87" s="203"/>
      <c r="D87" s="203"/>
      <c r="E87" s="203"/>
      <c r="F87" s="203"/>
      <c r="G87" s="203"/>
      <c r="H87" s="203"/>
      <c r="I87" s="203"/>
      <c r="J87" s="203"/>
      <c r="K87" s="203"/>
      <c r="L87" s="338">
        <v>2.7E-2</v>
      </c>
      <c r="M87" s="203"/>
      <c r="N87" s="203"/>
      <c r="O87" s="338">
        <v>3.4000000000000002E-2</v>
      </c>
      <c r="P87" s="338">
        <v>2.4E-2</v>
      </c>
      <c r="Q87" s="338">
        <v>2.8000000000000001E-2</v>
      </c>
      <c r="R87" s="338">
        <v>2.4E-2</v>
      </c>
      <c r="S87" s="338">
        <v>2.5999999999999999E-2</v>
      </c>
      <c r="T87" s="338">
        <v>2.7E-2</v>
      </c>
      <c r="U87" s="338">
        <v>0.03</v>
      </c>
      <c r="V87" s="338">
        <v>2.8000000000000001E-2</v>
      </c>
      <c r="W87" s="338">
        <v>0.03</v>
      </c>
      <c r="X87" s="338">
        <v>3.1E-2</v>
      </c>
      <c r="Y87" s="338">
        <v>2.9000000000000001E-2</v>
      </c>
      <c r="Z87" s="338">
        <v>2.8000000000000001E-2</v>
      </c>
      <c r="AA87" s="338">
        <v>2.8000000000000001E-2</v>
      </c>
      <c r="AB87" s="338">
        <v>2.5999999999999999E-2</v>
      </c>
      <c r="AC87" s="338">
        <v>2.7E-2</v>
      </c>
      <c r="AD87" s="338">
        <v>2.1000000000000001E-2</v>
      </c>
      <c r="AE87" s="338">
        <v>2.4E-2</v>
      </c>
      <c r="AF87" s="338">
        <v>2.4E-2</v>
      </c>
      <c r="AG87" s="338">
        <v>2.8000000000000001E-2</v>
      </c>
      <c r="AH87" s="338">
        <v>2.3E-2</v>
      </c>
      <c r="AI87" s="338">
        <v>2.4E-2</v>
      </c>
      <c r="AJ87" s="338">
        <v>2.9000000000000001E-2</v>
      </c>
      <c r="AK87" s="338">
        <v>3.2000000000000001E-2</v>
      </c>
      <c r="AL87" s="338">
        <v>3.7999999999999999E-2</v>
      </c>
      <c r="AM87" s="338">
        <v>3.4000000000000002E-2</v>
      </c>
      <c r="AN87" s="338">
        <v>0.03</v>
      </c>
      <c r="AO87" s="338">
        <v>2.7E-2</v>
      </c>
      <c r="AP87" s="338">
        <v>2.4E-2</v>
      </c>
      <c r="AQ87" s="338">
        <v>2.4E-2</v>
      </c>
      <c r="AR87" s="338">
        <v>2.4E-2</v>
      </c>
      <c r="AS87" s="338">
        <v>2.7E-2</v>
      </c>
      <c r="AT87" s="338">
        <v>1.9E-2</v>
      </c>
      <c r="AU87" s="338">
        <v>2.8000000000000001E-2</v>
      </c>
      <c r="AV87" s="338">
        <v>2.8000000000000001E-2</v>
      </c>
      <c r="AW87" s="338">
        <v>2.9000000000000001E-2</v>
      </c>
      <c r="AX87" s="338">
        <v>2.4E-2</v>
      </c>
      <c r="AY87" s="338">
        <v>2.1000000000000001E-2</v>
      </c>
      <c r="AZ87" s="338">
        <v>1.7999999999999999E-2</v>
      </c>
      <c r="BA87" s="338">
        <v>1.7000000000000001E-2</v>
      </c>
      <c r="BB87" s="338">
        <v>1.6E-2</v>
      </c>
      <c r="BC87" s="338">
        <v>1.7000000000000001E-2</v>
      </c>
      <c r="BD87" s="338">
        <v>2.1999999999999999E-2</v>
      </c>
      <c r="BE87" s="338">
        <v>2.3E-2</v>
      </c>
      <c r="BF87" s="338">
        <v>2.1999999999999999E-2</v>
      </c>
      <c r="BG87" s="374">
        <v>2.3E-2</v>
      </c>
      <c r="BH87" s="374">
        <v>2.5999999999999999E-2</v>
      </c>
      <c r="BI87" s="374">
        <v>2.4E-2</v>
      </c>
      <c r="BJ87" s="374">
        <v>1.7999999999999999E-2</v>
      </c>
      <c r="BK87" s="374">
        <v>0.02</v>
      </c>
      <c r="BL87" s="374">
        <v>0.02</v>
      </c>
      <c r="BM87" s="374">
        <v>2.3E-2</v>
      </c>
      <c r="BN87" s="374">
        <v>2.1999999999999999E-2</v>
      </c>
      <c r="BO87" s="374">
        <v>2.1000000000000001E-2</v>
      </c>
      <c r="BP87" s="375">
        <f>BO87</f>
        <v>2.1000000000000001E-2</v>
      </c>
      <c r="BQ87" s="375">
        <f t="shared" ref="BQ87:BR89" si="292">BP87</f>
        <v>2.1000000000000001E-2</v>
      </c>
      <c r="BR87" s="375">
        <f t="shared" si="292"/>
        <v>2.1000000000000001E-2</v>
      </c>
      <c r="BS87" s="375"/>
      <c r="BT87" s="375"/>
      <c r="BU87" s="375"/>
      <c r="BV87" s="375"/>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V87" s="203"/>
      <c r="DW87" s="203"/>
      <c r="DX87" s="203"/>
      <c r="DY87" s="203"/>
      <c r="DZ87" s="203"/>
      <c r="EA87" s="203"/>
      <c r="EB87" s="203"/>
      <c r="EX87" s="375">
        <v>1.7999999999999999E-2</v>
      </c>
      <c r="EY87" s="375">
        <v>0.02</v>
      </c>
      <c r="EZ87" s="375">
        <v>0.02</v>
      </c>
      <c r="FA87" s="586">
        <v>2.3E-2</v>
      </c>
      <c r="FB87" s="203"/>
      <c r="FC87" s="203"/>
      <c r="FD87" s="574"/>
    </row>
    <row r="88" spans="1:160">
      <c r="A88" s="203"/>
      <c r="B88" s="203" t="str">
        <f>B41</f>
        <v>Internet</v>
      </c>
      <c r="C88" s="203"/>
      <c r="D88" s="203"/>
      <c r="E88" s="203"/>
      <c r="F88" s="203"/>
      <c r="G88" s="203"/>
      <c r="H88" s="203"/>
      <c r="I88" s="203"/>
      <c r="J88" s="203"/>
      <c r="K88" s="203"/>
      <c r="L88" s="338">
        <v>3.7999999999999999E-2</v>
      </c>
      <c r="M88" s="203"/>
      <c r="N88" s="203"/>
      <c r="O88" s="338">
        <v>4.1000000000000002E-2</v>
      </c>
      <c r="P88" s="338">
        <v>3.5000000000000003E-2</v>
      </c>
      <c r="Q88" s="338">
        <v>3.4000000000000002E-2</v>
      </c>
      <c r="R88" s="338">
        <v>3.2000000000000001E-2</v>
      </c>
      <c r="S88" s="338">
        <v>3.2000000000000001E-2</v>
      </c>
      <c r="T88" s="338">
        <v>3.3000000000000002E-2</v>
      </c>
      <c r="U88" s="338">
        <v>3.2000000000000001E-2</v>
      </c>
      <c r="V88" s="338">
        <v>3.2000000000000001E-2</v>
      </c>
      <c r="W88" s="338">
        <v>0.03</v>
      </c>
      <c r="X88" s="338">
        <v>3.1E-2</v>
      </c>
      <c r="Y88" s="338">
        <v>3.1E-2</v>
      </c>
      <c r="Z88" s="338">
        <v>2.9000000000000001E-2</v>
      </c>
      <c r="AA88" s="338">
        <v>2.8000000000000001E-2</v>
      </c>
      <c r="AB88" s="338">
        <v>2.9000000000000001E-2</v>
      </c>
      <c r="AC88" s="338">
        <v>2.5999999999999999E-2</v>
      </c>
      <c r="AD88" s="338">
        <v>0.02</v>
      </c>
      <c r="AE88" s="338">
        <v>2.5000000000000001E-2</v>
      </c>
      <c r="AF88" s="338">
        <v>2.5999999999999999E-2</v>
      </c>
      <c r="AG88" s="338">
        <v>2.8000000000000001E-2</v>
      </c>
      <c r="AH88" s="338">
        <v>2.5999999999999999E-2</v>
      </c>
      <c r="AI88" s="338">
        <v>2.8000000000000001E-2</v>
      </c>
      <c r="AJ88" s="338">
        <v>0.03</v>
      </c>
      <c r="AK88" s="338">
        <v>3.1E-2</v>
      </c>
      <c r="AL88" s="338">
        <v>2.5999999999999999E-2</v>
      </c>
      <c r="AM88" s="338">
        <v>2.7E-2</v>
      </c>
      <c r="AN88" s="338">
        <v>2.5999999999999999E-2</v>
      </c>
      <c r="AO88" s="338">
        <v>2.5000000000000001E-2</v>
      </c>
      <c r="AP88" s="338">
        <v>2.5000000000000001E-2</v>
      </c>
      <c r="AQ88" s="338">
        <v>2.3E-2</v>
      </c>
      <c r="AR88" s="338">
        <v>2.4E-2</v>
      </c>
      <c r="AS88" s="338">
        <v>2.5999999999999999E-2</v>
      </c>
      <c r="AT88" s="338">
        <v>0.02</v>
      </c>
      <c r="AU88" s="338">
        <v>2.7E-2</v>
      </c>
      <c r="AV88" s="338">
        <v>2.7E-2</v>
      </c>
      <c r="AW88" s="338">
        <v>2.8000000000000001E-2</v>
      </c>
      <c r="AX88" s="338">
        <v>2.3E-2</v>
      </c>
      <c r="AY88" s="338">
        <v>1.9E-2</v>
      </c>
      <c r="AZ88" s="338">
        <v>1.6E-2</v>
      </c>
      <c r="BA88" s="338">
        <v>1.4999999999999999E-2</v>
      </c>
      <c r="BB88" s="338">
        <v>1.6E-2</v>
      </c>
      <c r="BC88" s="338">
        <v>1.9E-2</v>
      </c>
      <c r="BD88" s="338">
        <v>0.02</v>
      </c>
      <c r="BE88" s="338">
        <v>0.02</v>
      </c>
      <c r="BF88" s="338">
        <v>0.02</v>
      </c>
      <c r="BG88" s="374">
        <v>2.1000000000000001E-2</v>
      </c>
      <c r="BH88" s="374">
        <v>2.7E-2</v>
      </c>
      <c r="BI88" s="374">
        <v>2.3E-2</v>
      </c>
      <c r="BJ88" s="374">
        <v>1.7000000000000001E-2</v>
      </c>
      <c r="BK88" s="374">
        <v>1.9E-2</v>
      </c>
      <c r="BL88" s="374">
        <v>1.9E-2</v>
      </c>
      <c r="BM88" s="374">
        <v>2.1000000000000001E-2</v>
      </c>
      <c r="BN88" s="374">
        <v>1.7999999999999999E-2</v>
      </c>
      <c r="BO88" s="374">
        <v>1.7999999999999999E-2</v>
      </c>
      <c r="BP88" s="375">
        <f>BO88</f>
        <v>1.7999999999999999E-2</v>
      </c>
      <c r="BQ88" s="375">
        <f t="shared" si="292"/>
        <v>1.7999999999999999E-2</v>
      </c>
      <c r="BR88" s="375">
        <f t="shared" si="292"/>
        <v>1.7999999999999999E-2</v>
      </c>
      <c r="BS88" s="375"/>
      <c r="BT88" s="375"/>
      <c r="BU88" s="375"/>
      <c r="BV88" s="375"/>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V88" s="203"/>
      <c r="DW88" s="203"/>
      <c r="DX88" s="203"/>
      <c r="DY88" s="203"/>
      <c r="DZ88" s="203"/>
      <c r="EA88" s="203"/>
      <c r="EB88" s="203"/>
      <c r="EX88" s="375">
        <v>1.7000000000000001E-2</v>
      </c>
      <c r="EY88" s="375">
        <v>1.9E-2</v>
      </c>
      <c r="EZ88" s="375">
        <v>1.9E-2</v>
      </c>
      <c r="FA88" s="586">
        <v>2.1000000000000001E-2</v>
      </c>
      <c r="FB88" s="203"/>
      <c r="FC88" s="203"/>
      <c r="FD88" s="574"/>
    </row>
    <row r="89" spans="1:160">
      <c r="A89" s="203"/>
      <c r="B89" s="203" t="str">
        <f>B42</f>
        <v>Voice</v>
      </c>
      <c r="C89" s="203"/>
      <c r="D89" s="203"/>
      <c r="E89" s="203"/>
      <c r="F89" s="203"/>
      <c r="G89" s="203"/>
      <c r="H89" s="203"/>
      <c r="I89" s="203"/>
      <c r="J89" s="203"/>
      <c r="K89" s="203"/>
      <c r="L89" s="338">
        <v>4.2999999999999997E-2</v>
      </c>
      <c r="M89" s="203"/>
      <c r="N89" s="203"/>
      <c r="O89" s="338">
        <v>0.05</v>
      </c>
      <c r="P89" s="338">
        <v>3.5999999999999997E-2</v>
      </c>
      <c r="Q89" s="338">
        <v>3.6999999999999998E-2</v>
      </c>
      <c r="R89" s="338">
        <v>3.4000000000000002E-2</v>
      </c>
      <c r="S89" s="338">
        <v>3.5000000000000003E-2</v>
      </c>
      <c r="T89" s="338">
        <v>3.5000000000000003E-2</v>
      </c>
      <c r="U89" s="338">
        <v>3.6999999999999998E-2</v>
      </c>
      <c r="V89" s="338">
        <v>3.6999999999999998E-2</v>
      </c>
      <c r="W89" s="338">
        <v>3.9E-2</v>
      </c>
      <c r="X89" s="338">
        <v>3.5999999999999997E-2</v>
      </c>
      <c r="Y89" s="338">
        <v>3.5999999999999997E-2</v>
      </c>
      <c r="Z89" s="338">
        <v>3.2000000000000001E-2</v>
      </c>
      <c r="AA89" s="338">
        <v>3.5999999999999997E-2</v>
      </c>
      <c r="AB89" s="338">
        <v>4.1000000000000002E-2</v>
      </c>
      <c r="AC89" s="338">
        <v>4.2000000000000003E-2</v>
      </c>
      <c r="AD89" s="338">
        <v>4.1000000000000002E-2</v>
      </c>
      <c r="AE89" s="338">
        <v>4.5999999999999999E-2</v>
      </c>
      <c r="AF89" s="338">
        <v>4.9000000000000002E-2</v>
      </c>
      <c r="AG89" s="338">
        <v>5.1999999999999998E-2</v>
      </c>
      <c r="AH89" s="338">
        <v>5.1999999999999998E-2</v>
      </c>
      <c r="AI89" s="338">
        <v>5.8999999999999997E-2</v>
      </c>
      <c r="AJ89" s="338">
        <v>5.1999999999999998E-2</v>
      </c>
      <c r="AK89" s="338">
        <v>4.9000000000000002E-2</v>
      </c>
      <c r="AL89" s="338">
        <v>0.04</v>
      </c>
      <c r="AM89" s="338">
        <v>0.05</v>
      </c>
      <c r="AN89" s="338">
        <v>5.0999999999999997E-2</v>
      </c>
      <c r="AO89" s="338">
        <v>4.9000000000000002E-2</v>
      </c>
      <c r="AP89" s="338">
        <v>4.9000000000000002E-2</v>
      </c>
      <c r="AQ89" s="338">
        <v>4.8000000000000001E-2</v>
      </c>
      <c r="AR89" s="338">
        <v>4.5999999999999999E-2</v>
      </c>
      <c r="AS89" s="338">
        <v>3.9E-2</v>
      </c>
      <c r="AT89" s="338">
        <v>2.8000000000000001E-2</v>
      </c>
      <c r="AU89" s="338">
        <v>3.9E-2</v>
      </c>
      <c r="AV89" s="338">
        <v>3.9E-2</v>
      </c>
      <c r="AW89" s="338">
        <v>3.6999999999999998E-2</v>
      </c>
      <c r="AX89" s="338">
        <v>0.03</v>
      </c>
      <c r="AY89" s="338">
        <v>2.5999999999999999E-2</v>
      </c>
      <c r="AZ89" s="338">
        <v>2.4E-2</v>
      </c>
      <c r="BA89" s="338">
        <v>2.1000000000000001E-2</v>
      </c>
      <c r="BB89" s="338">
        <v>2.1000000000000001E-2</v>
      </c>
      <c r="BC89" s="338">
        <v>2.1999999999999999E-2</v>
      </c>
      <c r="BD89" s="338">
        <v>2.5000000000000001E-2</v>
      </c>
      <c r="BE89" s="338">
        <v>2.5000000000000001E-2</v>
      </c>
      <c r="BF89" s="338">
        <v>2.4E-2</v>
      </c>
      <c r="BG89" s="374">
        <v>2.5000000000000001E-2</v>
      </c>
      <c r="BH89" s="374">
        <v>2.9000000000000001E-2</v>
      </c>
      <c r="BI89" s="374">
        <v>2.5000000000000001E-2</v>
      </c>
      <c r="BJ89" s="374">
        <v>1.9E-2</v>
      </c>
      <c r="BK89" s="374">
        <v>2.1000000000000001E-2</v>
      </c>
      <c r="BL89" s="374">
        <v>0.02</v>
      </c>
      <c r="BM89" s="374">
        <v>2.1999999999999999E-2</v>
      </c>
      <c r="BN89" s="374">
        <v>0.02</v>
      </c>
      <c r="BO89" s="374">
        <v>2.1000000000000001E-2</v>
      </c>
      <c r="BP89" s="375">
        <f>BO89</f>
        <v>2.1000000000000001E-2</v>
      </c>
      <c r="BQ89" s="375">
        <f t="shared" si="292"/>
        <v>2.1000000000000001E-2</v>
      </c>
      <c r="BR89" s="375">
        <f t="shared" si="292"/>
        <v>2.1000000000000001E-2</v>
      </c>
      <c r="BS89" s="375"/>
      <c r="BT89" s="375"/>
      <c r="BU89" s="375"/>
      <c r="BV89" s="375"/>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V89" s="203"/>
      <c r="DW89" s="203"/>
      <c r="DX89" s="203"/>
      <c r="DY89" s="203"/>
      <c r="DZ89" s="203"/>
      <c r="EA89" s="203"/>
      <c r="EB89" s="203"/>
      <c r="EX89" s="375">
        <v>1.9E-2</v>
      </c>
      <c r="EY89" s="375">
        <v>2.1000000000000001E-2</v>
      </c>
      <c r="EZ89" s="375">
        <v>0.02</v>
      </c>
      <c r="FA89" s="586">
        <v>2.1999999999999999E-2</v>
      </c>
      <c r="FB89" s="203"/>
      <c r="FC89" s="203"/>
      <c r="FD89" s="574"/>
    </row>
    <row r="90" spans="1:160">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V90" s="203"/>
      <c r="DW90" s="203"/>
      <c r="DX90" s="203"/>
      <c r="DY90" s="203"/>
      <c r="DZ90" s="203"/>
      <c r="EA90" s="203"/>
      <c r="EB90" s="203"/>
      <c r="EX90" s="203"/>
      <c r="EY90" s="203"/>
      <c r="EZ90" s="203"/>
      <c r="FA90" s="574"/>
      <c r="FB90" s="203"/>
      <c r="FC90" s="203"/>
      <c r="FD90" s="574"/>
    </row>
    <row r="91" spans="1:160">
      <c r="A91" s="203"/>
      <c r="B91" s="205" t="s">
        <v>555</v>
      </c>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t="s">
        <v>2694</v>
      </c>
      <c r="DJ91" s="203" t="s">
        <v>2694</v>
      </c>
      <c r="DK91" s="203"/>
      <c r="DL91" s="203"/>
      <c r="DM91" s="203"/>
      <c r="DN91" s="203"/>
      <c r="DO91" s="203"/>
      <c r="DP91" s="203"/>
      <c r="DQ91" s="203"/>
      <c r="DR91" s="203"/>
      <c r="DS91" s="203"/>
      <c r="DT91" s="203"/>
      <c r="DV91" s="203"/>
      <c r="DW91" s="203"/>
      <c r="DX91" s="203"/>
      <c r="DY91" s="203"/>
      <c r="DZ91" s="203"/>
      <c r="EA91" s="203"/>
      <c r="EB91" s="203"/>
      <c r="EX91" s="203"/>
      <c r="EY91" s="203"/>
      <c r="EZ91" s="203"/>
      <c r="FA91" s="574"/>
      <c r="FB91" s="203"/>
      <c r="FC91" s="203"/>
      <c r="FD91" s="574"/>
    </row>
    <row r="92" spans="1:160">
      <c r="A92" s="203"/>
      <c r="B92" s="203" t="str">
        <f>B87</f>
        <v>Video</v>
      </c>
      <c r="C92" s="203"/>
      <c r="D92" s="203"/>
      <c r="E92" s="203"/>
      <c r="F92" s="203"/>
      <c r="G92" s="203"/>
      <c r="H92" s="203"/>
      <c r="I92" s="203"/>
      <c r="J92" s="203"/>
      <c r="K92" s="203"/>
      <c r="L92" s="203"/>
      <c r="M92" s="203"/>
      <c r="N92" s="203"/>
      <c r="O92" s="203"/>
      <c r="P92" s="203"/>
      <c r="Q92" s="203"/>
      <c r="R92" s="203"/>
      <c r="S92" s="203"/>
      <c r="T92" s="203"/>
      <c r="U92" s="203"/>
      <c r="V92" s="203"/>
      <c r="W92" s="203">
        <f t="shared" ref="W92:BN92" si="293">W87*3*V11+W12</f>
        <v>201</v>
      </c>
      <c r="X92" s="336">
        <f t="shared" si="293"/>
        <v>211.416</v>
      </c>
      <c r="Y92" s="336">
        <f t="shared" si="293"/>
        <v>192.04900000000001</v>
      </c>
      <c r="Z92" s="336">
        <f t="shared" si="293"/>
        <v>188.256</v>
      </c>
      <c r="AA92" s="336">
        <f t="shared" si="293"/>
        <v>217.61199999999991</v>
      </c>
      <c r="AB92" s="336">
        <f t="shared" si="293"/>
        <v>238.5327999999999</v>
      </c>
      <c r="AC92" s="336">
        <f t="shared" si="293"/>
        <v>231.92672600000034</v>
      </c>
      <c r="AD92" s="336">
        <f t="shared" si="293"/>
        <v>252.07440000000003</v>
      </c>
      <c r="AE92" s="336">
        <f t="shared" si="293"/>
        <v>257.88559999999967</v>
      </c>
      <c r="AF92" s="336">
        <f t="shared" si="293"/>
        <v>258.63040000000018</v>
      </c>
      <c r="AG92" s="336">
        <f t="shared" si="293"/>
        <v>292.38</v>
      </c>
      <c r="AH92" s="336">
        <f t="shared" si="293"/>
        <v>370.25949999999989</v>
      </c>
      <c r="AI92" s="336">
        <f t="shared" si="293"/>
        <v>337.30787200000026</v>
      </c>
      <c r="AJ92" s="336">
        <f t="shared" si="293"/>
        <v>297.78079999999977</v>
      </c>
      <c r="AK92" s="336">
        <f t="shared" si="293"/>
        <v>311.55663200000026</v>
      </c>
      <c r="AL92" s="336">
        <f t="shared" si="293"/>
        <v>286.70859999999971</v>
      </c>
      <c r="AM92" s="336">
        <f t="shared" si="293"/>
        <v>239.85640000000035</v>
      </c>
      <c r="AN92" s="336">
        <f t="shared" si="293"/>
        <v>276.72545999999988</v>
      </c>
      <c r="AO92" s="336">
        <f t="shared" si="293"/>
        <v>283.11200000000019</v>
      </c>
      <c r="AP92" s="336">
        <f t="shared" si="293"/>
        <v>284.72212799999966</v>
      </c>
      <c r="AQ92" s="336">
        <f t="shared" si="293"/>
        <v>279.62201600000026</v>
      </c>
      <c r="AR92" s="336">
        <f t="shared" si="293"/>
        <v>275.97199999999987</v>
      </c>
      <c r="AS92" s="336">
        <f t="shared" si="293"/>
        <v>281.14970000000028</v>
      </c>
      <c r="AT92" s="336">
        <f t="shared" si="293"/>
        <v>204.0098000000001</v>
      </c>
      <c r="AU92" s="336">
        <f t="shared" si="293"/>
        <v>263.59945600000003</v>
      </c>
      <c r="AV92" s="336">
        <f t="shared" si="293"/>
        <v>289.29219999999998</v>
      </c>
      <c r="AW92" s="336">
        <f t="shared" si="293"/>
        <v>286.36680699999988</v>
      </c>
      <c r="AX92" s="336">
        <f t="shared" si="293"/>
        <v>232.92599999999979</v>
      </c>
      <c r="AY92" s="336">
        <f t="shared" si="293"/>
        <v>211.86727400000038</v>
      </c>
      <c r="AZ92" s="336">
        <f t="shared" si="293"/>
        <v>202.50616199999993</v>
      </c>
      <c r="BA92" s="336">
        <f t="shared" si="293"/>
        <v>266.40340000000015</v>
      </c>
      <c r="BB92" s="336">
        <f t="shared" si="293"/>
        <v>212.52565599999974</v>
      </c>
      <c r="BC92" s="336">
        <f t="shared" si="293"/>
        <v>197.66499699999989</v>
      </c>
      <c r="BD92" s="336">
        <f t="shared" si="293"/>
        <v>248.52662200000017</v>
      </c>
      <c r="BE92" s="336">
        <f t="shared" si="293"/>
        <v>296.79599999999999</v>
      </c>
      <c r="BF92" s="336">
        <f t="shared" si="293"/>
        <v>255.6948040000002</v>
      </c>
      <c r="BG92" s="336">
        <f t="shared" si="293"/>
        <v>246.42557999999991</v>
      </c>
      <c r="BH92" s="336">
        <f t="shared" si="293"/>
        <v>277.75584400000002</v>
      </c>
      <c r="BI92" s="336">
        <f t="shared" si="293"/>
        <v>303.84041600000006</v>
      </c>
      <c r="BJ92" s="336">
        <f t="shared" si="293"/>
        <v>277.40515199999965</v>
      </c>
      <c r="BK92" s="336">
        <f t="shared" si="293"/>
        <v>306.83389999999997</v>
      </c>
      <c r="BL92" s="336">
        <f t="shared" si="293"/>
        <v>309.64672000000019</v>
      </c>
      <c r="BM92" s="336">
        <f t="shared" si="293"/>
        <v>308.40523599999995</v>
      </c>
      <c r="BN92" s="336">
        <f t="shared" si="293"/>
        <v>281.87047600000017</v>
      </c>
      <c r="BO92" s="336">
        <f>BO87*3*BN11+BO12</f>
        <v>261.43666999999971</v>
      </c>
      <c r="BP92" s="336">
        <f>BP87*3*BO11+BP12</f>
        <v>297.52315699999997</v>
      </c>
      <c r="BQ92" s="336">
        <f>BQ87*3*BP11+BQ12</f>
        <v>300.673157</v>
      </c>
      <c r="BR92" s="336">
        <f>BR87*3*BQ11+BR12</f>
        <v>288.97415700000028</v>
      </c>
      <c r="BS92" s="336"/>
      <c r="BT92" s="336"/>
      <c r="BU92" s="336"/>
      <c r="BV92" s="336"/>
      <c r="BW92" s="203"/>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V92" s="203"/>
      <c r="DW92" s="203"/>
      <c r="DX92" s="203"/>
      <c r="DY92" s="203"/>
      <c r="DZ92" s="203"/>
      <c r="EA92" s="203"/>
      <c r="EB92" s="203"/>
      <c r="EX92" s="336">
        <v>248.48320999999996</v>
      </c>
      <c r="EY92" s="336">
        <v>295.71471999999994</v>
      </c>
      <c r="EZ92" s="336">
        <v>305.75063999999998</v>
      </c>
      <c r="FA92" s="577">
        <v>320.06213399999984</v>
      </c>
      <c r="FB92" s="203"/>
      <c r="FC92" s="203"/>
      <c r="FD92" s="574"/>
    </row>
    <row r="93" spans="1:160">
      <c r="A93" s="203"/>
      <c r="B93" s="203" t="str">
        <f>B88</f>
        <v>Internet</v>
      </c>
      <c r="C93" s="203"/>
      <c r="D93" s="203"/>
      <c r="E93" s="203"/>
      <c r="F93" s="203"/>
      <c r="G93" s="203"/>
      <c r="H93" s="203"/>
      <c r="I93" s="203"/>
      <c r="J93" s="203"/>
      <c r="K93" s="203"/>
      <c r="L93" s="203"/>
      <c r="M93" s="203"/>
      <c r="N93" s="203"/>
      <c r="O93" s="203"/>
      <c r="P93" s="203"/>
      <c r="Q93" s="203"/>
      <c r="R93" s="203"/>
      <c r="S93" s="203"/>
      <c r="T93" s="203"/>
      <c r="U93" s="203"/>
      <c r="V93" s="203"/>
      <c r="W93" s="203">
        <f t="shared" ref="W93:BN93" si="294">W88*3*V18+W19</f>
        <v>110.14999999999999</v>
      </c>
      <c r="X93" s="336">
        <f t="shared" si="294"/>
        <v>94.91</v>
      </c>
      <c r="Y93" s="336">
        <f t="shared" si="294"/>
        <v>98.212000000000003</v>
      </c>
      <c r="Z93" s="336">
        <f t="shared" si="294"/>
        <v>129.30000000000001</v>
      </c>
      <c r="AA93" s="336">
        <f t="shared" si="294"/>
        <v>160.88400000000001</v>
      </c>
      <c r="AB93" s="336">
        <f t="shared" si="294"/>
        <v>157.44899999999996</v>
      </c>
      <c r="AC93" s="336">
        <f t="shared" si="294"/>
        <v>194.50586999999996</v>
      </c>
      <c r="AD93" s="336">
        <f t="shared" si="294"/>
        <v>194.70681999999996</v>
      </c>
      <c r="AE93" s="336">
        <f t="shared" si="294"/>
        <v>222.79500000000002</v>
      </c>
      <c r="AF93" s="336">
        <f t="shared" si="294"/>
        <v>215.78080000000008</v>
      </c>
      <c r="AG93" s="336">
        <f t="shared" si="294"/>
        <v>276.00399999999996</v>
      </c>
      <c r="AH93" s="336">
        <f t="shared" si="294"/>
        <v>262.36739999999998</v>
      </c>
      <c r="AI93" s="336">
        <f t="shared" si="294"/>
        <v>247.41514400000003</v>
      </c>
      <c r="AJ93" s="336">
        <f t="shared" si="294"/>
        <v>225.18120000000005</v>
      </c>
      <c r="AK93" s="336">
        <f t="shared" si="294"/>
        <v>322.57005700000019</v>
      </c>
      <c r="AL93" s="336">
        <f t="shared" si="294"/>
        <v>277.29339999999974</v>
      </c>
      <c r="AM93" s="336">
        <f t="shared" si="294"/>
        <v>256.22660000000019</v>
      </c>
      <c r="AN93" s="336">
        <f t="shared" si="294"/>
        <v>288.88249799999983</v>
      </c>
      <c r="AO93" s="336">
        <f t="shared" si="294"/>
        <v>282.15167500000018</v>
      </c>
      <c r="AP93" s="336">
        <f t="shared" si="294"/>
        <v>299.76212500000014</v>
      </c>
      <c r="AQ93" s="336">
        <f t="shared" si="294"/>
        <v>292.08682899999985</v>
      </c>
      <c r="AR93" s="336">
        <f t="shared" si="294"/>
        <v>276.85900000000021</v>
      </c>
      <c r="AS93" s="336">
        <f t="shared" si="294"/>
        <v>297.570626</v>
      </c>
      <c r="AT93" s="336">
        <f t="shared" si="294"/>
        <v>222.23099999999963</v>
      </c>
      <c r="AU93" s="336">
        <f t="shared" si="294"/>
        <v>249.53164300000012</v>
      </c>
      <c r="AV93" s="336">
        <f t="shared" si="294"/>
        <v>308.60460000000029</v>
      </c>
      <c r="AW93" s="336">
        <f t="shared" si="294"/>
        <v>297.96589199999983</v>
      </c>
      <c r="AX93" s="336">
        <f t="shared" si="294"/>
        <v>242.25100000000018</v>
      </c>
      <c r="AY93" s="336">
        <f t="shared" si="294"/>
        <v>225.3177959999997</v>
      </c>
      <c r="AZ93" s="336">
        <f t="shared" si="294"/>
        <v>234.04528800000023</v>
      </c>
      <c r="BA93" s="336">
        <f t="shared" si="294"/>
        <v>329.91799999999978</v>
      </c>
      <c r="BB93" s="336">
        <f t="shared" si="294"/>
        <v>260.20076000000017</v>
      </c>
      <c r="BC93" s="336">
        <f t="shared" si="294"/>
        <v>279.50446799999969</v>
      </c>
      <c r="BD93" s="336">
        <f t="shared" si="294"/>
        <v>273.54440000000028</v>
      </c>
      <c r="BE93" s="336">
        <f t="shared" si="294"/>
        <v>323.88599999999974</v>
      </c>
      <c r="BF93" s="336">
        <f t="shared" si="294"/>
        <v>306.1557200000002</v>
      </c>
      <c r="BG93" s="336">
        <f t="shared" si="294"/>
        <v>300.93925899999999</v>
      </c>
      <c r="BH93" s="336">
        <f t="shared" si="294"/>
        <v>334.53505699999988</v>
      </c>
      <c r="BI93" s="336">
        <f t="shared" si="294"/>
        <v>370.61777500000017</v>
      </c>
      <c r="BJ93" s="336">
        <f t="shared" si="294"/>
        <v>329.39773199999962</v>
      </c>
      <c r="BK93" s="336">
        <f t="shared" si="294"/>
        <v>383.16302000000024</v>
      </c>
      <c r="BL93" s="336">
        <f t="shared" si="294"/>
        <v>407.56640499999986</v>
      </c>
      <c r="BM93" s="336">
        <f t="shared" si="294"/>
        <v>397.38105100000041</v>
      </c>
      <c r="BN93" s="336">
        <f t="shared" si="294"/>
        <v>402.49061599999936</v>
      </c>
      <c r="BO93" s="336">
        <f>BO88*3*BN18+BO19</f>
        <v>406.2938079999999</v>
      </c>
      <c r="BP93" s="336">
        <f>BP88*3*BO18+BP19</f>
        <v>403.13562799999994</v>
      </c>
      <c r="BQ93" s="336">
        <f>BQ88*3*BP18+BQ19</f>
        <v>395.69562799999994</v>
      </c>
      <c r="BR93" s="336">
        <f>BR88*3*BQ18+BR19</f>
        <v>421.11562800000002</v>
      </c>
      <c r="BS93" s="336"/>
      <c r="BT93" s="336"/>
      <c r="BU93" s="336"/>
      <c r="BV93" s="336"/>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V93" s="203"/>
      <c r="DW93" s="203"/>
      <c r="DX93" s="203"/>
      <c r="DY93" s="203"/>
      <c r="DZ93" s="203"/>
      <c r="EA93" s="203"/>
      <c r="EB93" s="203"/>
      <c r="EX93" s="336">
        <v>291.03085999999996</v>
      </c>
      <c r="EY93" s="336">
        <v>374.25440499999996</v>
      </c>
      <c r="EZ93" s="336">
        <v>378.56318899999997</v>
      </c>
      <c r="FA93" s="577">
        <v>419.88905199999942</v>
      </c>
      <c r="FB93" s="203"/>
      <c r="FC93" s="203"/>
      <c r="FD93" s="574"/>
    </row>
    <row r="94" spans="1:160">
      <c r="A94" s="203"/>
      <c r="B94" s="203" t="str">
        <f>B89</f>
        <v>Voice</v>
      </c>
      <c r="C94" s="203"/>
      <c r="D94" s="203"/>
      <c r="E94" s="203"/>
      <c r="F94" s="203"/>
      <c r="G94" s="203"/>
      <c r="H94" s="203"/>
      <c r="I94" s="203"/>
      <c r="J94" s="203"/>
      <c r="K94" s="203"/>
      <c r="L94" s="203"/>
      <c r="M94" s="203"/>
      <c r="N94" s="203"/>
      <c r="O94" s="203"/>
      <c r="P94" s="203"/>
      <c r="Q94" s="203"/>
      <c r="R94" s="203"/>
      <c r="S94" s="203"/>
      <c r="T94" s="203"/>
      <c r="U94" s="203"/>
      <c r="V94" s="203"/>
      <c r="W94" s="203">
        <f t="shared" ref="W94:BN94" si="295">W89*3*V23+W24</f>
        <v>77.051999999999992</v>
      </c>
      <c r="X94" s="359">
        <f t="shared" si="295"/>
        <v>64.343999999999994</v>
      </c>
      <c r="Y94" s="359">
        <f t="shared" si="295"/>
        <v>45.667999999999992</v>
      </c>
      <c r="Z94" s="359">
        <f t="shared" si="295"/>
        <v>76.28</v>
      </c>
      <c r="AA94" s="359">
        <f t="shared" si="295"/>
        <v>98.92099999999995</v>
      </c>
      <c r="AB94" s="359">
        <f t="shared" si="295"/>
        <v>98.892131000000077</v>
      </c>
      <c r="AC94" s="359">
        <f t="shared" si="295"/>
        <v>121.012556</v>
      </c>
      <c r="AD94" s="359">
        <f t="shared" si="295"/>
        <v>126.43696499999997</v>
      </c>
      <c r="AE94" s="359">
        <f t="shared" si="295"/>
        <v>138.116996</v>
      </c>
      <c r="AF94" s="359">
        <f t="shared" si="295"/>
        <v>151.72000000000003</v>
      </c>
      <c r="AG94" s="359">
        <f t="shared" si="295"/>
        <v>174.3</v>
      </c>
      <c r="AH94" s="359">
        <f t="shared" si="295"/>
        <v>179.33800000000002</v>
      </c>
      <c r="AI94" s="359">
        <f t="shared" si="295"/>
        <v>173.44393199999993</v>
      </c>
      <c r="AJ94" s="359">
        <f t="shared" si="295"/>
        <v>160.59947199999999</v>
      </c>
      <c r="AK94" s="359">
        <f t="shared" si="295"/>
        <v>266.26996600000007</v>
      </c>
      <c r="AL94" s="359">
        <f t="shared" si="295"/>
        <v>243.90399999999994</v>
      </c>
      <c r="AM94" s="359">
        <f t="shared" si="295"/>
        <v>199.38000000000005</v>
      </c>
      <c r="AN94" s="359">
        <f t="shared" si="295"/>
        <v>282.92294000000004</v>
      </c>
      <c r="AO94" s="359">
        <f t="shared" si="295"/>
        <v>274.77347299999991</v>
      </c>
      <c r="AP94" s="359">
        <f t="shared" si="295"/>
        <v>287.38277300000016</v>
      </c>
      <c r="AQ94" s="359">
        <f t="shared" si="295"/>
        <v>298.64603999999997</v>
      </c>
      <c r="AR94" s="359">
        <f t="shared" si="295"/>
        <v>284.58699999999999</v>
      </c>
      <c r="AS94" s="359">
        <f t="shared" si="295"/>
        <v>303.68879499999991</v>
      </c>
      <c r="AT94" s="359">
        <f t="shared" si="295"/>
        <v>221.05620000000013</v>
      </c>
      <c r="AU94" s="359">
        <f t="shared" si="295"/>
        <v>305.82607699999983</v>
      </c>
      <c r="AV94" s="359">
        <f t="shared" si="295"/>
        <v>304.57420000000013</v>
      </c>
      <c r="AW94" s="359">
        <f t="shared" si="295"/>
        <v>305.57732199999987</v>
      </c>
      <c r="AX94" s="359">
        <f t="shared" si="295"/>
        <v>244.108</v>
      </c>
      <c r="AY94" s="359">
        <f t="shared" si="295"/>
        <v>222.14496400000019</v>
      </c>
      <c r="AZ94" s="359">
        <f t="shared" si="295"/>
        <v>239.02707199999975</v>
      </c>
      <c r="BA94" s="359">
        <f t="shared" si="295"/>
        <v>386.37130000000025</v>
      </c>
      <c r="BB94" s="359">
        <f t="shared" si="295"/>
        <v>273.44660299999964</v>
      </c>
      <c r="BC94" s="359">
        <f t="shared" si="295"/>
        <v>274.04766800000004</v>
      </c>
      <c r="BD94" s="359">
        <f t="shared" si="295"/>
        <v>282.98377500000026</v>
      </c>
      <c r="BE94" s="359">
        <f t="shared" si="295"/>
        <v>339.08249999999987</v>
      </c>
      <c r="BF94" s="359">
        <f t="shared" si="295"/>
        <v>307.86588000000017</v>
      </c>
      <c r="BG94" s="359">
        <f t="shared" si="295"/>
        <v>285.43092499999977</v>
      </c>
      <c r="BH94" s="359">
        <f t="shared" si="295"/>
        <v>313.88279200000011</v>
      </c>
      <c r="BI94" s="359">
        <f t="shared" si="295"/>
        <v>364.00127499999996</v>
      </c>
      <c r="BJ94" s="359">
        <f t="shared" si="295"/>
        <v>326.86799100000007</v>
      </c>
      <c r="BK94" s="359">
        <f t="shared" si="295"/>
        <v>388.921875</v>
      </c>
      <c r="BL94" s="359">
        <f t="shared" si="295"/>
        <v>398.99421999999998</v>
      </c>
      <c r="BM94" s="359">
        <f t="shared" si="295"/>
        <v>391.916156</v>
      </c>
      <c r="BN94" s="359">
        <f t="shared" si="295"/>
        <v>410.00797999999986</v>
      </c>
      <c r="BO94" s="359">
        <f>BO89*3*BN23+BO24</f>
        <v>430.28646499999974</v>
      </c>
      <c r="BP94" s="359">
        <f>BP89*3*BO23+BP24</f>
        <v>418.07583599999998</v>
      </c>
      <c r="BQ94" s="359">
        <f>BQ89*3*BP23+BQ24</f>
        <v>427.52583599999997</v>
      </c>
      <c r="BR94" s="359">
        <f>BR89*3*BQ23+BR24</f>
        <v>413.85883600000068</v>
      </c>
      <c r="BS94" s="336"/>
      <c r="BT94" s="336"/>
      <c r="BU94" s="336"/>
      <c r="BV94" s="336"/>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V94" s="203"/>
      <c r="DW94" s="203"/>
      <c r="DX94" s="203"/>
      <c r="DY94" s="203"/>
      <c r="DZ94" s="203"/>
      <c r="EA94" s="203"/>
      <c r="EB94" s="203"/>
      <c r="EX94" s="359">
        <v>314.03512499999999</v>
      </c>
      <c r="EY94" s="359">
        <v>375.45098100000001</v>
      </c>
      <c r="EZ94" s="359">
        <v>365.77195999999998</v>
      </c>
      <c r="FA94" s="582">
        <v>395.51657800000004</v>
      </c>
      <c r="FB94" s="203"/>
      <c r="FC94" s="203"/>
      <c r="FD94" s="574"/>
    </row>
    <row r="95" spans="1:160">
      <c r="A95" s="203"/>
      <c r="B95" s="203" t="s">
        <v>556</v>
      </c>
      <c r="C95" s="203"/>
      <c r="D95" s="203"/>
      <c r="E95" s="203"/>
      <c r="F95" s="203"/>
      <c r="G95" s="203"/>
      <c r="H95" s="203"/>
      <c r="I95" s="203"/>
      <c r="J95" s="203"/>
      <c r="K95" s="203"/>
      <c r="L95" s="203"/>
      <c r="M95" s="203"/>
      <c r="N95" s="203"/>
      <c r="O95" s="203"/>
      <c r="P95" s="203"/>
      <c r="Q95" s="203"/>
      <c r="R95" s="203"/>
      <c r="S95" s="203"/>
      <c r="T95" s="203"/>
      <c r="U95" s="203"/>
      <c r="V95" s="203"/>
      <c r="W95" s="203">
        <f t="shared" ref="W95:BG95" si="296">SUM(W92:W94)</f>
        <v>388.202</v>
      </c>
      <c r="X95" s="336">
        <f t="shared" si="296"/>
        <v>370.67</v>
      </c>
      <c r="Y95" s="336">
        <f t="shared" si="296"/>
        <v>335.92900000000003</v>
      </c>
      <c r="Z95" s="336">
        <f t="shared" si="296"/>
        <v>393.83600000000001</v>
      </c>
      <c r="AA95" s="336">
        <f t="shared" si="296"/>
        <v>477.41699999999986</v>
      </c>
      <c r="AB95" s="336">
        <f t="shared" si="296"/>
        <v>494.87393099999991</v>
      </c>
      <c r="AC95" s="336">
        <f t="shared" si="296"/>
        <v>547.44515200000035</v>
      </c>
      <c r="AD95" s="336">
        <f t="shared" si="296"/>
        <v>573.21818499999995</v>
      </c>
      <c r="AE95" s="336">
        <f t="shared" si="296"/>
        <v>618.79759599999966</v>
      </c>
      <c r="AF95" s="336">
        <f t="shared" si="296"/>
        <v>626.13120000000026</v>
      </c>
      <c r="AG95" s="336">
        <f t="shared" si="296"/>
        <v>742.68399999999997</v>
      </c>
      <c r="AH95" s="336">
        <f t="shared" si="296"/>
        <v>811.96489999999994</v>
      </c>
      <c r="AI95" s="336">
        <f t="shared" si="296"/>
        <v>758.16694800000016</v>
      </c>
      <c r="AJ95" s="336">
        <f t="shared" si="296"/>
        <v>683.56147199999975</v>
      </c>
      <c r="AK95" s="336">
        <f t="shared" si="296"/>
        <v>900.39665500000046</v>
      </c>
      <c r="AL95" s="336">
        <f t="shared" si="296"/>
        <v>807.90599999999949</v>
      </c>
      <c r="AM95" s="336">
        <f t="shared" si="296"/>
        <v>695.46300000000065</v>
      </c>
      <c r="AN95" s="336">
        <f t="shared" si="296"/>
        <v>848.53089799999975</v>
      </c>
      <c r="AO95" s="336">
        <f t="shared" si="296"/>
        <v>840.03714800000034</v>
      </c>
      <c r="AP95" s="336">
        <f t="shared" si="296"/>
        <v>871.86702600000001</v>
      </c>
      <c r="AQ95" s="336">
        <f t="shared" si="296"/>
        <v>870.35488500000008</v>
      </c>
      <c r="AR95" s="336">
        <f t="shared" si="296"/>
        <v>837.41800000000012</v>
      </c>
      <c r="AS95" s="336">
        <f t="shared" si="296"/>
        <v>882.40912100000025</v>
      </c>
      <c r="AT95" s="336">
        <f t="shared" si="296"/>
        <v>647.2969999999998</v>
      </c>
      <c r="AU95" s="336">
        <f t="shared" si="296"/>
        <v>818.957176</v>
      </c>
      <c r="AV95" s="336">
        <f t="shared" si="296"/>
        <v>902.47100000000034</v>
      </c>
      <c r="AW95" s="336">
        <f t="shared" si="296"/>
        <v>889.91002099999957</v>
      </c>
      <c r="AX95" s="336">
        <f t="shared" si="296"/>
        <v>719.28499999999997</v>
      </c>
      <c r="AY95" s="336">
        <f t="shared" si="296"/>
        <v>659.3300340000003</v>
      </c>
      <c r="AZ95" s="336">
        <f t="shared" si="296"/>
        <v>675.57852199999991</v>
      </c>
      <c r="BA95" s="336">
        <f t="shared" si="296"/>
        <v>982.69270000000017</v>
      </c>
      <c r="BB95" s="336">
        <f t="shared" si="296"/>
        <v>746.17301899999961</v>
      </c>
      <c r="BC95" s="336">
        <f t="shared" si="296"/>
        <v>751.21713299999965</v>
      </c>
      <c r="BD95" s="336">
        <f t="shared" si="296"/>
        <v>805.05479700000069</v>
      </c>
      <c r="BE95" s="336">
        <f t="shared" si="296"/>
        <v>959.76449999999966</v>
      </c>
      <c r="BF95" s="336">
        <f t="shared" si="296"/>
        <v>869.71640400000058</v>
      </c>
      <c r="BG95" s="336">
        <f t="shared" si="296"/>
        <v>832.79576399999962</v>
      </c>
      <c r="BH95" s="336">
        <f t="shared" ref="BH95" si="297">SUM(BH92:BH94)</f>
        <v>926.17369299999996</v>
      </c>
      <c r="BI95" s="336">
        <f t="shared" ref="BI95:BL95" si="298">SUM(BI92:BI94)</f>
        <v>1038.4594660000002</v>
      </c>
      <c r="BJ95" s="336">
        <f t="shared" si="298"/>
        <v>933.67087499999934</v>
      </c>
      <c r="BK95" s="336">
        <f t="shared" si="298"/>
        <v>1078.9187950000003</v>
      </c>
      <c r="BL95" s="336">
        <f t="shared" si="298"/>
        <v>1116.207345</v>
      </c>
      <c r="BM95" s="336">
        <f t="shared" ref="BM95:BN95" si="299">SUM(BM92:BM94)</f>
        <v>1097.7024430000004</v>
      </c>
      <c r="BN95" s="336">
        <f t="shared" si="299"/>
        <v>1094.3690719999995</v>
      </c>
      <c r="BO95" s="336">
        <f t="shared" ref="BO95:BR95" si="300">SUM(BO92:BO94)</f>
        <v>1098.0169429999994</v>
      </c>
      <c r="BP95" s="336">
        <f t="shared" si="300"/>
        <v>1118.7346209999998</v>
      </c>
      <c r="BQ95" s="336">
        <f t="shared" si="300"/>
        <v>1123.8946209999999</v>
      </c>
      <c r="BR95" s="336">
        <f t="shared" si="300"/>
        <v>1123.9486210000009</v>
      </c>
      <c r="BS95" s="336"/>
      <c r="BT95" s="336"/>
      <c r="BU95" s="336"/>
      <c r="BV95" s="336"/>
      <c r="BW95" s="203"/>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V95" s="203"/>
      <c r="DW95" s="203"/>
      <c r="DX95" s="203"/>
      <c r="DY95" s="203"/>
      <c r="DZ95" s="203"/>
      <c r="EA95" s="203"/>
      <c r="EB95" s="203"/>
      <c r="EX95" s="336">
        <v>853.54919499999994</v>
      </c>
      <c r="EY95" s="336">
        <v>1045.4201059999998</v>
      </c>
      <c r="EZ95" s="336">
        <v>1050.085789</v>
      </c>
      <c r="FA95" s="577">
        <v>1135.4677639999993</v>
      </c>
      <c r="FB95" s="203"/>
      <c r="FC95" s="203"/>
      <c r="FD95" s="574"/>
    </row>
    <row r="96" spans="1:160">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c r="BU96" s="203"/>
      <c r="BV96" s="203"/>
      <c r="BW96" s="203"/>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V96" s="203"/>
      <c r="DW96" s="203"/>
      <c r="DX96" s="203"/>
      <c r="DY96" s="203"/>
      <c r="DZ96" s="203"/>
      <c r="EA96" s="203"/>
      <c r="EB96" s="203"/>
      <c r="EX96" s="203"/>
      <c r="EY96" s="203"/>
      <c r="EZ96" s="203"/>
      <c r="FA96" s="574"/>
      <c r="FB96" s="203"/>
      <c r="FC96" s="203"/>
      <c r="FD96" s="574"/>
    </row>
    <row r="97" spans="1:160">
      <c r="A97" s="203"/>
      <c r="B97" s="205" t="s">
        <v>228</v>
      </c>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V97" s="203"/>
      <c r="DW97" s="203"/>
      <c r="DX97" s="203"/>
      <c r="DY97" s="203"/>
      <c r="DZ97" s="203"/>
      <c r="EA97" s="203"/>
      <c r="EB97" s="203"/>
      <c r="EX97" s="203"/>
      <c r="EY97" s="203"/>
      <c r="EZ97" s="203"/>
      <c r="FA97" s="574"/>
      <c r="FB97" s="203"/>
      <c r="FC97" s="203"/>
      <c r="FD97" s="574"/>
    </row>
    <row r="98" spans="1:160">
      <c r="A98" s="203"/>
      <c r="B98" s="340" t="s">
        <v>199</v>
      </c>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c r="BQ98" s="337"/>
      <c r="BR98" s="337"/>
      <c r="BS98" s="337"/>
      <c r="BT98" s="337"/>
      <c r="BU98" s="337"/>
      <c r="BV98" s="337"/>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V98" s="203"/>
      <c r="DW98" s="203"/>
      <c r="DX98" s="203"/>
      <c r="DY98" s="203"/>
      <c r="DZ98" s="203"/>
      <c r="EA98" s="203"/>
      <c r="EB98" s="203"/>
      <c r="EX98" s="337"/>
      <c r="EY98" s="337"/>
      <c r="EZ98" s="337"/>
      <c r="FA98" s="576"/>
      <c r="FB98" s="203"/>
      <c r="FC98" s="203"/>
      <c r="FD98" s="574"/>
    </row>
    <row r="99" spans="1:160">
      <c r="A99" s="203"/>
      <c r="B99" s="340" t="s">
        <v>177</v>
      </c>
      <c r="C99" s="203"/>
      <c r="D99" s="203"/>
      <c r="E99" s="203"/>
      <c r="F99" s="203"/>
      <c r="G99" s="203"/>
      <c r="H99" s="203"/>
      <c r="I99" s="203"/>
      <c r="J99" s="203"/>
      <c r="K99" s="203"/>
      <c r="L99" s="203">
        <v>1808</v>
      </c>
      <c r="M99" s="203">
        <v>1892</v>
      </c>
      <c r="N99" s="203">
        <v>1961</v>
      </c>
      <c r="O99" s="336">
        <v>2044</v>
      </c>
      <c r="P99" s="203">
        <v>2009</v>
      </c>
      <c r="Q99" s="203">
        <v>2038</v>
      </c>
      <c r="R99" s="203">
        <v>2159</v>
      </c>
      <c r="S99" s="336">
        <v>2250</v>
      </c>
      <c r="T99" s="203">
        <v>2191</v>
      </c>
      <c r="U99" s="203">
        <v>2257</v>
      </c>
      <c r="V99" s="203">
        <v>2279</v>
      </c>
      <c r="W99" s="203">
        <v>2401</v>
      </c>
      <c r="X99" s="203">
        <v>2444</v>
      </c>
      <c r="Y99" s="203">
        <v>2475</v>
      </c>
      <c r="Z99" s="203">
        <v>2748</v>
      </c>
      <c r="AA99" s="203">
        <v>2696</v>
      </c>
      <c r="AB99" s="203">
        <v>2791</v>
      </c>
      <c r="AC99" s="336">
        <f t="shared" ref="AC99:BH99" si="301">AC57</f>
        <v>2880</v>
      </c>
      <c r="AD99" s="336">
        <f t="shared" si="301"/>
        <v>3108.453</v>
      </c>
      <c r="AE99" s="336">
        <f t="shared" si="301"/>
        <v>3338.8</v>
      </c>
      <c r="AF99" s="336">
        <f t="shared" si="301"/>
        <v>3708</v>
      </c>
      <c r="AG99" s="336">
        <f t="shared" si="301"/>
        <v>3583</v>
      </c>
      <c r="AH99" s="336">
        <f t="shared" si="301"/>
        <v>3927.5030000000002</v>
      </c>
      <c r="AI99" s="336">
        <f t="shared" si="301"/>
        <v>4059.2640000000001</v>
      </c>
      <c r="AJ99" s="336">
        <f t="shared" si="301"/>
        <v>4222.6660000000002</v>
      </c>
      <c r="AK99" s="336">
        <f t="shared" si="301"/>
        <v>4219.5</v>
      </c>
      <c r="AL99" s="336">
        <f t="shared" si="301"/>
        <v>4455.7510000000002</v>
      </c>
      <c r="AM99" s="336">
        <f t="shared" si="301"/>
        <v>4289.9480000000003</v>
      </c>
      <c r="AN99" s="336">
        <f t="shared" si="301"/>
        <v>4129.84</v>
      </c>
      <c r="AO99" s="336">
        <f t="shared" si="301"/>
        <v>4277.5519999999997</v>
      </c>
      <c r="AP99" s="336">
        <f t="shared" si="301"/>
        <v>4515.4989999999998</v>
      </c>
      <c r="AQ99" s="336">
        <f t="shared" si="301"/>
        <v>4695</v>
      </c>
      <c r="AR99" s="336">
        <f t="shared" si="301"/>
        <v>4833.143</v>
      </c>
      <c r="AS99" s="336">
        <f t="shared" si="301"/>
        <v>4850.9660000000003</v>
      </c>
      <c r="AT99" s="336">
        <f t="shared" si="301"/>
        <v>5057.0969999999998</v>
      </c>
      <c r="AU99" s="336">
        <f t="shared" si="301"/>
        <v>5150.2</v>
      </c>
      <c r="AV99" s="336">
        <f t="shared" si="301"/>
        <v>5345.0529999999999</v>
      </c>
      <c r="AW99" s="336">
        <f t="shared" si="301"/>
        <v>5405.4</v>
      </c>
      <c r="AX99" s="336">
        <f t="shared" si="301"/>
        <v>5624.95</v>
      </c>
      <c r="AY99" s="336">
        <f t="shared" si="301"/>
        <v>5520.0889999999999</v>
      </c>
      <c r="AZ99" s="336">
        <f t="shared" si="301"/>
        <v>5460.4750000000004</v>
      </c>
      <c r="BA99" s="336">
        <f t="shared" si="301"/>
        <v>5621.4369999999999</v>
      </c>
      <c r="BB99" s="336">
        <f t="shared" si="301"/>
        <v>5780.8639999999996</v>
      </c>
      <c r="BC99" s="336">
        <f t="shared" si="301"/>
        <v>5951.9790000000003</v>
      </c>
      <c r="BD99" s="336">
        <f t="shared" si="301"/>
        <v>6063.8</v>
      </c>
      <c r="BE99" s="336">
        <f t="shared" si="301"/>
        <v>6144.9260000000004</v>
      </c>
      <c r="BF99" s="336">
        <f t="shared" si="301"/>
        <v>6473.45</v>
      </c>
      <c r="BG99" s="336">
        <f t="shared" si="301"/>
        <v>6562.4260000000004</v>
      </c>
      <c r="BH99" s="336">
        <f t="shared" si="301"/>
        <v>6681.1859999999997</v>
      </c>
      <c r="BI99" s="336">
        <f t="shared" ref="BI99:BL99" si="302">BI57</f>
        <v>6736.8850000000002</v>
      </c>
      <c r="BJ99" s="336">
        <f t="shared" si="302"/>
        <v>7175.058</v>
      </c>
      <c r="BK99" s="336">
        <f t="shared" si="302"/>
        <v>7152.1880000000001</v>
      </c>
      <c r="BL99" s="336">
        <f t="shared" si="302"/>
        <v>7373.6940000000004</v>
      </c>
      <c r="BM99" s="336">
        <f t="shared" ref="BM99:BV99" si="303">BM57</f>
        <v>7490.7309999999998</v>
      </c>
      <c r="BN99" s="336">
        <f t="shared" si="303"/>
        <v>7853.9269999999997</v>
      </c>
      <c r="BO99" s="336">
        <f t="shared" si="303"/>
        <v>7984.6030000000001</v>
      </c>
      <c r="BP99" s="336">
        <f t="shared" si="303"/>
        <v>8175</v>
      </c>
      <c r="BQ99" s="336">
        <f t="shared" si="303"/>
        <v>8350</v>
      </c>
      <c r="BR99" s="336">
        <f t="shared" si="303"/>
        <v>8576.1405653905986</v>
      </c>
      <c r="BS99" s="336">
        <f t="shared" si="303"/>
        <v>7984.6030000000001</v>
      </c>
      <c r="BT99" s="336">
        <f t="shared" si="303"/>
        <v>8175</v>
      </c>
      <c r="BU99" s="336">
        <f t="shared" si="303"/>
        <v>8350</v>
      </c>
      <c r="BV99" s="336">
        <f t="shared" si="303"/>
        <v>11517.102486593609</v>
      </c>
      <c r="BW99" s="203"/>
      <c r="BX99" s="337">
        <f t="shared" ref="BX99:CJ99" si="304">W99/S99-1</f>
        <v>6.7111111111111121E-2</v>
      </c>
      <c r="BY99" s="337">
        <f t="shared" si="304"/>
        <v>0.11547238703788221</v>
      </c>
      <c r="BZ99" s="337">
        <f t="shared" si="304"/>
        <v>9.6588391670358931E-2</v>
      </c>
      <c r="CA99" s="337">
        <f t="shared" si="304"/>
        <v>0.20579201404124614</v>
      </c>
      <c r="CB99" s="337">
        <f t="shared" si="304"/>
        <v>0.12286547271970005</v>
      </c>
      <c r="CC99" s="337">
        <f t="shared" si="304"/>
        <v>0.14198036006546655</v>
      </c>
      <c r="CD99" s="337">
        <f t="shared" si="304"/>
        <v>0.16363636363636358</v>
      </c>
      <c r="CE99" s="337">
        <f t="shared" si="304"/>
        <v>0.13116921397379921</v>
      </c>
      <c r="CF99" s="337">
        <f t="shared" si="304"/>
        <v>0.23842729970326415</v>
      </c>
      <c r="CG99" s="337">
        <f t="shared" si="304"/>
        <v>0.32855607309208179</v>
      </c>
      <c r="CH99" s="337">
        <f t="shared" si="304"/>
        <v>0.24409722222222219</v>
      </c>
      <c r="CI99" s="337">
        <f t="shared" si="304"/>
        <v>0.26349119642471686</v>
      </c>
      <c r="CJ99" s="337">
        <f t="shared" si="304"/>
        <v>0.21578531208817542</v>
      </c>
      <c r="CK99" s="337"/>
      <c r="CL99" s="337"/>
      <c r="CM99" s="337"/>
      <c r="CN99" s="337"/>
      <c r="CO99" s="337"/>
      <c r="CP99" s="337"/>
      <c r="CQ99" s="337"/>
      <c r="CR99" s="337"/>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V99" s="203"/>
      <c r="DW99" s="203"/>
      <c r="DX99" s="203"/>
      <c r="DY99" s="203"/>
      <c r="DZ99" s="203"/>
      <c r="EA99" s="203"/>
      <c r="EB99" s="203"/>
      <c r="EX99" s="336">
        <v>7040.4863749999995</v>
      </c>
      <c r="EY99" s="336">
        <v>7321.357598999999</v>
      </c>
      <c r="EZ99" s="336">
        <v>7535.8055320000003</v>
      </c>
      <c r="FA99" s="577">
        <v>7638.7077108040739</v>
      </c>
      <c r="FB99" s="203"/>
      <c r="FC99" s="203"/>
      <c r="FD99" s="574"/>
    </row>
    <row r="100" spans="1:160">
      <c r="A100" s="203"/>
      <c r="B100" s="340"/>
      <c r="C100" s="203"/>
      <c r="D100" s="203"/>
      <c r="E100" s="203"/>
      <c r="F100" s="203"/>
      <c r="G100" s="203"/>
      <c r="H100" s="203"/>
      <c r="I100" s="203"/>
      <c r="J100" s="203"/>
      <c r="K100" s="203"/>
      <c r="L100" s="203"/>
      <c r="M100" s="203"/>
      <c r="N100" s="203"/>
      <c r="O100" s="336"/>
      <c r="P100" s="203"/>
      <c r="Q100" s="203"/>
      <c r="R100" s="203"/>
      <c r="S100" s="336"/>
      <c r="T100" s="203"/>
      <c r="U100" s="203"/>
      <c r="V100" s="203"/>
      <c r="W100" s="203"/>
      <c r="X100" s="203"/>
      <c r="Y100" s="203"/>
      <c r="Z100" s="203"/>
      <c r="AA100" s="203"/>
      <c r="AB100" s="203"/>
      <c r="AC100" s="336"/>
      <c r="AD100" s="336"/>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337"/>
      <c r="BY100" s="337"/>
      <c r="BZ100" s="337"/>
      <c r="CA100" s="337"/>
      <c r="CB100" s="337"/>
      <c r="CC100" s="337"/>
      <c r="CD100" s="337"/>
      <c r="CE100" s="337"/>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V100" s="203"/>
      <c r="DW100" s="203"/>
      <c r="DX100" s="203"/>
      <c r="DY100" s="203"/>
      <c r="DZ100" s="203"/>
      <c r="EA100" s="203"/>
      <c r="EB100" s="203"/>
      <c r="EX100" s="203"/>
      <c r="EY100" s="203"/>
      <c r="EZ100" s="203"/>
      <c r="FA100" s="574"/>
      <c r="FB100" s="203"/>
      <c r="FC100" s="203"/>
      <c r="FD100" s="574"/>
    </row>
    <row r="101" spans="1:160">
      <c r="A101" s="203"/>
      <c r="B101" s="341" t="s">
        <v>306</v>
      </c>
      <c r="C101" s="205"/>
      <c r="D101" s="205"/>
      <c r="E101" s="205"/>
      <c r="F101" s="205"/>
      <c r="G101" s="205"/>
      <c r="H101" s="205"/>
      <c r="I101" s="205"/>
      <c r="J101" s="205"/>
      <c r="K101" s="205"/>
      <c r="L101" s="205">
        <v>718</v>
      </c>
      <c r="M101" s="205">
        <v>762</v>
      </c>
      <c r="N101" s="205">
        <v>745</v>
      </c>
      <c r="O101" s="376">
        <v>917</v>
      </c>
      <c r="P101" s="205">
        <v>875</v>
      </c>
      <c r="Q101" s="205">
        <v>836</v>
      </c>
      <c r="R101" s="205">
        <v>872</v>
      </c>
      <c r="S101" s="376">
        <v>982</v>
      </c>
      <c r="T101" s="205">
        <v>905</v>
      </c>
      <c r="U101" s="205">
        <v>899</v>
      </c>
      <c r="V101" s="205">
        <v>909</v>
      </c>
      <c r="W101" s="205">
        <v>1014</v>
      </c>
      <c r="X101" s="205">
        <v>1045</v>
      </c>
      <c r="Y101" s="205">
        <v>1027</v>
      </c>
      <c r="Z101" s="377">
        <v>1131</v>
      </c>
      <c r="AA101" s="205">
        <v>1146</v>
      </c>
      <c r="AB101" s="205">
        <v>1141</v>
      </c>
      <c r="AC101" s="205">
        <v>1138</v>
      </c>
      <c r="AD101" s="377">
        <f>1151+36</f>
        <v>1187</v>
      </c>
      <c r="AE101" s="376">
        <v>1392.5</v>
      </c>
      <c r="AF101" s="376">
        <v>1289</v>
      </c>
      <c r="AG101" s="376">
        <v>1305</v>
      </c>
      <c r="AH101" s="376">
        <v>1480.9480000000001</v>
      </c>
      <c r="AI101" s="376">
        <v>1664.1</v>
      </c>
      <c r="AJ101" s="376">
        <v>1595.97</v>
      </c>
      <c r="AK101" s="376">
        <f>1455.725+24</f>
        <v>1479.7249999999999</v>
      </c>
      <c r="AL101" s="376">
        <v>1708</v>
      </c>
      <c r="AM101" s="376">
        <v>1753.672</v>
      </c>
      <c r="AN101" s="376">
        <v>1779.12</v>
      </c>
      <c r="AO101" s="376">
        <v>1825.9169999999999</v>
      </c>
      <c r="AP101" s="376">
        <v>1865.9</v>
      </c>
      <c r="AQ101" s="376">
        <v>2091.5</v>
      </c>
      <c r="AR101" s="376"/>
      <c r="AS101" s="376"/>
      <c r="AT101" s="376"/>
      <c r="AU101" s="376"/>
      <c r="AV101" s="376"/>
      <c r="AW101" s="376"/>
      <c r="AX101" s="376"/>
      <c r="AY101" s="376"/>
      <c r="AZ101" s="376"/>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203"/>
      <c r="BX101" s="337">
        <f t="shared" ref="BX101:CR101" si="305">W101/S101-1</f>
        <v>3.2586558044806591E-2</v>
      </c>
      <c r="BY101" s="337">
        <f t="shared" si="305"/>
        <v>0.15469613259668513</v>
      </c>
      <c r="BZ101" s="337">
        <f t="shared" si="305"/>
        <v>0.14238042269187989</v>
      </c>
      <c r="CA101" s="337">
        <f t="shared" si="305"/>
        <v>0.24422442244224429</v>
      </c>
      <c r="CB101" s="337">
        <f t="shared" si="305"/>
        <v>0.13017751479289941</v>
      </c>
      <c r="CC101" s="337">
        <f t="shared" si="305"/>
        <v>9.1866028708133873E-2</v>
      </c>
      <c r="CD101" s="337">
        <f t="shared" si="305"/>
        <v>0.10808179162609544</v>
      </c>
      <c r="CE101" s="337">
        <f t="shared" si="305"/>
        <v>4.9513704686118487E-2</v>
      </c>
      <c r="CF101" s="337">
        <f t="shared" si="305"/>
        <v>0.2150959860383943</v>
      </c>
      <c r="CG101" s="337">
        <f t="shared" si="305"/>
        <v>0.12971078001752856</v>
      </c>
      <c r="CH101" s="337">
        <f t="shared" si="305"/>
        <v>0.14674868189806678</v>
      </c>
      <c r="CI101" s="337">
        <f t="shared" si="305"/>
        <v>0.24763942712721154</v>
      </c>
      <c r="CJ101" s="337">
        <f t="shared" si="305"/>
        <v>0.19504488330341108</v>
      </c>
      <c r="CK101" s="337">
        <f t="shared" si="305"/>
        <v>0.23814584949573314</v>
      </c>
      <c r="CL101" s="337">
        <f t="shared" si="305"/>
        <v>0.13388888888888872</v>
      </c>
      <c r="CM101" s="337">
        <f t="shared" si="305"/>
        <v>0.15331530884271416</v>
      </c>
      <c r="CN101" s="337">
        <f t="shared" si="305"/>
        <v>5.3826092181960217E-2</v>
      </c>
      <c r="CO101" s="337">
        <f t="shared" si="305"/>
        <v>0.11475779619917659</v>
      </c>
      <c r="CP101" s="337">
        <f t="shared" si="305"/>
        <v>0.23395698525063779</v>
      </c>
      <c r="CQ101" s="337">
        <f t="shared" si="305"/>
        <v>9.2447306791569206E-2</v>
      </c>
      <c r="CR101" s="337">
        <f t="shared" si="305"/>
        <v>0.19264035691965198</v>
      </c>
      <c r="CS101" s="337"/>
      <c r="CT101" s="337"/>
      <c r="CU101" s="337"/>
      <c r="CV101" s="337"/>
      <c r="CW101" s="337"/>
      <c r="CX101" s="337"/>
      <c r="CY101" s="337"/>
      <c r="CZ101" s="337"/>
      <c r="DA101" s="337"/>
      <c r="DB101" s="337"/>
      <c r="DC101" s="337"/>
      <c r="DD101" s="337"/>
      <c r="DE101" s="337"/>
      <c r="DF101" s="203"/>
      <c r="DG101" s="203"/>
      <c r="DH101" s="203"/>
      <c r="DI101" s="203"/>
      <c r="DJ101" s="203"/>
      <c r="DK101" s="203"/>
      <c r="DL101" s="203"/>
      <c r="DM101" s="203"/>
      <c r="DN101" s="203"/>
      <c r="DO101" s="203"/>
      <c r="DP101" s="203"/>
      <c r="DQ101" s="203"/>
      <c r="DR101" s="203"/>
      <c r="DS101" s="203"/>
      <c r="DT101" s="203"/>
      <c r="DV101" s="203"/>
      <c r="DW101" s="203"/>
      <c r="DX101" s="203"/>
      <c r="DY101" s="203"/>
      <c r="DZ101" s="203"/>
      <c r="EA101" s="203"/>
      <c r="EB101" s="203"/>
      <c r="EX101" s="376"/>
      <c r="EY101" s="376"/>
      <c r="EZ101" s="376"/>
      <c r="FA101" s="587"/>
      <c r="FB101" s="203"/>
      <c r="FC101" s="203"/>
      <c r="FD101" s="574"/>
    </row>
    <row r="102" spans="1:160">
      <c r="A102" s="203"/>
      <c r="B102" s="340" t="s">
        <v>200</v>
      </c>
      <c r="C102" s="205"/>
      <c r="D102" s="205"/>
      <c r="E102" s="205"/>
      <c r="F102" s="205"/>
      <c r="G102" s="205"/>
      <c r="H102" s="205"/>
      <c r="I102" s="205"/>
      <c r="J102" s="205"/>
      <c r="K102" s="205"/>
      <c r="L102" s="205"/>
      <c r="M102" s="205"/>
      <c r="N102" s="205"/>
      <c r="O102" s="376"/>
      <c r="P102" s="205"/>
      <c r="Q102" s="205"/>
      <c r="R102" s="205"/>
      <c r="S102" s="376"/>
      <c r="T102" s="205"/>
      <c r="U102" s="205"/>
      <c r="V102" s="205"/>
      <c r="W102" s="205"/>
      <c r="X102" s="205"/>
      <c r="Y102" s="205"/>
      <c r="Z102" s="205"/>
      <c r="AA102" s="205"/>
      <c r="AB102" s="205"/>
      <c r="AC102" s="205"/>
      <c r="AD102" s="205"/>
      <c r="AE102" s="376"/>
      <c r="AF102" s="376"/>
      <c r="AG102" s="376"/>
      <c r="AH102" s="376"/>
      <c r="AI102" s="376"/>
      <c r="AJ102" s="376"/>
      <c r="AK102" s="376"/>
      <c r="AL102" s="376"/>
      <c r="AM102" s="376"/>
      <c r="AN102" s="376"/>
      <c r="AO102" s="376"/>
      <c r="AP102" s="376"/>
      <c r="AQ102" s="338"/>
      <c r="AR102" s="376"/>
      <c r="AS102" s="376"/>
      <c r="AT102" s="376"/>
      <c r="AU102" s="376"/>
      <c r="AV102" s="376"/>
      <c r="AW102" s="376"/>
      <c r="AX102" s="376"/>
      <c r="AY102" s="376"/>
      <c r="AZ102" s="376"/>
      <c r="BA102" s="376"/>
      <c r="BB102" s="376"/>
      <c r="BC102" s="376"/>
      <c r="BD102" s="376"/>
      <c r="BE102" s="376"/>
      <c r="BF102" s="376"/>
      <c r="BG102" s="376"/>
      <c r="BH102" s="376"/>
      <c r="BI102" s="376"/>
      <c r="BJ102" s="376"/>
      <c r="BK102" s="376"/>
      <c r="BL102" s="376"/>
      <c r="BN102" s="376"/>
      <c r="BO102" s="376"/>
      <c r="BP102" s="376"/>
      <c r="BQ102" s="376"/>
      <c r="BR102" s="376"/>
      <c r="BS102" s="376"/>
      <c r="BT102" s="376"/>
      <c r="BU102" s="376"/>
      <c r="BV102" s="376"/>
      <c r="BW102" s="203"/>
      <c r="BX102" s="337"/>
      <c r="BY102" s="337"/>
      <c r="BZ102" s="337"/>
      <c r="CA102" s="337"/>
      <c r="CB102" s="337"/>
      <c r="CC102" s="337"/>
      <c r="CD102" s="337"/>
      <c r="CE102" s="337"/>
      <c r="CF102" s="337"/>
      <c r="CG102" s="337"/>
      <c r="CH102" s="337"/>
      <c r="CI102" s="337"/>
      <c r="CJ102" s="337"/>
      <c r="CK102" s="337"/>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203"/>
      <c r="DG102" s="203"/>
      <c r="DH102" s="203"/>
      <c r="DI102" s="203"/>
      <c r="DJ102" s="203"/>
      <c r="DK102" s="203"/>
      <c r="DL102" s="203"/>
      <c r="DM102" s="203"/>
      <c r="DN102" s="203"/>
      <c r="DO102" s="203"/>
      <c r="DP102" s="203"/>
      <c r="DQ102" s="203"/>
      <c r="DR102" s="203"/>
      <c r="DS102" s="203"/>
      <c r="DT102" s="203"/>
      <c r="DV102" s="203"/>
      <c r="DW102" s="203"/>
      <c r="DX102" s="203"/>
      <c r="DY102" s="203"/>
      <c r="DZ102" s="203"/>
      <c r="EA102" s="203"/>
      <c r="EB102" s="203"/>
      <c r="EX102" s="376"/>
      <c r="EY102" s="376"/>
      <c r="EZ102" s="376"/>
      <c r="FA102" s="587"/>
      <c r="FB102" s="203"/>
      <c r="FC102" s="203"/>
      <c r="FD102" s="574"/>
    </row>
    <row r="103" spans="1:160">
      <c r="A103" s="203"/>
      <c r="B103" s="341" t="s">
        <v>1371</v>
      </c>
      <c r="C103" s="205"/>
      <c r="D103" s="205"/>
      <c r="E103" s="205"/>
      <c r="F103" s="205"/>
      <c r="G103" s="205"/>
      <c r="H103" s="205"/>
      <c r="I103" s="205"/>
      <c r="J103" s="205"/>
      <c r="K103" s="205"/>
      <c r="L103" s="205"/>
      <c r="M103" s="205"/>
      <c r="N103" s="205"/>
      <c r="O103" s="376"/>
      <c r="P103" s="205"/>
      <c r="Q103" s="205"/>
      <c r="R103" s="205"/>
      <c r="S103" s="376"/>
      <c r="T103" s="205"/>
      <c r="U103" s="205"/>
      <c r="V103" s="205"/>
      <c r="W103" s="205">
        <f t="shared" ref="W103:AU103" si="306">W57-W61-W62-W63</f>
        <v>2305.1999999999998</v>
      </c>
      <c r="X103" s="376">
        <f t="shared" si="306"/>
        <v>2348.1999999999998</v>
      </c>
      <c r="Y103" s="376">
        <f t="shared" si="306"/>
        <v>2367.1</v>
      </c>
      <c r="Z103" s="376">
        <f t="shared" ca="1" si="306"/>
        <v>2502.6379999999999</v>
      </c>
      <c r="AA103" s="376">
        <f t="shared" si="306"/>
        <v>2482.4</v>
      </c>
      <c r="AB103" s="376">
        <f t="shared" si="306"/>
        <v>2554.3249999999998</v>
      </c>
      <c r="AC103" s="376">
        <f t="shared" si="306"/>
        <v>2606</v>
      </c>
      <c r="AD103" s="376">
        <f t="shared" si="306"/>
        <v>2745.7530000000002</v>
      </c>
      <c r="AE103" s="376">
        <f t="shared" si="306"/>
        <v>2909.4</v>
      </c>
      <c r="AF103" s="376">
        <f t="shared" si="306"/>
        <v>2921</v>
      </c>
      <c r="AG103" s="376">
        <f t="shared" si="306"/>
        <v>3061</v>
      </c>
      <c r="AH103" s="376">
        <f t="shared" si="306"/>
        <v>3389.6260000000007</v>
      </c>
      <c r="AI103" s="376">
        <f t="shared" si="306"/>
        <v>3529.7890000000002</v>
      </c>
      <c r="AJ103" s="376">
        <f t="shared" si="306"/>
        <v>3630.5670000000005</v>
      </c>
      <c r="AK103" s="376">
        <f t="shared" si="306"/>
        <v>3619.3</v>
      </c>
      <c r="AL103" s="376">
        <f t="shared" si="306"/>
        <v>3708.1509999999998</v>
      </c>
      <c r="AM103" s="376">
        <f t="shared" si="306"/>
        <v>3746.0320000000006</v>
      </c>
      <c r="AN103" s="376">
        <f t="shared" si="306"/>
        <v>3732.3820000000001</v>
      </c>
      <c r="AO103" s="376">
        <f t="shared" si="306"/>
        <v>3836.9519999999993</v>
      </c>
      <c r="AP103" s="376">
        <f t="shared" si="306"/>
        <v>4024.799</v>
      </c>
      <c r="AQ103" s="376">
        <f t="shared" si="306"/>
        <v>4248.8999999999996</v>
      </c>
      <c r="AR103" s="376">
        <f t="shared" si="306"/>
        <v>4381.9839999999995</v>
      </c>
      <c r="AS103" s="376">
        <f t="shared" si="306"/>
        <v>4386.9660000000003</v>
      </c>
      <c r="AT103" s="376">
        <f t="shared" si="306"/>
        <v>4518.5969999999998</v>
      </c>
      <c r="AU103" s="378">
        <f t="shared" si="306"/>
        <v>4642</v>
      </c>
      <c r="AV103" s="378">
        <v>4886.9570000000003</v>
      </c>
      <c r="AW103" s="378">
        <v>4800</v>
      </c>
      <c r="AX103" s="378">
        <v>4854.9830000000002</v>
      </c>
      <c r="AY103" s="378">
        <v>5010.5150000000003</v>
      </c>
      <c r="AZ103" s="378">
        <v>4952.9610000000002</v>
      </c>
      <c r="BA103" s="378">
        <v>5123.9129999999996</v>
      </c>
      <c r="BB103" s="378">
        <v>5267.9489999999996</v>
      </c>
      <c r="BC103" s="378">
        <v>5458.9</v>
      </c>
      <c r="BD103" s="378">
        <v>5544</v>
      </c>
      <c r="BE103" s="378">
        <v>5624.4920000000002</v>
      </c>
      <c r="BF103" s="378">
        <v>5912.8119999999999</v>
      </c>
      <c r="BG103" s="378">
        <v>6022.0550000000003</v>
      </c>
      <c r="BH103" s="378">
        <v>6104.3189999999995</v>
      </c>
      <c r="BI103" s="378">
        <v>6133.61</v>
      </c>
      <c r="BJ103" s="378">
        <v>6308</v>
      </c>
      <c r="BK103" s="378">
        <v>6516.4530000000004</v>
      </c>
      <c r="BL103" s="378">
        <v>6717.518</v>
      </c>
      <c r="BM103" s="378">
        <v>6907.5460000000003</v>
      </c>
      <c r="BN103" s="378">
        <v>7167.9380000000001</v>
      </c>
      <c r="BO103" s="378">
        <v>7330.2929999999997</v>
      </c>
      <c r="BP103" s="376">
        <f t="shared" ref="BP103:BR103" si="307">BP57-BP61-BP62-BP63</f>
        <v>7505</v>
      </c>
      <c r="BQ103" s="376">
        <f t="shared" si="307"/>
        <v>7665</v>
      </c>
      <c r="BR103" s="376">
        <f t="shared" si="307"/>
        <v>7821.7455653905981</v>
      </c>
      <c r="BS103" s="376"/>
      <c r="BT103" s="376"/>
      <c r="BU103" s="376"/>
      <c r="BV103" s="376"/>
      <c r="BW103" s="203"/>
      <c r="BX103" s="337"/>
      <c r="BY103" s="337"/>
      <c r="BZ103" s="337"/>
      <c r="CA103" s="337"/>
      <c r="CB103" s="337"/>
      <c r="CC103" s="337"/>
      <c r="CD103" s="337"/>
      <c r="CE103" s="337"/>
      <c r="CF103" s="363">
        <f t="shared" ref="CF103:DS103" si="308">AE103/AA103-1</f>
        <v>0.17201095713825332</v>
      </c>
      <c r="CG103" s="363">
        <f t="shared" si="308"/>
        <v>0.14355064449512112</v>
      </c>
      <c r="CH103" s="363">
        <f t="shared" si="308"/>
        <v>0.17459708365310811</v>
      </c>
      <c r="CI103" s="363">
        <f t="shared" si="308"/>
        <v>0.23449778621747863</v>
      </c>
      <c r="CJ103" s="363">
        <f t="shared" si="308"/>
        <v>0.21323606241836801</v>
      </c>
      <c r="CK103" s="363">
        <f t="shared" si="308"/>
        <v>0.24291920575145509</v>
      </c>
      <c r="CL103" s="363">
        <f t="shared" si="308"/>
        <v>0.18239137536752703</v>
      </c>
      <c r="CM103" s="363">
        <f t="shared" si="308"/>
        <v>9.397054424293394E-2</v>
      </c>
      <c r="CN103" s="362">
        <f t="shared" si="308"/>
        <v>6.1262302080945963E-2</v>
      </c>
      <c r="CO103" s="362">
        <f t="shared" si="308"/>
        <v>2.8043828966660023E-2</v>
      </c>
      <c r="CP103" s="362">
        <f t="shared" si="308"/>
        <v>6.0136490481584648E-2</v>
      </c>
      <c r="CQ103" s="362">
        <f t="shared" si="308"/>
        <v>8.5392423339826218E-2</v>
      </c>
      <c r="CR103" s="362">
        <f t="shared" si="308"/>
        <v>0.13424017733964866</v>
      </c>
      <c r="CS103" s="362">
        <f t="shared" si="308"/>
        <v>0.17404488608079216</v>
      </c>
      <c r="CT103" s="362">
        <f t="shared" si="308"/>
        <v>0.14334659385887583</v>
      </c>
      <c r="CU103" s="362">
        <f t="shared" si="308"/>
        <v>0.12268885974181565</v>
      </c>
      <c r="CV103" s="362">
        <f t="shared" si="308"/>
        <v>9.2518063498788106E-2</v>
      </c>
      <c r="CW103" s="362">
        <f t="shared" si="308"/>
        <v>0.11523843993953453</v>
      </c>
      <c r="CX103" s="362">
        <f t="shared" si="308"/>
        <v>9.4150262390909623E-2</v>
      </c>
      <c r="CY103" s="362">
        <f t="shared" si="308"/>
        <v>7.4444788946657736E-2</v>
      </c>
      <c r="CZ103" s="362">
        <f t="shared" si="308"/>
        <v>7.9387117621714909E-2</v>
      </c>
      <c r="DA103" s="362">
        <f t="shared" si="308"/>
        <v>1.350615526185317E-2</v>
      </c>
      <c r="DB103" s="362">
        <f t="shared" si="308"/>
        <v>6.7481874999999913E-2</v>
      </c>
      <c r="DC103" s="362">
        <f t="shared" si="308"/>
        <v>8.5060236050259919E-2</v>
      </c>
      <c r="DD103" s="362">
        <f t="shared" si="308"/>
        <v>8.9488805042994501E-2</v>
      </c>
      <c r="DE103" s="362">
        <f t="shared" si="308"/>
        <v>0.11933043688411837</v>
      </c>
      <c r="DF103" s="362">
        <f t="shared" si="308"/>
        <v>9.7694672021168438E-2</v>
      </c>
      <c r="DG103" s="362">
        <f t="shared" si="308"/>
        <v>0.12241253664376783</v>
      </c>
      <c r="DH103" s="362">
        <f t="shared" si="308"/>
        <v>0.10316272509113578</v>
      </c>
      <c r="DI103" s="362">
        <f t="shared" si="308"/>
        <v>0.10106764069264051</v>
      </c>
      <c r="DJ103" s="362">
        <f t="shared" si="308"/>
        <v>9.0518041451565612E-2</v>
      </c>
      <c r="DK103" s="362">
        <f t="shared" si="308"/>
        <v>6.6835881134052588E-2</v>
      </c>
      <c r="DL103" s="362">
        <f t="shared" si="308"/>
        <v>8.2097888511479811E-2</v>
      </c>
      <c r="DM103" s="362">
        <f t="shared" si="308"/>
        <v>0.10045330199814262</v>
      </c>
      <c r="DN103" s="362">
        <f t="shared" si="308"/>
        <v>0.12617952559748669</v>
      </c>
      <c r="DO103" s="362">
        <f t="shared" si="308"/>
        <v>0.1363249841471148</v>
      </c>
      <c r="DP103" s="362">
        <f t="shared" si="308"/>
        <v>0.12489002836358964</v>
      </c>
      <c r="DQ103" s="362">
        <f t="shared" si="308"/>
        <v>0.11722811907612307</v>
      </c>
      <c r="DR103" s="362">
        <f t="shared" si="308"/>
        <v>0.10965601966313354</v>
      </c>
      <c r="DS103" s="362">
        <f t="shared" si="308"/>
        <v>9.1212781889379979E-2</v>
      </c>
      <c r="DT103" s="203"/>
      <c r="DV103" s="203"/>
      <c r="DW103" s="203"/>
      <c r="DX103" s="203"/>
      <c r="DY103" s="203"/>
      <c r="DZ103" s="203"/>
      <c r="EA103" s="203"/>
      <c r="EB103" s="203"/>
      <c r="EX103" s="376">
        <v>6466.2049149999993</v>
      </c>
      <c r="EY103" s="376">
        <v>6661.3286689999995</v>
      </c>
      <c r="EZ103" s="376">
        <v>6892.1370120000001</v>
      </c>
      <c r="FA103" s="587">
        <v>7038.8037108040735</v>
      </c>
      <c r="FB103" s="362">
        <v>9.1248453594905632E-2</v>
      </c>
      <c r="FC103" s="362">
        <v>0.12366730392052983</v>
      </c>
      <c r="FD103" s="589">
        <v>0.11585347349462172</v>
      </c>
    </row>
    <row r="104" spans="1:160">
      <c r="A104" s="203"/>
      <c r="B104" s="341"/>
      <c r="C104" s="205"/>
      <c r="D104" s="205"/>
      <c r="E104" s="205"/>
      <c r="F104" s="205"/>
      <c r="G104" s="205"/>
      <c r="H104" s="205"/>
      <c r="I104" s="205"/>
      <c r="J104" s="205"/>
      <c r="K104" s="205"/>
      <c r="L104" s="205"/>
      <c r="M104" s="205"/>
      <c r="N104" s="205"/>
      <c r="O104" s="376"/>
      <c r="P104" s="205"/>
      <c r="Q104" s="205"/>
      <c r="R104" s="205"/>
      <c r="S104" s="376"/>
      <c r="T104" s="205"/>
      <c r="U104" s="205"/>
      <c r="V104" s="205"/>
      <c r="W104" s="336">
        <f t="shared" ref="W104:AT104" si="309">W52+W53+W54+W55+W60</f>
        <v>2305.1999999999998</v>
      </c>
      <c r="X104" s="336">
        <f t="shared" si="309"/>
        <v>2348.1999999999998</v>
      </c>
      <c r="Y104" s="336">
        <f t="shared" si="309"/>
        <v>2367.1</v>
      </c>
      <c r="Z104" s="336">
        <f t="shared" ca="1" si="309"/>
        <v>2502.6379999999999</v>
      </c>
      <c r="AA104" s="336">
        <f t="shared" si="309"/>
        <v>2482.4000000000005</v>
      </c>
      <c r="AB104" s="336">
        <f t="shared" si="309"/>
        <v>2554.3249999999998</v>
      </c>
      <c r="AC104" s="336">
        <f t="shared" si="309"/>
        <v>2606</v>
      </c>
      <c r="AD104" s="336">
        <f t="shared" si="309"/>
        <v>2745.7530000000002</v>
      </c>
      <c r="AE104" s="336">
        <f t="shared" si="309"/>
        <v>2909.4</v>
      </c>
      <c r="AF104" s="336">
        <f t="shared" si="309"/>
        <v>2920.9999999999995</v>
      </c>
      <c r="AG104" s="336">
        <f t="shared" si="309"/>
        <v>3061</v>
      </c>
      <c r="AH104" s="336">
        <f t="shared" si="309"/>
        <v>3389.6260000000007</v>
      </c>
      <c r="AI104" s="336">
        <f t="shared" si="309"/>
        <v>3529.7890000000002</v>
      </c>
      <c r="AJ104" s="336">
        <f t="shared" si="309"/>
        <v>3630.5670000000005</v>
      </c>
      <c r="AK104" s="336">
        <f t="shared" si="309"/>
        <v>3619.3</v>
      </c>
      <c r="AL104" s="336">
        <f t="shared" si="309"/>
        <v>3708.1509999999998</v>
      </c>
      <c r="AM104" s="336">
        <f t="shared" si="309"/>
        <v>3746.0320000000011</v>
      </c>
      <c r="AN104" s="336">
        <f t="shared" si="309"/>
        <v>3732.3820000000001</v>
      </c>
      <c r="AO104" s="336">
        <f t="shared" si="309"/>
        <v>3836.9519999999993</v>
      </c>
      <c r="AP104" s="336">
        <f t="shared" si="309"/>
        <v>4024.799</v>
      </c>
      <c r="AQ104" s="336">
        <f t="shared" si="309"/>
        <v>4248.8999999999996</v>
      </c>
      <c r="AR104" s="336">
        <f t="shared" si="309"/>
        <v>4381.9839999999995</v>
      </c>
      <c r="AS104" s="336">
        <f t="shared" si="309"/>
        <v>4386.9660000000013</v>
      </c>
      <c r="AT104" s="336">
        <f t="shared" si="309"/>
        <v>4518.5969999999998</v>
      </c>
      <c r="AU104" s="336">
        <f t="shared" ref="AU104:BL104" si="310">AU52+AU53+AU54+AU55+AU60</f>
        <v>4641.9999999999991</v>
      </c>
      <c r="AV104" s="336">
        <f t="shared" si="310"/>
        <v>4886.9570000000003</v>
      </c>
      <c r="AW104" s="336">
        <f t="shared" si="310"/>
        <v>4800</v>
      </c>
      <c r="AX104" s="336">
        <f t="shared" si="310"/>
        <v>4854.9830000000002</v>
      </c>
      <c r="AY104" s="336">
        <f t="shared" si="310"/>
        <v>5010.5150000000003</v>
      </c>
      <c r="AZ104" s="336">
        <f t="shared" si="310"/>
        <v>4952.9609999999993</v>
      </c>
      <c r="BA104" s="336">
        <f t="shared" si="310"/>
        <v>5123.9129999999996</v>
      </c>
      <c r="BB104" s="336">
        <f t="shared" si="310"/>
        <v>5267.9489999999987</v>
      </c>
      <c r="BC104" s="336">
        <f t="shared" si="310"/>
        <v>5458.9</v>
      </c>
      <c r="BD104" s="336">
        <f t="shared" si="310"/>
        <v>5544</v>
      </c>
      <c r="BE104" s="336">
        <f t="shared" si="310"/>
        <v>5624.4919999999993</v>
      </c>
      <c r="BF104" s="336">
        <f t="shared" si="310"/>
        <v>5912.8119999999999</v>
      </c>
      <c r="BG104" s="336">
        <f t="shared" si="310"/>
        <v>6022.0550000000003</v>
      </c>
      <c r="BH104" s="336">
        <f t="shared" si="310"/>
        <v>6104.3189999999995</v>
      </c>
      <c r="BI104" s="336">
        <f t="shared" si="310"/>
        <v>6133.61</v>
      </c>
      <c r="BJ104" s="336">
        <f t="shared" si="310"/>
        <v>6308</v>
      </c>
      <c r="BK104" s="336">
        <f t="shared" si="310"/>
        <v>6516.4530000000013</v>
      </c>
      <c r="BL104" s="336">
        <f t="shared" si="310"/>
        <v>6717.518</v>
      </c>
      <c r="BM104" s="336">
        <f>BM52+BM53+BM54+BM55+BM60</f>
        <v>6907.5460000000003</v>
      </c>
      <c r="BN104" s="336">
        <f>BN52+BN53+BN54+BN55+BN60</f>
        <v>7167.938000000001</v>
      </c>
      <c r="BO104" s="336">
        <f>BO52+BO53+BO54+BO55+BO60</f>
        <v>7330.2930000000006</v>
      </c>
      <c r="BP104" s="376"/>
      <c r="BQ104" s="376"/>
      <c r="BR104" s="376"/>
      <c r="BS104" s="376"/>
      <c r="BT104" s="376"/>
      <c r="BU104" s="376"/>
      <c r="BV104" s="376"/>
      <c r="BW104" s="203"/>
      <c r="BX104" s="337"/>
      <c r="BY104" s="337"/>
      <c r="BZ104" s="337"/>
      <c r="CA104" s="337"/>
      <c r="CB104" s="337"/>
      <c r="CC104" s="337"/>
      <c r="CD104" s="337"/>
      <c r="CE104" s="337"/>
      <c r="CF104" s="363"/>
      <c r="CG104" s="363"/>
      <c r="CH104" s="363"/>
      <c r="CI104" s="363"/>
      <c r="CJ104" s="363"/>
      <c r="CK104" s="363"/>
      <c r="CL104" s="363"/>
      <c r="CM104" s="363"/>
      <c r="CN104" s="362"/>
      <c r="CO104" s="362"/>
      <c r="CP104" s="362"/>
      <c r="CQ104" s="362"/>
      <c r="CR104" s="362"/>
      <c r="CS104" s="362"/>
      <c r="CT104" s="362"/>
      <c r="CU104" s="362"/>
      <c r="CV104" s="362"/>
      <c r="CW104" s="362"/>
      <c r="CX104" s="362"/>
      <c r="CY104" s="362"/>
      <c r="CZ104" s="362"/>
      <c r="DA104" s="362"/>
      <c r="DB104" s="362"/>
      <c r="DC104" s="362"/>
      <c r="DD104" s="362"/>
      <c r="DE104" s="362"/>
      <c r="DF104" s="362"/>
      <c r="DG104" s="362"/>
      <c r="DH104" s="362"/>
      <c r="DI104" s="362"/>
      <c r="DJ104" s="362"/>
      <c r="DK104" s="362"/>
      <c r="DL104" s="362"/>
      <c r="DM104" s="362"/>
      <c r="DN104" s="362"/>
      <c r="DO104" s="362"/>
      <c r="DP104" s="362"/>
      <c r="DQ104" s="362"/>
      <c r="DR104" s="362"/>
      <c r="DS104" s="362"/>
      <c r="DT104" s="203"/>
      <c r="DV104" s="203"/>
      <c r="DW104" s="203"/>
      <c r="DX104" s="203"/>
      <c r="DY104" s="203"/>
      <c r="DZ104" s="203"/>
      <c r="EA104" s="203"/>
      <c r="EB104" s="203"/>
      <c r="EX104" s="376"/>
      <c r="EY104" s="376"/>
      <c r="EZ104" s="376"/>
      <c r="FA104" s="587"/>
      <c r="FB104" s="362"/>
      <c r="FC104" s="362"/>
      <c r="FD104" s="589"/>
    </row>
    <row r="105" spans="1:160">
      <c r="A105" s="203"/>
      <c r="B105" s="340" t="s">
        <v>1366</v>
      </c>
      <c r="C105" s="205"/>
      <c r="D105" s="205"/>
      <c r="E105" s="205"/>
      <c r="F105" s="205"/>
      <c r="G105" s="205"/>
      <c r="H105" s="205"/>
      <c r="I105" s="205"/>
      <c r="J105" s="205"/>
      <c r="K105" s="205"/>
      <c r="L105" s="205"/>
      <c r="M105" s="205"/>
      <c r="N105" s="205"/>
      <c r="O105" s="376"/>
      <c r="P105" s="205"/>
      <c r="Q105" s="205"/>
      <c r="R105" s="205"/>
      <c r="S105" s="376"/>
      <c r="T105" s="205"/>
      <c r="U105" s="205"/>
      <c r="V105" s="205"/>
      <c r="W105" s="205">
        <f t="shared" ref="W105:AQ105" si="311">W103-W101</f>
        <v>1291.1999999999998</v>
      </c>
      <c r="X105" s="336">
        <f t="shared" si="311"/>
        <v>1303.1999999999998</v>
      </c>
      <c r="Y105" s="336">
        <f t="shared" si="311"/>
        <v>1340.1</v>
      </c>
      <c r="Z105" s="336">
        <f t="shared" ca="1" si="311"/>
        <v>1371.6379999999999</v>
      </c>
      <c r="AA105" s="336">
        <f t="shared" si="311"/>
        <v>1336.4</v>
      </c>
      <c r="AB105" s="336">
        <f t="shared" si="311"/>
        <v>1413.3249999999998</v>
      </c>
      <c r="AC105" s="336">
        <f t="shared" si="311"/>
        <v>1468</v>
      </c>
      <c r="AD105" s="336">
        <f t="shared" si="311"/>
        <v>1558.7530000000002</v>
      </c>
      <c r="AE105" s="336">
        <f t="shared" si="311"/>
        <v>1516.9</v>
      </c>
      <c r="AF105" s="336">
        <f t="shared" si="311"/>
        <v>1632</v>
      </c>
      <c r="AG105" s="336">
        <f t="shared" si="311"/>
        <v>1756</v>
      </c>
      <c r="AH105" s="336">
        <f t="shared" si="311"/>
        <v>1908.6780000000006</v>
      </c>
      <c r="AI105" s="336">
        <f t="shared" si="311"/>
        <v>1865.6890000000003</v>
      </c>
      <c r="AJ105" s="336">
        <f t="shared" si="311"/>
        <v>2034.5970000000004</v>
      </c>
      <c r="AK105" s="336">
        <f t="shared" si="311"/>
        <v>2139.5750000000003</v>
      </c>
      <c r="AL105" s="336">
        <f t="shared" si="311"/>
        <v>2000.1509999999998</v>
      </c>
      <c r="AM105" s="336">
        <f t="shared" si="311"/>
        <v>1992.3600000000006</v>
      </c>
      <c r="AN105" s="336">
        <f t="shared" si="311"/>
        <v>1953.2620000000002</v>
      </c>
      <c r="AO105" s="336">
        <f t="shared" si="311"/>
        <v>2011.0349999999994</v>
      </c>
      <c r="AP105" s="336">
        <f t="shared" si="311"/>
        <v>2158.8989999999999</v>
      </c>
      <c r="AQ105" s="336">
        <f t="shared" si="311"/>
        <v>2157.3999999999996</v>
      </c>
      <c r="AR105" s="336"/>
      <c r="AS105" s="336"/>
      <c r="AT105" s="336"/>
      <c r="AU105" s="337"/>
      <c r="AV105" s="337"/>
      <c r="AW105" s="337"/>
      <c r="AX105" s="337"/>
      <c r="AY105" s="337"/>
      <c r="AZ105" s="379"/>
      <c r="BA105" s="379"/>
      <c r="BB105" s="376"/>
      <c r="BC105" s="376"/>
      <c r="BD105" s="379"/>
      <c r="BE105" s="379"/>
      <c r="BF105" s="336"/>
      <c r="BG105" s="336"/>
      <c r="BH105" s="336"/>
      <c r="BI105" s="336"/>
      <c r="BJ105" s="336"/>
      <c r="BK105" s="336"/>
      <c r="BL105" s="336"/>
      <c r="BM105" s="336"/>
      <c r="BN105" s="376"/>
      <c r="BO105" s="376"/>
      <c r="BP105" s="376"/>
      <c r="BQ105" s="376"/>
      <c r="BR105" s="376"/>
      <c r="BS105" s="376"/>
      <c r="BT105" s="376"/>
      <c r="BU105" s="376"/>
      <c r="BV105" s="376"/>
      <c r="BW105" s="203"/>
      <c r="BX105" s="337"/>
      <c r="BY105" s="337"/>
      <c r="BZ105" s="337"/>
      <c r="CA105" s="337"/>
      <c r="CB105" s="337"/>
      <c r="CC105" s="337"/>
      <c r="CD105" s="337"/>
      <c r="CE105" s="337"/>
      <c r="CF105" s="337">
        <f t="shared" ref="CF105:CR105" si="312">AE105/AA105-1</f>
        <v>0.13506435199042199</v>
      </c>
      <c r="CG105" s="337">
        <f t="shared" si="312"/>
        <v>0.15472378964498623</v>
      </c>
      <c r="CH105" s="337">
        <f t="shared" si="312"/>
        <v>0.19618528610354224</v>
      </c>
      <c r="CI105" s="337">
        <f t="shared" si="312"/>
        <v>0.2244903458084766</v>
      </c>
      <c r="CJ105" s="337">
        <f t="shared" si="312"/>
        <v>0.22993539455468404</v>
      </c>
      <c r="CK105" s="337">
        <f t="shared" si="312"/>
        <v>0.24668933823529438</v>
      </c>
      <c r="CL105" s="337">
        <f t="shared" si="312"/>
        <v>0.21843678815489764</v>
      </c>
      <c r="CM105" s="337">
        <f t="shared" si="312"/>
        <v>4.7924794019734707E-2</v>
      </c>
      <c r="CN105" s="337">
        <f t="shared" si="312"/>
        <v>6.7895024304694074E-2</v>
      </c>
      <c r="CO105" s="337">
        <f t="shared" si="312"/>
        <v>-3.9975975586320156E-2</v>
      </c>
      <c r="CP105" s="337">
        <f t="shared" si="312"/>
        <v>-6.0077351810523538E-2</v>
      </c>
      <c r="CQ105" s="337">
        <f t="shared" si="312"/>
        <v>7.9368007715417521E-2</v>
      </c>
      <c r="CR105" s="337">
        <f t="shared" si="312"/>
        <v>8.2836435182396251E-2</v>
      </c>
      <c r="CS105" s="337"/>
      <c r="CT105" s="337"/>
      <c r="CU105" s="337"/>
      <c r="CV105" s="337"/>
      <c r="CW105" s="337"/>
      <c r="CX105" s="337"/>
      <c r="CY105" s="337"/>
      <c r="CZ105" s="337"/>
      <c r="DA105" s="337"/>
      <c r="DB105" s="337"/>
      <c r="DC105" s="337"/>
      <c r="DD105" s="337"/>
      <c r="DE105" s="337"/>
      <c r="DF105" s="203"/>
      <c r="DG105" s="203"/>
      <c r="DH105" s="203"/>
      <c r="DI105" s="203"/>
      <c r="DJ105" s="203"/>
      <c r="DK105" s="203"/>
      <c r="DL105" s="203"/>
      <c r="DM105" s="203"/>
      <c r="DN105" s="203"/>
      <c r="DO105" s="203"/>
      <c r="DP105" s="203"/>
      <c r="DQ105" s="203"/>
      <c r="DR105" s="203"/>
      <c r="DS105" s="203"/>
      <c r="DT105" s="203"/>
      <c r="DV105" s="203"/>
      <c r="DW105" s="203"/>
      <c r="DX105" s="203"/>
      <c r="DY105" s="203"/>
      <c r="DZ105" s="203"/>
      <c r="EA105" s="203"/>
      <c r="EB105" s="203"/>
      <c r="EX105" s="336"/>
      <c r="EY105" s="336"/>
      <c r="EZ105" s="336"/>
      <c r="FA105" s="587"/>
      <c r="FB105" s="203"/>
      <c r="FC105" s="203"/>
      <c r="FD105" s="574"/>
    </row>
    <row r="106" spans="1:160">
      <c r="A106" s="203"/>
      <c r="B106" s="341" t="s">
        <v>535</v>
      </c>
      <c r="C106" s="205"/>
      <c r="D106" s="205"/>
      <c r="E106" s="205"/>
      <c r="F106" s="205"/>
      <c r="G106" s="205"/>
      <c r="H106" s="205"/>
      <c r="I106" s="205"/>
      <c r="J106" s="205"/>
      <c r="K106" s="205"/>
      <c r="L106" s="362"/>
      <c r="M106" s="362"/>
      <c r="N106" s="362"/>
      <c r="O106" s="362"/>
      <c r="P106" s="362"/>
      <c r="Q106" s="362"/>
      <c r="R106" s="362"/>
      <c r="S106" s="362"/>
      <c r="T106" s="362"/>
      <c r="U106" s="362"/>
      <c r="V106" s="362"/>
      <c r="W106" s="362">
        <f t="shared" ref="W106:AQ106" si="313">W101/W103</f>
        <v>0.43987506507027591</v>
      </c>
      <c r="X106" s="362">
        <f t="shared" si="313"/>
        <v>0.44502171876330809</v>
      </c>
      <c r="Y106" s="362">
        <f t="shared" si="313"/>
        <v>0.43386422204385117</v>
      </c>
      <c r="Z106" s="362">
        <f t="shared" ca="1" si="313"/>
        <v>0.4519231307124722</v>
      </c>
      <c r="AA106" s="362">
        <f t="shared" si="313"/>
        <v>0.46165001611343859</v>
      </c>
      <c r="AB106" s="362">
        <f t="shared" si="313"/>
        <v>0.44669335342996686</v>
      </c>
      <c r="AC106" s="362">
        <f t="shared" si="313"/>
        <v>0.43668457405986183</v>
      </c>
      <c r="AD106" s="362">
        <f t="shared" si="313"/>
        <v>0.43230399821105536</v>
      </c>
      <c r="AE106" s="362">
        <f t="shared" si="313"/>
        <v>0.47862102151646385</v>
      </c>
      <c r="AF106" s="362">
        <f t="shared" si="313"/>
        <v>0.44128723040054774</v>
      </c>
      <c r="AG106" s="362">
        <f t="shared" si="313"/>
        <v>0.42633126429271478</v>
      </c>
      <c r="AH106" s="362">
        <f t="shared" si="313"/>
        <v>0.43690601854009847</v>
      </c>
      <c r="AI106" s="362">
        <f t="shared" si="313"/>
        <v>0.47144461042855529</v>
      </c>
      <c r="AJ106" s="362">
        <f t="shared" si="313"/>
        <v>0.43959249340392281</v>
      </c>
      <c r="AK106" s="362">
        <f t="shared" si="313"/>
        <v>0.40884287016826454</v>
      </c>
      <c r="AL106" s="362">
        <f t="shared" si="313"/>
        <v>0.46060691703223522</v>
      </c>
      <c r="AM106" s="362">
        <f t="shared" si="313"/>
        <v>0.46814122249890011</v>
      </c>
      <c r="AN106" s="362">
        <f t="shared" si="313"/>
        <v>0.47667146610395184</v>
      </c>
      <c r="AO106" s="362">
        <f t="shared" si="313"/>
        <v>0.47587694607594783</v>
      </c>
      <c r="AP106" s="362">
        <f t="shared" si="313"/>
        <v>0.46360079099602242</v>
      </c>
      <c r="AQ106" s="362">
        <f t="shared" si="313"/>
        <v>0.49224505166042981</v>
      </c>
      <c r="AR106" s="362"/>
      <c r="AS106" s="362"/>
      <c r="AT106" s="362"/>
      <c r="AU106" s="362"/>
      <c r="AV106" s="362"/>
      <c r="AW106" s="362"/>
      <c r="AX106" s="362"/>
      <c r="AY106" s="362"/>
      <c r="AZ106" s="362"/>
      <c r="BA106" s="362"/>
      <c r="BB106" s="362"/>
      <c r="BC106" s="362"/>
      <c r="BD106" s="362"/>
      <c r="BE106" s="362"/>
      <c r="BF106" s="362"/>
      <c r="BG106" s="362"/>
      <c r="BH106" s="376"/>
      <c r="BI106" s="376"/>
      <c r="BJ106" s="376"/>
      <c r="BK106" s="362"/>
      <c r="BL106" s="362"/>
      <c r="BM106" s="362"/>
      <c r="BN106" s="338"/>
      <c r="BO106" s="338"/>
      <c r="BP106" s="338"/>
      <c r="BQ106" s="338"/>
      <c r="BR106" s="338"/>
      <c r="BS106" s="338"/>
      <c r="BT106" s="338"/>
      <c r="BU106" s="338"/>
      <c r="BV106" s="338"/>
      <c r="BW106" s="203"/>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V106" s="203"/>
      <c r="DW106" s="203"/>
      <c r="DX106" s="203"/>
      <c r="DY106" s="203"/>
      <c r="DZ106" s="203"/>
      <c r="EA106" s="203"/>
      <c r="EB106" s="203"/>
      <c r="EX106" s="362"/>
      <c r="EY106" s="362"/>
      <c r="EZ106" s="362"/>
      <c r="FA106" s="578"/>
      <c r="FB106" s="203"/>
      <c r="FC106" s="203"/>
      <c r="FD106" s="574"/>
    </row>
    <row r="107" spans="1:160">
      <c r="A107" s="203"/>
      <c r="B107" s="341" t="s">
        <v>1732</v>
      </c>
      <c r="C107" s="205"/>
      <c r="D107" s="205"/>
      <c r="E107" s="205"/>
      <c r="F107" s="205"/>
      <c r="G107" s="205"/>
      <c r="H107" s="205"/>
      <c r="I107" s="205"/>
      <c r="J107" s="205"/>
      <c r="K107" s="205"/>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76">
        <f t="shared" ref="AQ107:BG107" si="314">AQ103-AQ60</f>
        <v>3895.2999999999997</v>
      </c>
      <c r="AR107" s="376">
        <f t="shared" si="314"/>
        <v>3937.3019999999997</v>
      </c>
      <c r="AS107" s="376">
        <f t="shared" si="314"/>
        <v>4025.3660000000004</v>
      </c>
      <c r="AT107" s="376">
        <f t="shared" si="314"/>
        <v>4130.5969999999998</v>
      </c>
      <c r="AU107" s="376">
        <f t="shared" si="314"/>
        <v>4202.1000000000004</v>
      </c>
      <c r="AV107" s="376">
        <f t="shared" si="314"/>
        <v>4354.26</v>
      </c>
      <c r="AW107" s="376">
        <f t="shared" si="314"/>
        <v>4335</v>
      </c>
      <c r="AX107" s="376">
        <f t="shared" si="314"/>
        <v>4454.317</v>
      </c>
      <c r="AY107" s="376">
        <f t="shared" si="314"/>
        <v>4560.21</v>
      </c>
      <c r="AZ107" s="376">
        <f t="shared" si="314"/>
        <v>4487.7830000000004</v>
      </c>
      <c r="BA107" s="376">
        <f t="shared" si="314"/>
        <v>4646.1129999999994</v>
      </c>
      <c r="BB107" s="376">
        <f t="shared" si="314"/>
        <v>4791.8229999999994</v>
      </c>
      <c r="BC107" s="376">
        <f t="shared" si="314"/>
        <v>4960.8999999999996</v>
      </c>
      <c r="BD107" s="376">
        <f t="shared" si="314"/>
        <v>5033</v>
      </c>
      <c r="BE107" s="376">
        <f t="shared" si="314"/>
        <v>5101.3720000000003</v>
      </c>
      <c r="BF107" s="376">
        <f t="shared" si="314"/>
        <v>5341.2420000000002</v>
      </c>
      <c r="BG107" s="376">
        <f t="shared" si="314"/>
        <v>5423.3630000000003</v>
      </c>
      <c r="BH107" s="376">
        <f>BH103-BH60</f>
        <v>5499.848</v>
      </c>
      <c r="BI107" s="376">
        <f>BI103-BI60</f>
        <v>5431.3499999999995</v>
      </c>
      <c r="BJ107" s="376">
        <f>BJ103-BJ60</f>
        <v>5621</v>
      </c>
      <c r="BK107" s="376">
        <f t="shared" ref="BK107" si="315">BK103-BK60</f>
        <v>5818.8560000000007</v>
      </c>
      <c r="BL107" s="376">
        <f t="shared" ref="BL107:BR107" si="316">BL103-BL60</f>
        <v>6020.732</v>
      </c>
      <c r="BM107" s="376">
        <f>BM103-BM60</f>
        <v>6190.4940000000006</v>
      </c>
      <c r="BN107" s="376">
        <f t="shared" si="316"/>
        <v>6437.4740000000002</v>
      </c>
      <c r="BO107" s="376">
        <f t="shared" si="316"/>
        <v>6581.6109999999999</v>
      </c>
      <c r="BP107" s="376">
        <f t="shared" si="316"/>
        <v>6770</v>
      </c>
      <c r="BQ107" s="376">
        <f t="shared" si="316"/>
        <v>6885</v>
      </c>
      <c r="BR107" s="376">
        <f t="shared" si="316"/>
        <v>7085.4275653905979</v>
      </c>
      <c r="BS107" s="376"/>
      <c r="BT107" s="376"/>
      <c r="BU107" s="376"/>
      <c r="BV107" s="376"/>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362">
        <f t="shared" ref="CV107:DS107" si="317">AU107/AQ107-1</f>
        <v>7.8761584473596491E-2</v>
      </c>
      <c r="CW107" s="362">
        <f t="shared" si="317"/>
        <v>0.10589942046609591</v>
      </c>
      <c r="CX107" s="362">
        <f t="shared" si="317"/>
        <v>7.6920707334438454E-2</v>
      </c>
      <c r="CY107" s="362">
        <f t="shared" si="317"/>
        <v>7.8371237862226772E-2</v>
      </c>
      <c r="CZ107" s="362">
        <f t="shared" si="317"/>
        <v>8.5221674876847286E-2</v>
      </c>
      <c r="DA107" s="362">
        <f t="shared" si="317"/>
        <v>3.0664912063129046E-2</v>
      </c>
      <c r="DB107" s="362">
        <f t="shared" si="317"/>
        <v>7.1767704728950221E-2</v>
      </c>
      <c r="DC107" s="362">
        <f t="shared" si="317"/>
        <v>7.5770539007439242E-2</v>
      </c>
      <c r="DD107" s="362">
        <f t="shared" si="317"/>
        <v>8.7866567548424257E-2</v>
      </c>
      <c r="DE107" s="362">
        <f t="shared" si="317"/>
        <v>0.12148916291184308</v>
      </c>
      <c r="DF107" s="362">
        <f t="shared" si="317"/>
        <v>9.7987070051891001E-2</v>
      </c>
      <c r="DG107" s="362">
        <f t="shared" si="317"/>
        <v>0.11465761569239952</v>
      </c>
      <c r="DH107" s="362">
        <f t="shared" si="317"/>
        <v>9.3221592856135072E-2</v>
      </c>
      <c r="DI107" s="362">
        <f t="shared" si="317"/>
        <v>9.275740115239417E-2</v>
      </c>
      <c r="DJ107" s="362">
        <f t="shared" si="317"/>
        <v>6.4684167318125319E-2</v>
      </c>
      <c r="DK107" s="362">
        <f t="shared" si="317"/>
        <v>5.2376956520599371E-2</v>
      </c>
      <c r="DL107" s="362">
        <f t="shared" si="317"/>
        <v>7.2923940366890427E-2</v>
      </c>
      <c r="DM107" s="362">
        <f t="shared" si="317"/>
        <v>9.4708799224996865E-2</v>
      </c>
      <c r="DN107" s="362">
        <f t="shared" si="317"/>
        <v>0.13977077522163017</v>
      </c>
      <c r="DO107" s="362">
        <f t="shared" si="317"/>
        <v>0.14525422522682807</v>
      </c>
      <c r="DP107" s="362">
        <f t="shared" si="317"/>
        <v>0.13108332634455966</v>
      </c>
      <c r="DQ107" s="362">
        <f t="shared" si="317"/>
        <v>0.12444799070943535</v>
      </c>
      <c r="DR107" s="362">
        <f t="shared" si="317"/>
        <v>0.11218910800979676</v>
      </c>
      <c r="DS107" s="362">
        <f t="shared" si="317"/>
        <v>0.1006533875539688</v>
      </c>
      <c r="DT107" s="203"/>
      <c r="DV107" s="203"/>
      <c r="DW107" s="203"/>
      <c r="DX107" s="203"/>
      <c r="DY107" s="203"/>
      <c r="DZ107" s="203"/>
      <c r="EA107" s="203"/>
      <c r="EB107" s="203"/>
      <c r="EX107" s="376">
        <v>5735.8006749999995</v>
      </c>
      <c r="EY107" s="376">
        <v>5942.0081789999995</v>
      </c>
      <c r="EZ107" s="376">
        <v>6070.4928120000004</v>
      </c>
      <c r="FA107" s="587">
        <v>6315.2387108040739</v>
      </c>
      <c r="FB107" s="362">
        <v>8.039498164312886E-2</v>
      </c>
      <c r="FC107" s="362">
        <v>0.11767660194979168</v>
      </c>
      <c r="FD107" s="589">
        <v>0.12350804319588571</v>
      </c>
    </row>
    <row r="108" spans="1:160">
      <c r="A108" s="203"/>
      <c r="B108" s="340"/>
      <c r="C108" s="203"/>
      <c r="D108" s="203"/>
      <c r="E108" s="203"/>
      <c r="F108" s="203"/>
      <c r="G108" s="203"/>
      <c r="H108" s="203"/>
      <c r="I108" s="203"/>
      <c r="J108" s="203"/>
      <c r="K108" s="203"/>
      <c r="L108" s="203"/>
      <c r="M108" s="203"/>
      <c r="N108" s="203"/>
      <c r="O108" s="336"/>
      <c r="P108" s="203"/>
      <c r="Q108" s="203"/>
      <c r="R108" s="203"/>
      <c r="S108" s="336"/>
      <c r="T108" s="203"/>
      <c r="U108" s="203"/>
      <c r="V108" s="203"/>
      <c r="W108" s="203"/>
      <c r="X108" s="203"/>
      <c r="Y108" s="203"/>
      <c r="Z108" s="203"/>
      <c r="AA108" s="203"/>
      <c r="AB108" s="203"/>
      <c r="AC108" s="203"/>
      <c r="AD108" s="203"/>
      <c r="AE108" s="336"/>
      <c r="AF108" s="336"/>
      <c r="AG108" s="336"/>
      <c r="AH108" s="337"/>
      <c r="AI108" s="337"/>
      <c r="AJ108" s="337"/>
      <c r="AK108" s="337"/>
      <c r="AL108" s="337"/>
      <c r="AM108" s="338"/>
      <c r="AN108" s="338"/>
      <c r="AO108" s="338"/>
      <c r="AP108" s="338"/>
      <c r="AQ108" s="338"/>
      <c r="AR108" s="337"/>
      <c r="AS108" s="337"/>
      <c r="AT108" s="337"/>
      <c r="AU108" s="337"/>
      <c r="AV108" s="337"/>
      <c r="AW108" s="337"/>
      <c r="AX108" s="337"/>
      <c r="AY108" s="337"/>
      <c r="AZ108" s="337"/>
      <c r="BA108" s="337"/>
      <c r="BB108" s="337"/>
      <c r="BC108" s="337"/>
      <c r="BD108" s="337"/>
      <c r="BE108" s="338"/>
      <c r="BF108" s="338"/>
      <c r="BG108" s="338"/>
      <c r="BH108" s="338"/>
      <c r="BI108" s="338"/>
      <c r="BJ108" s="338"/>
      <c r="BK108" s="338"/>
      <c r="BL108" s="337"/>
      <c r="BM108" s="337"/>
      <c r="BN108" s="337"/>
      <c r="BO108" s="337"/>
      <c r="BP108" s="337"/>
      <c r="BQ108" s="337"/>
      <c r="BR108" s="337"/>
      <c r="BS108" s="337"/>
      <c r="BT108" s="337"/>
      <c r="BU108" s="337"/>
      <c r="BV108" s="337"/>
      <c r="BW108" s="203"/>
      <c r="BX108" s="337"/>
      <c r="BY108" s="337"/>
      <c r="BZ108" s="337"/>
      <c r="CA108" s="337"/>
      <c r="CB108" s="337"/>
      <c r="CC108" s="337"/>
      <c r="CD108" s="337"/>
      <c r="CE108" s="337"/>
      <c r="CF108" s="337"/>
      <c r="CG108" s="337"/>
      <c r="CH108" s="337"/>
      <c r="CI108" s="337"/>
      <c r="CJ108" s="337"/>
      <c r="CK108" s="337"/>
      <c r="CL108" s="337"/>
      <c r="CM108" s="337"/>
      <c r="CN108" s="337"/>
      <c r="CO108" s="337"/>
      <c r="CP108" s="337"/>
      <c r="CQ108" s="337"/>
      <c r="CR108" s="337"/>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V108" s="203"/>
      <c r="DW108" s="203"/>
      <c r="DX108" s="203"/>
      <c r="DY108" s="203"/>
      <c r="DZ108" s="203"/>
      <c r="EA108" s="203"/>
      <c r="EB108" s="203"/>
      <c r="EX108" s="337"/>
      <c r="EY108" s="337"/>
      <c r="EZ108" s="337"/>
      <c r="FA108" s="576"/>
      <c r="FB108" s="203"/>
      <c r="FC108" s="203"/>
      <c r="FD108" s="574"/>
    </row>
    <row r="109" spans="1:160">
      <c r="A109" s="203"/>
      <c r="B109" s="340"/>
      <c r="C109" s="203"/>
      <c r="D109" s="203"/>
      <c r="E109" s="203"/>
      <c r="F109" s="203"/>
      <c r="G109" s="203"/>
      <c r="H109" s="203"/>
      <c r="I109" s="203"/>
      <c r="J109" s="203"/>
      <c r="K109" s="203"/>
      <c r="L109" s="203"/>
      <c r="M109" s="203"/>
      <c r="N109" s="203"/>
      <c r="O109" s="336"/>
      <c r="P109" s="203"/>
      <c r="Q109" s="203"/>
      <c r="R109" s="203"/>
      <c r="S109" s="336"/>
      <c r="T109" s="203"/>
      <c r="U109" s="203"/>
      <c r="V109" s="203"/>
      <c r="W109" s="203"/>
      <c r="X109" s="203"/>
      <c r="Y109" s="203"/>
      <c r="Z109" s="203"/>
      <c r="AA109" s="203"/>
      <c r="AB109" s="203"/>
      <c r="AC109" s="203"/>
      <c r="AD109" s="203"/>
      <c r="AE109" s="336"/>
      <c r="AF109" s="336"/>
      <c r="AG109" s="336"/>
      <c r="AH109" s="337"/>
      <c r="AI109" s="337"/>
      <c r="AJ109" s="337"/>
      <c r="AK109" s="337"/>
      <c r="AL109" s="337"/>
      <c r="AM109" s="338"/>
      <c r="AN109" s="338"/>
      <c r="AO109" s="338"/>
      <c r="AP109" s="338"/>
      <c r="AQ109" s="338"/>
      <c r="AR109" s="337"/>
      <c r="AS109" s="337"/>
      <c r="AT109" s="337"/>
      <c r="AU109" s="337"/>
      <c r="AV109" s="337"/>
      <c r="AW109" s="337"/>
      <c r="AX109" s="337"/>
      <c r="AY109" s="337"/>
      <c r="AZ109" s="337"/>
      <c r="BA109" s="337"/>
      <c r="BB109" s="337"/>
      <c r="BC109" s="337"/>
      <c r="BD109" s="337"/>
      <c r="BE109" s="338"/>
      <c r="BF109" s="338"/>
      <c r="BG109" s="338"/>
      <c r="BH109" s="338"/>
      <c r="BI109" s="338"/>
      <c r="BJ109" s="338"/>
      <c r="BK109" s="338"/>
      <c r="BL109" s="337"/>
      <c r="BM109" s="337"/>
      <c r="BN109" s="337"/>
      <c r="BO109" s="337"/>
      <c r="BP109" s="337"/>
      <c r="BQ109" s="337"/>
      <c r="BR109" s="337"/>
      <c r="BS109" s="337"/>
      <c r="BT109" s="337"/>
      <c r="BU109" s="337"/>
      <c r="BV109" s="337"/>
      <c r="BW109" s="203"/>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V109" s="203"/>
      <c r="DW109" s="203"/>
      <c r="DX109" s="203"/>
      <c r="DY109" s="203"/>
      <c r="DZ109" s="203"/>
      <c r="EA109" s="203"/>
      <c r="EB109" s="203"/>
      <c r="EX109" s="337"/>
      <c r="EY109" s="337"/>
      <c r="EZ109" s="337"/>
      <c r="FA109" s="576"/>
      <c r="FB109" s="203"/>
      <c r="FC109" s="203"/>
      <c r="FD109" s="574"/>
    </row>
    <row r="110" spans="1:160">
      <c r="A110" s="203"/>
      <c r="B110" s="340"/>
      <c r="C110" s="203"/>
      <c r="D110" s="203"/>
      <c r="E110" s="203"/>
      <c r="F110" s="203"/>
      <c r="G110" s="203"/>
      <c r="H110" s="203"/>
      <c r="I110" s="203"/>
      <c r="J110" s="203"/>
      <c r="K110" s="203"/>
      <c r="L110" s="203"/>
      <c r="M110" s="203"/>
      <c r="N110" s="203"/>
      <c r="O110" s="336"/>
      <c r="P110" s="203"/>
      <c r="Q110" s="203"/>
      <c r="R110" s="203"/>
      <c r="S110" s="336"/>
      <c r="T110" s="203"/>
      <c r="U110" s="203"/>
      <c r="V110" s="203"/>
      <c r="W110" s="203"/>
      <c r="X110" s="203"/>
      <c r="Y110" s="203"/>
      <c r="Z110" s="203"/>
      <c r="AA110" s="203"/>
      <c r="AB110" s="203"/>
      <c r="AC110" s="203"/>
      <c r="AD110" s="203"/>
      <c r="AE110" s="336"/>
      <c r="AF110" s="336"/>
      <c r="AG110" s="336"/>
      <c r="AH110" s="337"/>
      <c r="AI110" s="337"/>
      <c r="AJ110" s="337"/>
      <c r="AK110" s="337"/>
      <c r="AL110" s="337"/>
      <c r="AM110" s="338"/>
      <c r="AN110" s="338"/>
      <c r="AO110" s="338"/>
      <c r="AP110" s="338"/>
      <c r="AQ110" s="338"/>
      <c r="AR110" s="337"/>
      <c r="AS110" s="337"/>
      <c r="AT110" s="337"/>
      <c r="AU110" s="337"/>
      <c r="AV110" s="337"/>
      <c r="AW110" s="337"/>
      <c r="AX110" s="337"/>
      <c r="AY110" s="337"/>
      <c r="AZ110" s="337"/>
      <c r="BA110" s="337"/>
      <c r="BB110" s="337"/>
      <c r="BC110" s="337"/>
      <c r="BD110" s="337"/>
      <c r="BE110" s="338"/>
      <c r="BF110" s="338"/>
      <c r="BG110" s="338"/>
      <c r="BH110" s="338"/>
      <c r="BI110" s="338"/>
      <c r="BJ110" s="338"/>
      <c r="BK110" s="338"/>
      <c r="BL110" s="337"/>
      <c r="BM110" s="337"/>
      <c r="BN110" s="337"/>
      <c r="BO110" s="337"/>
      <c r="BP110" s="337"/>
      <c r="BQ110" s="337"/>
      <c r="BR110" s="337"/>
      <c r="BS110" s="337"/>
      <c r="BT110" s="337"/>
      <c r="BU110" s="337"/>
      <c r="BV110" s="337"/>
      <c r="BW110" s="203"/>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V110" s="203"/>
      <c r="DW110" s="203"/>
      <c r="DX110" s="203"/>
      <c r="DY110" s="203"/>
      <c r="DZ110" s="203"/>
      <c r="EA110" s="203"/>
      <c r="EB110" s="203"/>
      <c r="EX110" s="337"/>
      <c r="EY110" s="337"/>
      <c r="EZ110" s="337"/>
      <c r="FA110" s="576"/>
      <c r="FB110" s="203"/>
      <c r="FC110" s="203"/>
      <c r="FD110" s="574"/>
    </row>
    <row r="111" spans="1:160">
      <c r="A111" s="203"/>
      <c r="B111" s="341" t="s">
        <v>1370</v>
      </c>
      <c r="C111" s="203"/>
      <c r="D111" s="203"/>
      <c r="E111" s="203"/>
      <c r="F111" s="203"/>
      <c r="G111" s="203"/>
      <c r="H111" s="203"/>
      <c r="I111" s="203"/>
      <c r="J111" s="203"/>
      <c r="K111" s="203"/>
      <c r="L111" s="203"/>
      <c r="M111" s="203"/>
      <c r="N111" s="203"/>
      <c r="O111" s="336"/>
      <c r="P111" s="203"/>
      <c r="Q111" s="203"/>
      <c r="R111" s="203"/>
      <c r="S111" s="336"/>
      <c r="T111" s="203"/>
      <c r="U111" s="203"/>
      <c r="V111" s="203"/>
      <c r="W111" s="203"/>
      <c r="X111" s="203"/>
      <c r="Y111" s="203"/>
      <c r="Z111" s="203"/>
      <c r="AA111" s="203"/>
      <c r="AB111" s="203"/>
      <c r="AC111" s="203"/>
      <c r="AD111" s="203"/>
      <c r="AE111" s="336"/>
      <c r="AF111" s="336"/>
      <c r="AG111" s="336"/>
      <c r="AH111" s="337"/>
      <c r="AI111" s="337"/>
      <c r="AJ111" s="337"/>
      <c r="AK111" s="337"/>
      <c r="AL111" s="337"/>
      <c r="AM111" s="338"/>
      <c r="AN111" s="376">
        <v>1944.0989999999999</v>
      </c>
      <c r="AO111" s="376">
        <v>1974.097</v>
      </c>
      <c r="AP111" s="376">
        <v>1970.8</v>
      </c>
      <c r="AQ111" s="378">
        <f>4592.347-99-AR111</f>
        <v>2244.5059999999999</v>
      </c>
      <c r="AR111" s="378">
        <f>2347.841-99</f>
        <v>2248.8409999999999</v>
      </c>
      <c r="AS111" s="378">
        <v>2188.6260000000002</v>
      </c>
      <c r="AT111" s="378">
        <v>2161.9</v>
      </c>
      <c r="AU111" s="378">
        <v>2366.9209999999998</v>
      </c>
      <c r="AV111" s="378">
        <f>2532.011-79</f>
        <v>2453.011</v>
      </c>
      <c r="AW111" s="378">
        <v>2288</v>
      </c>
      <c r="AX111" s="378">
        <v>2308.6750000000002</v>
      </c>
      <c r="AY111" s="378">
        <v>2589.8719999999998</v>
      </c>
      <c r="AZ111" s="378">
        <v>2537.1190000000001</v>
      </c>
      <c r="BA111" s="378">
        <v>2617.8629999999998</v>
      </c>
      <c r="BB111" s="378">
        <v>2601.5700000000002</v>
      </c>
      <c r="BC111" s="378">
        <v>2836.9349999999999</v>
      </c>
      <c r="BD111" s="378">
        <v>2838</v>
      </c>
      <c r="BE111" s="378">
        <v>2847.819</v>
      </c>
      <c r="BF111" s="378">
        <v>2949.22</v>
      </c>
      <c r="BG111" s="378">
        <v>3060.01</v>
      </c>
      <c r="BH111" s="378">
        <v>3065.346</v>
      </c>
      <c r="BI111" s="378">
        <v>2980.1610000000001</v>
      </c>
      <c r="BJ111" s="378">
        <v>2958</v>
      </c>
      <c r="BK111" s="378">
        <v>3084.652</v>
      </c>
      <c r="BL111" s="378">
        <v>3093.5590000000002</v>
      </c>
      <c r="BM111" s="378">
        <v>3139.6759999999999</v>
      </c>
      <c r="BN111" s="378">
        <v>3295.3020000000001</v>
      </c>
      <c r="BO111" s="378">
        <v>3466.7629999999999</v>
      </c>
      <c r="BP111" s="535">
        <v>3525</v>
      </c>
      <c r="BQ111" s="535">
        <v>3600</v>
      </c>
      <c r="BR111" s="380">
        <f>Fixed!S108-BQ111-BP111-BO111</f>
        <v>3659.595125733581</v>
      </c>
      <c r="BS111" s="380"/>
      <c r="BT111" s="380"/>
      <c r="BU111" s="380"/>
      <c r="BV111" s="380"/>
      <c r="BW111" s="203"/>
      <c r="BX111" s="337"/>
      <c r="BY111" s="337"/>
      <c r="BZ111" s="337"/>
      <c r="CA111" s="337"/>
      <c r="CB111" s="337"/>
      <c r="CC111" s="337"/>
      <c r="CD111" s="337"/>
      <c r="CE111" s="337"/>
      <c r="CF111" s="337"/>
      <c r="CG111" s="337"/>
      <c r="CH111" s="337"/>
      <c r="CI111" s="337"/>
      <c r="CJ111" s="337"/>
      <c r="CK111" s="337"/>
      <c r="CL111" s="337"/>
      <c r="CM111" s="337"/>
      <c r="CN111" s="337"/>
      <c r="CO111" s="337"/>
      <c r="CP111" s="337"/>
      <c r="CQ111" s="337"/>
      <c r="CR111" s="337"/>
      <c r="CS111" s="362">
        <f t="shared" ref="CS111:DS111" si="318">AR111/AN111-1</f>
        <v>0.15675230530955475</v>
      </c>
      <c r="CT111" s="362">
        <f t="shared" si="318"/>
        <v>0.10867196495410325</v>
      </c>
      <c r="CU111" s="362">
        <f t="shared" si="318"/>
        <v>9.6965699208443334E-2</v>
      </c>
      <c r="CV111" s="362">
        <f t="shared" si="318"/>
        <v>5.4539840838028431E-2</v>
      </c>
      <c r="CW111" s="362">
        <f t="shared" si="318"/>
        <v>9.0788988639036727E-2</v>
      </c>
      <c r="CX111" s="362">
        <f t="shared" si="318"/>
        <v>4.5404742518822205E-2</v>
      </c>
      <c r="CY111" s="362">
        <f t="shared" si="318"/>
        <v>6.7891669364910534E-2</v>
      </c>
      <c r="CZ111" s="362">
        <f t="shared" si="318"/>
        <v>9.4194525292563558E-2</v>
      </c>
      <c r="DA111" s="362">
        <f t="shared" si="318"/>
        <v>3.428765708755499E-2</v>
      </c>
      <c r="DB111" s="362">
        <f t="shared" si="318"/>
        <v>0.14417089160839147</v>
      </c>
      <c r="DC111" s="362">
        <f t="shared" si="318"/>
        <v>0.12686714240852437</v>
      </c>
      <c r="DD111" s="362">
        <f t="shared" si="318"/>
        <v>9.5395834234278887E-2</v>
      </c>
      <c r="DE111" s="362">
        <f t="shared" si="318"/>
        <v>0.11859159936920571</v>
      </c>
      <c r="DF111" s="362">
        <f t="shared" si="318"/>
        <v>8.7841113152216099E-2</v>
      </c>
      <c r="DG111" s="362">
        <f t="shared" si="318"/>
        <v>0.13363084598915265</v>
      </c>
      <c r="DH111" s="362">
        <f t="shared" si="318"/>
        <v>7.8632397287918154E-2</v>
      </c>
      <c r="DI111" s="362">
        <f t="shared" si="318"/>
        <v>8.0107822410147911E-2</v>
      </c>
      <c r="DJ111" s="362">
        <f t="shared" si="318"/>
        <v>4.6471352287487333E-2</v>
      </c>
      <c r="DK111" s="362">
        <f t="shared" si="318"/>
        <v>2.9770583408494922E-3</v>
      </c>
      <c r="DL111" s="362">
        <f t="shared" si="318"/>
        <v>8.0529148597552336E-3</v>
      </c>
      <c r="DM111" s="362">
        <f t="shared" si="318"/>
        <v>9.2038549644968271E-3</v>
      </c>
      <c r="DN111" s="362">
        <f t="shared" si="318"/>
        <v>5.3525631668893014E-2</v>
      </c>
      <c r="DO111" s="362">
        <f t="shared" si="318"/>
        <v>0.11403042596348878</v>
      </c>
      <c r="DP111" s="362">
        <f t="shared" si="318"/>
        <v>0.12387491360451675</v>
      </c>
      <c r="DQ111" s="362">
        <f t="shared" si="318"/>
        <v>0.13946428692648172</v>
      </c>
      <c r="DR111" s="362">
        <f t="shared" si="318"/>
        <v>0.14661512844000457</v>
      </c>
      <c r="DS111" s="362">
        <f t="shared" si="318"/>
        <v>0.11054923819837481</v>
      </c>
      <c r="DT111" s="203"/>
      <c r="DV111" s="203"/>
      <c r="DW111" s="203"/>
      <c r="DX111" s="203"/>
      <c r="DY111" s="203"/>
      <c r="DZ111" s="203"/>
      <c r="EA111" s="203"/>
      <c r="EB111" s="203"/>
      <c r="EX111" s="380">
        <f>2974+EV133</f>
        <v>3034</v>
      </c>
      <c r="EY111" s="380">
        <v>3030.9045443949999</v>
      </c>
      <c r="EZ111" s="380">
        <v>3170.38302552</v>
      </c>
      <c r="FA111" s="588">
        <v>3117.109725192865</v>
      </c>
      <c r="FB111" s="362">
        <v>-1.1235748135773327E-2</v>
      </c>
      <c r="FC111" s="362">
        <v>6.3829445966174347E-2</v>
      </c>
      <c r="FD111" s="589">
        <v>5.3789629882645462E-2</v>
      </c>
    </row>
    <row r="112" spans="1:160">
      <c r="A112" s="203"/>
      <c r="B112" s="340" t="s">
        <v>200</v>
      </c>
      <c r="C112" s="203"/>
      <c r="D112" s="203"/>
      <c r="E112" s="203"/>
      <c r="F112" s="203"/>
      <c r="G112" s="203"/>
      <c r="H112" s="203"/>
      <c r="I112" s="203"/>
      <c r="J112" s="203"/>
      <c r="K112" s="203"/>
      <c r="L112" s="203"/>
      <c r="M112" s="203"/>
      <c r="N112" s="203"/>
      <c r="O112" s="336"/>
      <c r="P112" s="203"/>
      <c r="Q112" s="203"/>
      <c r="R112" s="203"/>
      <c r="S112" s="336"/>
      <c r="T112" s="203"/>
      <c r="U112" s="203"/>
      <c r="V112" s="203"/>
      <c r="W112" s="203"/>
      <c r="X112" s="203"/>
      <c r="Y112" s="203"/>
      <c r="Z112" s="203"/>
      <c r="AA112" s="203"/>
      <c r="AB112" s="203"/>
      <c r="AC112" s="203"/>
      <c r="AD112" s="203"/>
      <c r="AE112" s="336"/>
      <c r="AF112" s="336"/>
      <c r="AG112" s="336"/>
      <c r="AH112" s="337"/>
      <c r="AI112" s="337"/>
      <c r="AJ112" s="337"/>
      <c r="AK112" s="337"/>
      <c r="AL112" s="337"/>
      <c r="AM112" s="338"/>
      <c r="AN112" s="338"/>
      <c r="AO112" s="338"/>
      <c r="AP112" s="338"/>
      <c r="AQ112" s="362">
        <f t="shared" ref="AQ112:BG112" si="319">AQ111/AQ103</f>
        <v>0.52825578384993765</v>
      </c>
      <c r="AR112" s="362">
        <f t="shared" si="319"/>
        <v>0.51320155436441584</v>
      </c>
      <c r="AS112" s="362">
        <f t="shared" si="319"/>
        <v>0.49889285670324318</v>
      </c>
      <c r="AT112" s="362">
        <f t="shared" si="319"/>
        <v>0.47844496864845443</v>
      </c>
      <c r="AU112" s="362">
        <f t="shared" si="319"/>
        <v>0.5098925032313657</v>
      </c>
      <c r="AV112" s="362">
        <f t="shared" si="319"/>
        <v>0.50195060034291272</v>
      </c>
      <c r="AW112" s="362">
        <f t="shared" si="319"/>
        <v>0.47666666666666668</v>
      </c>
      <c r="AX112" s="362">
        <f t="shared" si="319"/>
        <v>0.47552689679860877</v>
      </c>
      <c r="AY112" s="362">
        <f t="shared" si="319"/>
        <v>0.51688738582760452</v>
      </c>
      <c r="AZ112" s="362">
        <f t="shared" si="319"/>
        <v>0.51224287855284956</v>
      </c>
      <c r="BA112" s="362">
        <f t="shared" si="319"/>
        <v>0.51091089954103441</v>
      </c>
      <c r="BB112" s="362">
        <f t="shared" si="319"/>
        <v>0.49384874454934935</v>
      </c>
      <c r="BC112" s="362">
        <f t="shared" si="319"/>
        <v>0.51968986425836705</v>
      </c>
      <c r="BD112" s="362">
        <f t="shared" si="319"/>
        <v>0.51190476190476186</v>
      </c>
      <c r="BE112" s="362">
        <f t="shared" si="319"/>
        <v>0.50632466007596777</v>
      </c>
      <c r="BF112" s="362">
        <f t="shared" si="319"/>
        <v>0.49878467301175816</v>
      </c>
      <c r="BG112" s="362">
        <f t="shared" si="319"/>
        <v>0.50813385131819622</v>
      </c>
      <c r="BH112" s="362">
        <f t="shared" ref="BH112:BI112" si="320">BH111/BH103</f>
        <v>0.50216019182483751</v>
      </c>
      <c r="BI112" s="362">
        <f t="shared" si="320"/>
        <v>0.48587389807959752</v>
      </c>
      <c r="BJ112" s="362">
        <f t="shared" ref="BJ112:BL112" si="321">BJ111/BJ103</f>
        <v>0.46892834495878249</v>
      </c>
      <c r="BK112" s="362">
        <f t="shared" si="321"/>
        <v>0.47336365350904852</v>
      </c>
      <c r="BL112" s="362">
        <f t="shared" si="321"/>
        <v>0.46052113295416552</v>
      </c>
      <c r="BM112" s="362">
        <f>BM111/BM103</f>
        <v>0.45452842442163971</v>
      </c>
      <c r="BN112" s="362">
        <f>BN111/BN103</f>
        <v>0.4597280277814903</v>
      </c>
      <c r="BO112" s="362">
        <f t="shared" ref="BO112:BR112" si="322">BO111/BO103</f>
        <v>0.47293648425785983</v>
      </c>
      <c r="BP112" s="362">
        <f t="shared" si="322"/>
        <v>0.46968687541638909</v>
      </c>
      <c r="BQ112" s="362">
        <f t="shared" si="322"/>
        <v>0.46966731898238745</v>
      </c>
      <c r="BR112" s="362">
        <f t="shared" si="322"/>
        <v>0.46787447829119333</v>
      </c>
      <c r="BS112" s="362"/>
      <c r="BT112" s="362"/>
      <c r="BU112" s="362"/>
      <c r="BV112" s="362"/>
      <c r="BW112" s="203"/>
      <c r="BX112" s="337"/>
      <c r="BY112" s="337"/>
      <c r="BZ112" s="337"/>
      <c r="CA112" s="337"/>
      <c r="CB112" s="337"/>
      <c r="CC112" s="337"/>
      <c r="CD112" s="337"/>
      <c r="CE112" s="337"/>
      <c r="CF112" s="337"/>
      <c r="CG112" s="337"/>
      <c r="CH112" s="337"/>
      <c r="CI112" s="337"/>
      <c r="CJ112" s="337"/>
      <c r="CK112" s="337"/>
      <c r="CL112" s="337"/>
      <c r="CM112" s="337"/>
      <c r="CN112" s="337"/>
      <c r="CO112" s="337"/>
      <c r="CP112" s="337"/>
      <c r="CQ112" s="337"/>
      <c r="CR112" s="363" t="s">
        <v>1478</v>
      </c>
      <c r="CS112" s="203"/>
      <c r="CT112" s="203"/>
      <c r="CU112" s="203"/>
      <c r="CV112" s="363">
        <f>((AU111-40)/AQ111)-1</f>
        <v>3.671854742201619E-2</v>
      </c>
      <c r="CW112" s="363">
        <f t="shared" ref="CW112:DE112" si="323">((AV111-54)/AR111)-1</f>
        <v>6.6776619600941167E-2</v>
      </c>
      <c r="CX112" s="363">
        <f t="shared" si="323"/>
        <v>2.0731728490843038E-2</v>
      </c>
      <c r="CY112" s="363">
        <f t="shared" si="323"/>
        <v>4.2913640778944551E-2</v>
      </c>
      <c r="CZ112" s="363">
        <f t="shared" si="323"/>
        <v>7.1380075634125628E-2</v>
      </c>
      <c r="DA112" s="363">
        <f t="shared" si="323"/>
        <v>1.2273895225092923E-2</v>
      </c>
      <c r="DB112" s="363">
        <f t="shared" si="323"/>
        <v>0.12056949300699293</v>
      </c>
      <c r="DC112" s="363">
        <f t="shared" si="323"/>
        <v>0.10347710266711418</v>
      </c>
      <c r="DD112" s="363">
        <f t="shared" si="323"/>
        <v>7.4545382937844185E-2</v>
      </c>
      <c r="DE112" s="363">
        <f t="shared" si="323"/>
        <v>9.7307615448861462E-2</v>
      </c>
      <c r="DF112" s="203"/>
      <c r="DG112" s="203"/>
      <c r="DH112" s="203"/>
      <c r="DI112" s="203"/>
      <c r="DJ112" s="203"/>
      <c r="DK112" s="203"/>
      <c r="DL112" s="203"/>
      <c r="DM112" s="203"/>
      <c r="DN112" s="203"/>
      <c r="DO112" s="203"/>
      <c r="DP112" s="203"/>
      <c r="DQ112" s="203"/>
      <c r="DR112" s="203"/>
      <c r="DS112" s="203"/>
      <c r="DT112" s="203"/>
      <c r="DV112" s="203"/>
      <c r="DW112" s="203"/>
      <c r="DX112" s="203"/>
      <c r="DY112" s="203"/>
      <c r="DZ112" s="203"/>
      <c r="EA112" s="203"/>
      <c r="EB112" s="203"/>
      <c r="EX112" s="375">
        <v>0.46</v>
      </c>
      <c r="EY112" s="375">
        <v>0.45500000000000002</v>
      </c>
      <c r="EZ112" s="436">
        <v>0.46</v>
      </c>
      <c r="FA112" s="589">
        <v>0.44284651955961191</v>
      </c>
      <c r="FB112" s="203"/>
      <c r="FC112" s="203"/>
      <c r="FD112" s="574"/>
    </row>
    <row r="113" spans="1:160">
      <c r="A113" s="203"/>
      <c r="B113" s="381" t="s">
        <v>2077</v>
      </c>
      <c r="C113" s="203"/>
      <c r="D113" s="203"/>
      <c r="E113" s="203"/>
      <c r="F113" s="203"/>
      <c r="G113" s="203"/>
      <c r="H113" s="203"/>
      <c r="I113" s="203"/>
      <c r="J113" s="203"/>
      <c r="K113" s="203"/>
      <c r="L113" s="203"/>
      <c r="M113" s="203"/>
      <c r="N113" s="203"/>
      <c r="O113" s="336"/>
      <c r="P113" s="203"/>
      <c r="Q113" s="203"/>
      <c r="R113" s="203"/>
      <c r="S113" s="336"/>
      <c r="T113" s="203"/>
      <c r="U113" s="203"/>
      <c r="V113" s="203"/>
      <c r="W113" s="203"/>
      <c r="X113" s="203"/>
      <c r="Y113" s="203"/>
      <c r="Z113" s="203"/>
      <c r="AA113" s="203"/>
      <c r="AB113" s="203"/>
      <c r="AC113" s="203"/>
      <c r="AD113" s="203"/>
      <c r="AE113" s="336"/>
      <c r="AF113" s="336"/>
      <c r="AG113" s="336"/>
      <c r="AH113" s="337"/>
      <c r="AI113" s="337"/>
      <c r="AJ113" s="337"/>
      <c r="AK113" s="337"/>
      <c r="AL113" s="337"/>
      <c r="AM113" s="338"/>
      <c r="AN113" s="338"/>
      <c r="AO113" s="338"/>
      <c r="AP113" s="338"/>
      <c r="AQ113" s="362"/>
      <c r="AR113" s="362"/>
      <c r="AS113" s="362"/>
      <c r="AT113" s="362"/>
      <c r="AU113" s="362"/>
      <c r="AV113" s="362"/>
      <c r="AW113" s="362"/>
      <c r="AX113" s="362"/>
      <c r="AY113" s="382">
        <f t="shared" ref="AY113:BG113" si="324">AY111/(AY103-AY55)</f>
        <v>0.52029825803246821</v>
      </c>
      <c r="AZ113" s="382">
        <f t="shared" si="324"/>
        <v>0.5162047048237044</v>
      </c>
      <c r="BA113" s="382">
        <f t="shared" si="324"/>
        <v>0.51908071347811346</v>
      </c>
      <c r="BB113" s="382">
        <f t="shared" si="324"/>
        <v>0.50119047376452919</v>
      </c>
      <c r="BC113" s="382">
        <f t="shared" si="324"/>
        <v>0.52833230066421855</v>
      </c>
      <c r="BD113" s="382">
        <f t="shared" si="324"/>
        <v>0.52037939894966534</v>
      </c>
      <c r="BE113" s="382">
        <f t="shared" si="324"/>
        <v>0.51629567695115242</v>
      </c>
      <c r="BF113" s="382">
        <f t="shared" si="324"/>
        <v>0.50986513373552211</v>
      </c>
      <c r="BG113" s="382">
        <f t="shared" si="324"/>
        <v>0.5214977272952579</v>
      </c>
      <c r="BH113" s="382">
        <f>BH111/(BH103-BH55)</f>
        <v>0.51441060628465007</v>
      </c>
      <c r="BI113" s="382">
        <f>BI111/(BI103-BI55)</f>
        <v>0.49952753177047288</v>
      </c>
      <c r="BJ113" s="382">
        <f>BJ111/(BJ103-BJ55)</f>
        <v>0.48293825030992898</v>
      </c>
      <c r="BK113" s="382">
        <f t="shared" ref="BK113" si="325">BK111/(BK103-BK55)</f>
        <v>0.48816774803097984</v>
      </c>
      <c r="BL113" s="382">
        <f t="shared" ref="BL113:BR113" si="326">BL111/(BL103-BL55)</f>
        <v>0.47510620760483052</v>
      </c>
      <c r="BM113" s="382">
        <f t="shared" si="326"/>
        <v>0.47093965585874026</v>
      </c>
      <c r="BN113" s="382">
        <f t="shared" si="326"/>
        <v>0.4735790456761001</v>
      </c>
      <c r="BO113" s="382">
        <f t="shared" si="326"/>
        <v>0.48805523930885031</v>
      </c>
      <c r="BP113" s="382">
        <f t="shared" si="326"/>
        <v>0.4845360824742268</v>
      </c>
      <c r="BQ113" s="382">
        <f t="shared" si="326"/>
        <v>0.48452220726783313</v>
      </c>
      <c r="BR113" s="382">
        <f t="shared" si="326"/>
        <v>0.48248079566582253</v>
      </c>
      <c r="BS113" s="382"/>
      <c r="BT113" s="382"/>
      <c r="BU113" s="382"/>
      <c r="BV113" s="382"/>
      <c r="BW113" s="203"/>
      <c r="BX113" s="337"/>
      <c r="BY113" s="337"/>
      <c r="BZ113" s="337"/>
      <c r="CA113" s="337"/>
      <c r="CB113" s="337"/>
      <c r="CC113" s="337"/>
      <c r="CD113" s="337"/>
      <c r="CE113" s="337"/>
      <c r="CF113" s="337"/>
      <c r="CG113" s="337"/>
      <c r="CH113" s="337"/>
      <c r="CI113" s="337"/>
      <c r="CJ113" s="337"/>
      <c r="CK113" s="337"/>
      <c r="CL113" s="337"/>
      <c r="CM113" s="337"/>
      <c r="CN113" s="337"/>
      <c r="CO113" s="337"/>
      <c r="CP113" s="337"/>
      <c r="CQ113" s="337"/>
      <c r="CR113" s="363"/>
      <c r="CS113" s="203"/>
      <c r="CT113" s="203"/>
      <c r="CU113" s="203"/>
      <c r="CV113" s="363"/>
      <c r="CW113" s="363"/>
      <c r="CX113" s="363"/>
      <c r="CY113" s="363"/>
      <c r="CZ113" s="363"/>
      <c r="DA113" s="363"/>
      <c r="DB113" s="363"/>
      <c r="DC113" s="363"/>
      <c r="DD113" s="363"/>
      <c r="DE113" s="363"/>
      <c r="DF113" s="203"/>
      <c r="DG113" s="203"/>
      <c r="DH113" s="203"/>
      <c r="DI113" s="203"/>
      <c r="DJ113" s="203"/>
      <c r="DK113" s="203"/>
      <c r="DL113" s="203"/>
      <c r="DM113" s="203"/>
      <c r="DN113" s="203"/>
      <c r="DO113" s="203"/>
      <c r="DP113" s="203"/>
      <c r="DQ113" s="203"/>
      <c r="DR113" s="203"/>
      <c r="DS113" s="203"/>
      <c r="DT113" s="203"/>
      <c r="DV113" s="203"/>
      <c r="DW113" s="203"/>
      <c r="DX113" s="203"/>
      <c r="DY113" s="203"/>
      <c r="DZ113" s="203"/>
      <c r="EA113" s="203"/>
      <c r="EB113" s="203"/>
      <c r="EX113" s="382">
        <v>0.47392561287970636</v>
      </c>
      <c r="EY113" s="382">
        <v>0.46872107799366175</v>
      </c>
      <c r="EZ113" s="382">
        <v>0.47445645305184891</v>
      </c>
      <c r="FA113" s="590">
        <v>0.45543280746949122</v>
      </c>
      <c r="FB113" s="203"/>
      <c r="FC113" s="203"/>
      <c r="FD113" s="574"/>
    </row>
    <row r="114" spans="1:160">
      <c r="A114" s="203"/>
      <c r="B114" s="381" t="s">
        <v>2700</v>
      </c>
      <c r="C114" s="203"/>
      <c r="D114" s="203"/>
      <c r="E114" s="203"/>
      <c r="F114" s="203"/>
      <c r="G114" s="203"/>
      <c r="H114" s="203"/>
      <c r="I114" s="203"/>
      <c r="J114" s="203"/>
      <c r="K114" s="203"/>
      <c r="L114" s="203"/>
      <c r="M114" s="203"/>
      <c r="N114" s="203"/>
      <c r="O114" s="336"/>
      <c r="P114" s="203"/>
      <c r="Q114" s="203"/>
      <c r="R114" s="203"/>
      <c r="S114" s="336"/>
      <c r="T114" s="203"/>
      <c r="U114" s="203"/>
      <c r="V114" s="203"/>
      <c r="W114" s="203"/>
      <c r="X114" s="203"/>
      <c r="Y114" s="203"/>
      <c r="Z114" s="203"/>
      <c r="AA114" s="203"/>
      <c r="AB114" s="203"/>
      <c r="AC114" s="203"/>
      <c r="AD114" s="203"/>
      <c r="AE114" s="336"/>
      <c r="AF114" s="336"/>
      <c r="AG114" s="336"/>
      <c r="AH114" s="337"/>
      <c r="AI114" s="337"/>
      <c r="AJ114" s="337"/>
      <c r="AK114" s="337"/>
      <c r="AL114" s="337"/>
      <c r="AM114" s="338"/>
      <c r="AN114" s="338"/>
      <c r="AO114" s="338"/>
      <c r="AP114" s="338"/>
      <c r="AQ114" s="362"/>
      <c r="AR114" s="362"/>
      <c r="AS114" s="362"/>
      <c r="AT114" s="362"/>
      <c r="AU114" s="362"/>
      <c r="AV114" s="362"/>
      <c r="AW114" s="362"/>
      <c r="AX114" s="362"/>
      <c r="AY114" s="383">
        <f t="shared" ref="AY114:BH114" si="327">AY103-AY111</f>
        <v>2420.6430000000005</v>
      </c>
      <c r="AZ114" s="383">
        <f t="shared" si="327"/>
        <v>2415.8420000000001</v>
      </c>
      <c r="BA114" s="383">
        <f t="shared" si="327"/>
        <v>2506.0499999999997</v>
      </c>
      <c r="BB114" s="383">
        <f t="shared" si="327"/>
        <v>2666.3789999999995</v>
      </c>
      <c r="BC114" s="383">
        <f t="shared" si="327"/>
        <v>2621.9649999999997</v>
      </c>
      <c r="BD114" s="383">
        <f t="shared" si="327"/>
        <v>2706</v>
      </c>
      <c r="BE114" s="383">
        <f t="shared" si="327"/>
        <v>2776.6730000000002</v>
      </c>
      <c r="BF114" s="383">
        <f t="shared" si="327"/>
        <v>2963.5920000000001</v>
      </c>
      <c r="BG114" s="383">
        <f t="shared" si="327"/>
        <v>2962.0450000000001</v>
      </c>
      <c r="BH114" s="383">
        <f t="shared" si="327"/>
        <v>3038.9729999999995</v>
      </c>
      <c r="BI114" s="383">
        <f>BI103-BI111</f>
        <v>3153.4489999999996</v>
      </c>
      <c r="BJ114" s="383">
        <f>BJ103-BJ111</f>
        <v>3350</v>
      </c>
      <c r="BK114" s="383">
        <f t="shared" ref="BK114:BL114" si="328">BK103-BK111</f>
        <v>3431.8010000000004</v>
      </c>
      <c r="BL114" s="383">
        <f t="shared" si="328"/>
        <v>3623.9589999999998</v>
      </c>
      <c r="BM114" s="383">
        <f>BM103-BM111</f>
        <v>3767.8700000000003</v>
      </c>
      <c r="BN114" s="383">
        <f t="shared" ref="BN114" si="329">BN103-BN111</f>
        <v>3872.636</v>
      </c>
      <c r="BO114" s="383">
        <f t="shared" ref="BO114:BR114" si="330">BO103-BO111</f>
        <v>3863.5299999999997</v>
      </c>
      <c r="BP114" s="383">
        <f t="shared" si="330"/>
        <v>3980</v>
      </c>
      <c r="BQ114" s="383">
        <f t="shared" si="330"/>
        <v>4065</v>
      </c>
      <c r="BR114" s="383">
        <f t="shared" si="330"/>
        <v>4162.1504396570172</v>
      </c>
      <c r="BS114" s="383"/>
      <c r="BT114" s="383"/>
      <c r="BU114" s="383"/>
      <c r="BV114" s="383"/>
      <c r="BW114" s="203"/>
      <c r="BX114" s="337"/>
      <c r="BY114" s="337"/>
      <c r="BZ114" s="337"/>
      <c r="CA114" s="337"/>
      <c r="CB114" s="337"/>
      <c r="CC114" s="337"/>
      <c r="CD114" s="337"/>
      <c r="CE114" s="337"/>
      <c r="CF114" s="337"/>
      <c r="CG114" s="337"/>
      <c r="CH114" s="337"/>
      <c r="CI114" s="337"/>
      <c r="CJ114" s="337"/>
      <c r="CK114" s="337"/>
      <c r="CL114" s="337"/>
      <c r="CM114" s="337"/>
      <c r="CN114" s="337"/>
      <c r="CO114" s="337"/>
      <c r="CP114" s="337"/>
      <c r="CQ114" s="337"/>
      <c r="CR114" s="363"/>
      <c r="CS114" s="203"/>
      <c r="CT114" s="203"/>
      <c r="CU114" s="203"/>
      <c r="CV114" s="363"/>
      <c r="CW114" s="363"/>
      <c r="CX114" s="363"/>
      <c r="CY114" s="363"/>
      <c r="CZ114" s="363"/>
      <c r="DA114" s="363"/>
      <c r="DB114" s="363"/>
      <c r="DC114" s="363"/>
      <c r="DD114" s="382">
        <f t="shared" ref="DD114:DS114" si="331">BC114/AY114-1</f>
        <v>8.3168810931640635E-2</v>
      </c>
      <c r="DE114" s="382">
        <f t="shared" si="331"/>
        <v>0.1201063645718552</v>
      </c>
      <c r="DF114" s="382">
        <f t="shared" si="331"/>
        <v>0.10798786935615823</v>
      </c>
      <c r="DG114" s="382">
        <f t="shared" si="331"/>
        <v>0.1114668994917829</v>
      </c>
      <c r="DH114" s="382">
        <f t="shared" si="331"/>
        <v>0.12970424853115903</v>
      </c>
      <c r="DI114" s="382">
        <f t="shared" si="331"/>
        <v>0.12304988913525472</v>
      </c>
      <c r="DJ114" s="382">
        <f t="shared" si="331"/>
        <v>0.13569332795039224</v>
      </c>
      <c r="DK114" s="382">
        <f t="shared" si="331"/>
        <v>0.13038501926041102</v>
      </c>
      <c r="DL114" s="382">
        <f t="shared" si="331"/>
        <v>0.15859178371699301</v>
      </c>
      <c r="DM114" s="382">
        <f t="shared" si="331"/>
        <v>0.19249463552325086</v>
      </c>
      <c r="DN114" s="382">
        <f t="shared" si="331"/>
        <v>0.19484095033723414</v>
      </c>
      <c r="DO114" s="382">
        <f t="shared" si="331"/>
        <v>0.15601074626865663</v>
      </c>
      <c r="DP114" s="382">
        <f t="shared" si="331"/>
        <v>0.12580245765998654</v>
      </c>
      <c r="DQ114" s="382">
        <f t="shared" si="331"/>
        <v>9.8246420558290026E-2</v>
      </c>
      <c r="DR114" s="382">
        <f t="shared" si="331"/>
        <v>7.8858877827525875E-2</v>
      </c>
      <c r="DS114" s="382">
        <f t="shared" si="331"/>
        <v>7.4759011602695713E-2</v>
      </c>
      <c r="DT114" s="203"/>
      <c r="DV114" s="203"/>
      <c r="DW114" s="203"/>
      <c r="DX114" s="203"/>
      <c r="DY114" s="203"/>
      <c r="DZ114" s="203"/>
      <c r="EA114" s="203"/>
      <c r="EB114" s="203"/>
      <c r="EX114" s="383">
        <v>3491.7506540999993</v>
      </c>
      <c r="EY114" s="383">
        <v>3630.4241246049996</v>
      </c>
      <c r="EZ114" s="383">
        <v>3721.7539864800001</v>
      </c>
      <c r="FA114" s="591">
        <v>3921.6939856112085</v>
      </c>
      <c r="FB114" s="382">
        <v>0.19462203994737703</v>
      </c>
      <c r="FC114" s="382">
        <v>0.18021695815597472</v>
      </c>
      <c r="FD114" s="590">
        <v>0.17065492107797264</v>
      </c>
    </row>
    <row r="115" spans="1:160">
      <c r="A115" s="203"/>
      <c r="B115" s="340"/>
      <c r="C115" s="203"/>
      <c r="D115" s="203"/>
      <c r="E115" s="203"/>
      <c r="F115" s="203"/>
      <c r="G115" s="203"/>
      <c r="H115" s="203"/>
      <c r="I115" s="203"/>
      <c r="J115" s="203"/>
      <c r="K115" s="203"/>
      <c r="L115" s="203"/>
      <c r="M115" s="203"/>
      <c r="N115" s="203"/>
      <c r="O115" s="336"/>
      <c r="P115" s="203"/>
      <c r="Q115" s="203"/>
      <c r="R115" s="203"/>
      <c r="S115" s="336"/>
      <c r="T115" s="203"/>
      <c r="U115" s="203"/>
      <c r="V115" s="203"/>
      <c r="W115" s="203"/>
      <c r="X115" s="203"/>
      <c r="Y115" s="203"/>
      <c r="Z115" s="203"/>
      <c r="AA115" s="203"/>
      <c r="AB115" s="203"/>
      <c r="AC115" s="203"/>
      <c r="AD115" s="203"/>
      <c r="AE115" s="336"/>
      <c r="AF115" s="336"/>
      <c r="AG115" s="336"/>
      <c r="AH115" s="337"/>
      <c r="AI115" s="337"/>
      <c r="AJ115" s="337"/>
      <c r="AK115" s="337"/>
      <c r="AL115" s="337"/>
      <c r="AM115" s="338"/>
      <c r="AN115" s="338"/>
      <c r="AO115" s="338"/>
      <c r="AP115" s="338"/>
      <c r="AQ115" s="338"/>
      <c r="AR115" s="337"/>
      <c r="AS115" s="337"/>
      <c r="AT115" s="337"/>
      <c r="AU115" s="337"/>
      <c r="AV115" s="338"/>
      <c r="AW115" s="338"/>
      <c r="AX115" s="338"/>
      <c r="AY115" s="338"/>
      <c r="AZ115" s="338"/>
      <c r="BA115" s="337"/>
      <c r="BB115" s="337"/>
      <c r="BC115" s="337"/>
      <c r="BD115" s="337"/>
      <c r="BE115" s="337"/>
      <c r="BF115" s="338"/>
      <c r="BG115" s="338"/>
      <c r="BH115" s="338"/>
      <c r="BI115" s="338"/>
      <c r="BJ115" s="338"/>
      <c r="BK115" s="338"/>
      <c r="BL115" s="338"/>
      <c r="BM115" s="338"/>
      <c r="BN115" s="337"/>
      <c r="BO115" s="337"/>
      <c r="BP115" s="337"/>
      <c r="BQ115" s="337"/>
      <c r="BR115" s="337"/>
      <c r="BS115" s="337"/>
      <c r="BT115" s="337"/>
      <c r="BU115" s="337"/>
      <c r="BV115" s="337"/>
      <c r="BW115" s="203"/>
      <c r="BX115" s="337"/>
      <c r="BY115" s="337"/>
      <c r="BZ115" s="337"/>
      <c r="CA115" s="337"/>
      <c r="CB115" s="337"/>
      <c r="CC115" s="337"/>
      <c r="CD115" s="337"/>
      <c r="CE115" s="337"/>
      <c r="CF115" s="337" t="s">
        <v>1474</v>
      </c>
      <c r="CG115" s="337">
        <f>AU111/AU133</f>
        <v>0.92805400537089477</v>
      </c>
      <c r="CH115" s="337"/>
      <c r="CI115" s="337"/>
      <c r="CJ115" s="337"/>
      <c r="CK115" s="337"/>
      <c r="CL115" s="337"/>
      <c r="CM115" s="337"/>
      <c r="CN115" s="337"/>
      <c r="CO115" s="337"/>
      <c r="CP115" s="337"/>
      <c r="CQ115" s="337"/>
      <c r="CR115" s="337"/>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V115" s="203"/>
      <c r="DW115" s="203"/>
      <c r="DX115" s="203"/>
      <c r="DY115" s="203"/>
      <c r="DZ115" s="203"/>
      <c r="EA115" s="203"/>
      <c r="EB115" s="203"/>
      <c r="EX115" s="338"/>
      <c r="EY115" s="338"/>
      <c r="EZ115" s="338"/>
      <c r="FA115" s="576"/>
      <c r="FB115" s="203"/>
      <c r="FC115" s="203"/>
      <c r="FD115" s="574"/>
    </row>
    <row r="116" spans="1:160">
      <c r="A116" s="203"/>
      <c r="B116" s="340" t="str">
        <f>B61</f>
        <v xml:space="preserve"> - MCM</v>
      </c>
      <c r="C116" s="203"/>
      <c r="D116" s="203"/>
      <c r="E116" s="203"/>
      <c r="F116" s="203"/>
      <c r="G116" s="203"/>
      <c r="H116" s="203"/>
      <c r="I116" s="203"/>
      <c r="J116" s="203"/>
      <c r="K116" s="203"/>
      <c r="L116" s="203"/>
      <c r="M116" s="203"/>
      <c r="N116" s="203"/>
      <c r="O116" s="336"/>
      <c r="P116" s="203"/>
      <c r="Q116" s="203"/>
      <c r="R116" s="203"/>
      <c r="S116" s="336"/>
      <c r="T116" s="203"/>
      <c r="U116" s="203"/>
      <c r="V116" s="203"/>
      <c r="W116" s="203"/>
      <c r="X116" s="203"/>
      <c r="Y116" s="203"/>
      <c r="Z116" s="203"/>
      <c r="AA116" s="336">
        <f>AA61-27.4-57.1</f>
        <v>33.20000000000001</v>
      </c>
      <c r="AB116" s="336">
        <f>AB61-29.2-59.2</f>
        <v>36.99499999999999</v>
      </c>
      <c r="AC116" s="336">
        <f>AC61-23.6-62.9</f>
        <v>56.900000000000013</v>
      </c>
      <c r="AD116" s="336">
        <f>AD61-42.5-72.6</f>
        <v>32.599999999999994</v>
      </c>
      <c r="AE116" s="336">
        <f>AE61-29.4-69.9</f>
        <v>48.799999999999983</v>
      </c>
      <c r="AF116" s="336">
        <f>AF61-26.1-74.5</f>
        <v>45.400000000000006</v>
      </c>
      <c r="AG116" s="336">
        <f>AG61-28.2-74.5</f>
        <v>57.300000000000011</v>
      </c>
      <c r="AH116" s="336">
        <f>AH61-27.8-81.6</f>
        <v>54.061000000000007</v>
      </c>
      <c r="AI116" s="336">
        <f>AI61-27.4-80.1</f>
        <v>58.474999999999994</v>
      </c>
      <c r="AJ116" s="336">
        <f>AJ61-34.326-84.962</f>
        <v>57.084000000000017</v>
      </c>
      <c r="AK116" s="336">
        <v>65</v>
      </c>
      <c r="AL116" s="336">
        <v>62.6</v>
      </c>
      <c r="AM116" s="336">
        <v>69.8</v>
      </c>
      <c r="AN116" s="336">
        <v>66.063000000000002</v>
      </c>
      <c r="AO116" s="336">
        <v>78.2</v>
      </c>
      <c r="AP116" s="336">
        <v>93.6</v>
      </c>
      <c r="AQ116" s="336">
        <v>99.8</v>
      </c>
      <c r="AR116" s="336">
        <v>101.7</v>
      </c>
      <c r="AS116" s="336">
        <v>105.1</v>
      </c>
      <c r="AT116" s="336">
        <v>101.9</v>
      </c>
      <c r="AU116" s="336">
        <v>144.4</v>
      </c>
      <c r="AV116" s="336">
        <v>135.744</v>
      </c>
      <c r="AW116" s="336">
        <v>136</v>
      </c>
      <c r="AX116" s="336">
        <v>149.11799999999999</v>
      </c>
      <c r="AY116" s="336">
        <v>140.36699999999999</v>
      </c>
      <c r="AZ116" s="336">
        <v>148.476</v>
      </c>
      <c r="BA116" s="336">
        <v>152.9</v>
      </c>
      <c r="BB116" s="336">
        <v>144.97800000000001</v>
      </c>
      <c r="BC116" s="336">
        <v>130.102</v>
      </c>
      <c r="BD116" s="336">
        <v>136</v>
      </c>
      <c r="BE116" s="336">
        <v>135.828</v>
      </c>
      <c r="BF116" s="343">
        <v>126.70099999999999</v>
      </c>
      <c r="BG116" s="343">
        <v>142.71</v>
      </c>
      <c r="BH116" s="343">
        <v>149.477</v>
      </c>
      <c r="BI116" s="343">
        <v>137.012</v>
      </c>
      <c r="BJ116" s="343">
        <v>70</v>
      </c>
      <c r="BK116" s="343">
        <v>137.27199999999999</v>
      </c>
      <c r="BL116" s="343">
        <v>139.017</v>
      </c>
      <c r="BM116" s="343">
        <v>124.482</v>
      </c>
      <c r="BN116" s="343">
        <v>102.596</v>
      </c>
      <c r="BO116" s="343">
        <v>124.372</v>
      </c>
      <c r="BP116" s="336"/>
      <c r="BQ116" s="336"/>
      <c r="BR116" s="336"/>
      <c r="BS116" s="336"/>
      <c r="BT116" s="336"/>
      <c r="BU116" s="336"/>
      <c r="BV116" s="336"/>
      <c r="BW116" s="203"/>
      <c r="BX116" s="337"/>
      <c r="BY116" s="337"/>
      <c r="BZ116" s="337"/>
      <c r="CA116" s="337"/>
      <c r="CB116" s="337"/>
      <c r="CC116" s="337"/>
      <c r="CD116" s="337"/>
      <c r="CE116" s="337"/>
      <c r="CF116" s="337" t="s">
        <v>1475</v>
      </c>
      <c r="CG116" s="337">
        <f>100%-CG115</f>
        <v>7.1945994629105225E-2</v>
      </c>
      <c r="CH116" s="337"/>
      <c r="CI116" s="337"/>
      <c r="CJ116" s="337"/>
      <c r="CK116" s="337"/>
      <c r="CL116" s="337"/>
      <c r="CM116" s="337"/>
      <c r="CN116" s="337"/>
      <c r="CO116" s="337"/>
      <c r="CP116" s="337"/>
      <c r="CQ116" s="337"/>
      <c r="CR116" s="337"/>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V116" s="203"/>
      <c r="DW116" s="203"/>
      <c r="DX116" s="203"/>
      <c r="DY116" s="203"/>
      <c r="DZ116" s="203"/>
      <c r="EA116" s="203"/>
      <c r="EB116" s="203"/>
      <c r="EX116" s="336"/>
      <c r="EY116" s="336"/>
      <c r="EZ116" s="336"/>
      <c r="FA116" s="577"/>
      <c r="FB116" s="203"/>
      <c r="FC116" s="203"/>
      <c r="FD116" s="574"/>
    </row>
    <row r="117" spans="1:160">
      <c r="A117" s="203"/>
      <c r="B117" s="340" t="str">
        <f>B62</f>
        <v xml:space="preserve"> - Ho1a</v>
      </c>
      <c r="C117" s="203"/>
      <c r="D117" s="203"/>
      <c r="E117" s="203"/>
      <c r="F117" s="203"/>
      <c r="G117" s="203"/>
      <c r="H117" s="203"/>
      <c r="I117" s="203"/>
      <c r="J117" s="203"/>
      <c r="K117" s="203"/>
      <c r="L117" s="203"/>
      <c r="M117" s="203"/>
      <c r="N117" s="203"/>
      <c r="O117" s="336"/>
      <c r="P117" s="203"/>
      <c r="Q117" s="203"/>
      <c r="R117" s="203"/>
      <c r="S117" s="336"/>
      <c r="T117" s="203"/>
      <c r="U117" s="203"/>
      <c r="V117" s="203"/>
      <c r="W117" s="203"/>
      <c r="X117" s="203"/>
      <c r="Y117" s="203"/>
      <c r="Z117" s="203"/>
      <c r="AA117" s="336">
        <f>AA62-55.1-26.3</f>
        <v>14.500000000000004</v>
      </c>
      <c r="AB117" s="336">
        <f>AB62-72.9-22.1</f>
        <v>16.279999999999994</v>
      </c>
      <c r="AC117" s="336">
        <f>AC62-86.9-26.3</f>
        <v>17.399999999999988</v>
      </c>
      <c r="AD117" s="336">
        <f>AD62-55.6-27.4</f>
        <v>21</v>
      </c>
      <c r="AE117" s="336">
        <f>AE62-111.2-27.4</f>
        <v>7.3000000000000043</v>
      </c>
      <c r="AF117" s="336">
        <f>AF62-439-26</f>
        <v>32</v>
      </c>
      <c r="AG117" s="336">
        <f>AG62-222.2-25</f>
        <v>24.800000000000011</v>
      </c>
      <c r="AH117" s="336">
        <f>AH62-228-22.6</f>
        <v>35.840999999999973</v>
      </c>
      <c r="AI117" s="336">
        <f>AI62-230-23.2</f>
        <v>48.8</v>
      </c>
      <c r="AJ117" s="336">
        <f>AJ62-278.64-21.964</f>
        <v>48.80400000000003</v>
      </c>
      <c r="AK117" s="336">
        <v>42</v>
      </c>
      <c r="AL117" s="336">
        <v>63.4</v>
      </c>
      <c r="AM117" s="336">
        <v>46.7</v>
      </c>
      <c r="AN117" s="336">
        <v>21.91</v>
      </c>
      <c r="AO117" s="336">
        <v>28</v>
      </c>
      <c r="AP117" s="336">
        <v>62</v>
      </c>
      <c r="AQ117" s="336">
        <v>26.6</v>
      </c>
      <c r="AR117" s="336">
        <v>19.8</v>
      </c>
      <c r="AS117" s="336">
        <v>11.3</v>
      </c>
      <c r="AT117" s="336">
        <v>13.3</v>
      </c>
      <c r="AU117" s="336">
        <v>35</v>
      </c>
      <c r="AV117" s="336">
        <v>13.622</v>
      </c>
      <c r="AW117" s="336">
        <v>50.6</v>
      </c>
      <c r="AX117" s="336">
        <v>58.906999999999996</v>
      </c>
      <c r="AY117" s="336">
        <v>34.938000000000002</v>
      </c>
      <c r="AZ117" s="336">
        <v>39.926000000000002</v>
      </c>
      <c r="BA117" s="336">
        <v>20.5</v>
      </c>
      <c r="BB117" s="336">
        <v>15.468999999999999</v>
      </c>
      <c r="BC117" s="336">
        <v>27.463999999999999</v>
      </c>
      <c r="BD117" s="336">
        <v>28</v>
      </c>
      <c r="BE117" s="336">
        <v>21.673999999999999</v>
      </c>
      <c r="BF117" s="343">
        <v>10.497</v>
      </c>
      <c r="BG117" s="343">
        <v>18.716999999999999</v>
      </c>
      <c r="BH117" s="343">
        <v>32.707999999999998</v>
      </c>
      <c r="BI117" s="343">
        <v>48.231000000000002</v>
      </c>
      <c r="BJ117" s="343">
        <v>82</v>
      </c>
      <c r="BK117" s="343">
        <v>44.024000000000001</v>
      </c>
      <c r="BL117" s="343">
        <v>50.09</v>
      </c>
      <c r="BM117" s="343">
        <v>35.884</v>
      </c>
      <c r="BN117" s="343">
        <v>70.819999999999993</v>
      </c>
      <c r="BO117" s="343">
        <v>92.317999999999998</v>
      </c>
      <c r="BP117" s="336"/>
      <c r="BQ117" s="336"/>
      <c r="BR117" s="336"/>
      <c r="BS117" s="336"/>
      <c r="BT117" s="336"/>
      <c r="BU117" s="336"/>
      <c r="BV117" s="336"/>
      <c r="BW117" s="203"/>
      <c r="BX117" s="337"/>
      <c r="BY117" s="337"/>
      <c r="BZ117" s="337"/>
      <c r="CA117" s="337"/>
      <c r="CB117" s="337"/>
      <c r="CC117" s="337"/>
      <c r="CD117" s="337"/>
      <c r="CE117" s="337"/>
      <c r="CF117" s="337"/>
      <c r="CG117" s="337"/>
      <c r="CH117" s="337"/>
      <c r="CI117" s="337"/>
      <c r="CJ117" s="337"/>
      <c r="CK117" s="337"/>
      <c r="CL117" s="337"/>
      <c r="CM117" s="337"/>
      <c r="CN117" s="337"/>
      <c r="CO117" s="337"/>
      <c r="CP117" s="337"/>
      <c r="CQ117" s="337"/>
      <c r="CR117" s="337"/>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V117" s="203"/>
      <c r="DW117" s="203"/>
      <c r="DX117" s="203"/>
      <c r="DY117" s="203"/>
      <c r="DZ117" s="203"/>
      <c r="EA117" s="203"/>
      <c r="EB117" s="203"/>
      <c r="EX117" s="336"/>
      <c r="EY117" s="336"/>
      <c r="EZ117" s="336"/>
      <c r="FA117" s="577"/>
      <c r="FB117" s="203"/>
      <c r="FC117" s="203"/>
      <c r="FD117" s="574"/>
    </row>
    <row r="118" spans="1:160">
      <c r="A118" s="203"/>
      <c r="B118" s="384" t="str">
        <f>B63</f>
        <v xml:space="preserve"> - PCTV</v>
      </c>
      <c r="C118" s="358"/>
      <c r="D118" s="358"/>
      <c r="E118" s="358"/>
      <c r="F118" s="358"/>
      <c r="G118" s="358"/>
      <c r="H118" s="358"/>
      <c r="I118" s="358"/>
      <c r="J118" s="358"/>
      <c r="K118" s="358"/>
      <c r="L118" s="358"/>
      <c r="M118" s="358"/>
      <c r="N118" s="358"/>
      <c r="O118" s="359"/>
      <c r="P118" s="358"/>
      <c r="Q118" s="358"/>
      <c r="R118" s="358"/>
      <c r="S118" s="359"/>
      <c r="T118" s="358"/>
      <c r="U118" s="358"/>
      <c r="V118" s="358"/>
      <c r="W118" s="358"/>
      <c r="X118" s="358"/>
      <c r="Y118" s="358"/>
      <c r="Z118" s="358"/>
      <c r="AA118" s="358">
        <v>0</v>
      </c>
      <c r="AB118" s="358">
        <v>0</v>
      </c>
      <c r="AC118" s="358">
        <v>0</v>
      </c>
      <c r="AD118" s="359">
        <f>AD63-72.7-29.1</f>
        <v>9.1999999999999957</v>
      </c>
      <c r="AE118" s="359">
        <f>AE63-85-35</f>
        <v>15.400000000000006</v>
      </c>
      <c r="AF118" s="359">
        <f>AF63-89-35</f>
        <v>20</v>
      </c>
      <c r="AG118" s="359">
        <f>AG63-48.4-35</f>
        <v>6.6000000000000014</v>
      </c>
      <c r="AH118" s="359">
        <f>AH63-20.4-41.4</f>
        <v>26.17499999999999</v>
      </c>
      <c r="AI118" s="359">
        <f>AI63-33.6-30.6</f>
        <v>-2.7000000000000028</v>
      </c>
      <c r="AJ118" s="359">
        <f>AJ63-25.058-40.09</f>
        <v>1.1709999999999994</v>
      </c>
      <c r="AK118" s="359">
        <v>14</v>
      </c>
      <c r="AL118" s="359">
        <v>8.6</v>
      </c>
      <c r="AM118" s="359">
        <v>1.3</v>
      </c>
      <c r="AN118" s="359">
        <v>-0.40899999999999997</v>
      </c>
      <c r="AO118" s="359">
        <v>6</v>
      </c>
      <c r="AP118" s="359">
        <v>17.3</v>
      </c>
      <c r="AQ118" s="359">
        <v>2.5</v>
      </c>
      <c r="AR118" s="359">
        <v>4.5999999999999996</v>
      </c>
      <c r="AS118" s="359">
        <v>12.8</v>
      </c>
      <c r="AT118" s="359">
        <v>3.6</v>
      </c>
      <c r="AU118" s="359">
        <v>4</v>
      </c>
      <c r="AV118" s="359">
        <v>10.061</v>
      </c>
      <c r="AW118" s="359">
        <v>9</v>
      </c>
      <c r="AX118" s="359">
        <v>1.53</v>
      </c>
      <c r="AY118" s="359">
        <v>1.46</v>
      </c>
      <c r="AZ118" s="359">
        <v>5.4660000000000002</v>
      </c>
      <c r="BA118" s="359">
        <v>-8.9</v>
      </c>
      <c r="BB118" s="359">
        <v>5.242</v>
      </c>
      <c r="BC118" s="359">
        <v>8.4779999999999998</v>
      </c>
      <c r="BD118" s="359">
        <v>8</v>
      </c>
      <c r="BE118" s="359">
        <v>10.303000000000001</v>
      </c>
      <c r="BF118" s="385">
        <v>0.747</v>
      </c>
      <c r="BG118" s="385">
        <v>7.0519999999999996</v>
      </c>
      <c r="BH118" s="385">
        <v>10.071</v>
      </c>
      <c r="BI118" s="385">
        <v>2.6219999999999999</v>
      </c>
      <c r="BJ118" s="385">
        <v>6</v>
      </c>
      <c r="BK118" s="385">
        <v>2.7469999999999999</v>
      </c>
      <c r="BL118" s="385">
        <v>4.7069999999999999</v>
      </c>
      <c r="BM118" s="385">
        <v>6.2060000000000004</v>
      </c>
      <c r="BN118" s="385">
        <v>-11.042</v>
      </c>
      <c r="BO118" s="385">
        <v>2.8479999999999999</v>
      </c>
      <c r="BP118" s="359"/>
      <c r="BQ118" s="359"/>
      <c r="BR118" s="359"/>
      <c r="BS118" s="336"/>
      <c r="BT118" s="336"/>
      <c r="BU118" s="336"/>
      <c r="BV118" s="336"/>
      <c r="BW118" s="203"/>
      <c r="BX118" s="337"/>
      <c r="BY118" s="337"/>
      <c r="BZ118" s="337"/>
      <c r="CA118" s="337"/>
      <c r="CB118" s="337"/>
      <c r="CC118" s="337"/>
      <c r="CD118" s="337"/>
      <c r="CE118" s="337"/>
      <c r="CF118" s="337"/>
      <c r="CG118" s="337"/>
      <c r="CH118" s="337"/>
      <c r="CI118" s="337"/>
      <c r="CJ118" s="337"/>
      <c r="CK118" s="337"/>
      <c r="CL118" s="337"/>
      <c r="CM118" s="337"/>
      <c r="CN118" s="337"/>
      <c r="CO118" s="337"/>
      <c r="CP118" s="337"/>
      <c r="CQ118" s="337"/>
      <c r="CR118" s="337"/>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V118" s="203"/>
      <c r="DW118" s="203"/>
      <c r="DX118" s="203"/>
      <c r="DY118" s="203"/>
      <c r="DZ118" s="203"/>
      <c r="EA118" s="203"/>
      <c r="EB118" s="203"/>
      <c r="EX118" s="359"/>
      <c r="EY118" s="359"/>
      <c r="EZ118" s="359"/>
      <c r="FA118" s="582"/>
      <c r="FB118" s="203"/>
      <c r="FC118" s="203"/>
      <c r="FD118" s="574"/>
    </row>
    <row r="119" spans="1:160">
      <c r="A119" s="203"/>
      <c r="B119" s="340" t="s">
        <v>678</v>
      </c>
      <c r="C119" s="203"/>
      <c r="D119" s="203"/>
      <c r="E119" s="203"/>
      <c r="F119" s="203"/>
      <c r="G119" s="203"/>
      <c r="H119" s="203"/>
      <c r="I119" s="203"/>
      <c r="J119" s="203"/>
      <c r="K119" s="203"/>
      <c r="L119" s="203"/>
      <c r="M119" s="203">
        <f t="shared" ref="M119:AP119" si="332">M126-M101</f>
        <v>12</v>
      </c>
      <c r="N119" s="203">
        <f t="shared" si="332"/>
        <v>8</v>
      </c>
      <c r="O119" s="203">
        <f t="shared" si="332"/>
        <v>11</v>
      </c>
      <c r="P119" s="203">
        <f t="shared" si="332"/>
        <v>9</v>
      </c>
      <c r="Q119" s="203">
        <f t="shared" si="332"/>
        <v>23</v>
      </c>
      <c r="R119" s="203">
        <f t="shared" si="332"/>
        <v>19</v>
      </c>
      <c r="S119" s="203">
        <f t="shared" si="332"/>
        <v>14</v>
      </c>
      <c r="T119" s="203">
        <f t="shared" si="332"/>
        <v>14</v>
      </c>
      <c r="U119" s="203">
        <f t="shared" si="332"/>
        <v>16</v>
      </c>
      <c r="V119" s="203">
        <f t="shared" si="332"/>
        <v>38</v>
      </c>
      <c r="W119" s="203">
        <f t="shared" si="332"/>
        <v>22</v>
      </c>
      <c r="X119" s="203">
        <f t="shared" si="332"/>
        <v>17</v>
      </c>
      <c r="Y119" s="203">
        <f t="shared" si="332"/>
        <v>37</v>
      </c>
      <c r="Z119" s="203">
        <f t="shared" si="332"/>
        <v>57</v>
      </c>
      <c r="AA119" s="203">
        <f t="shared" si="332"/>
        <v>48</v>
      </c>
      <c r="AB119" s="203">
        <f t="shared" si="332"/>
        <v>54</v>
      </c>
      <c r="AC119" s="203">
        <f t="shared" si="332"/>
        <v>65</v>
      </c>
      <c r="AD119" s="203">
        <f t="shared" si="332"/>
        <v>63</v>
      </c>
      <c r="AE119" s="336">
        <f t="shared" si="332"/>
        <v>71.5</v>
      </c>
      <c r="AF119" s="336">
        <f t="shared" si="332"/>
        <v>97.892000000000053</v>
      </c>
      <c r="AG119" s="336">
        <f t="shared" si="332"/>
        <v>90.299999999999955</v>
      </c>
      <c r="AH119" s="336">
        <f t="shared" si="332"/>
        <v>116.12099999999987</v>
      </c>
      <c r="AI119" s="336">
        <f t="shared" si="332"/>
        <v>104.30000000000018</v>
      </c>
      <c r="AJ119" s="336">
        <f t="shared" si="332"/>
        <v>107.05799999999999</v>
      </c>
      <c r="AK119" s="336">
        <f t="shared" si="332"/>
        <v>120.97500000000014</v>
      </c>
      <c r="AL119" s="336">
        <f t="shared" si="332"/>
        <v>134.53099999999995</v>
      </c>
      <c r="AM119" s="336">
        <f t="shared" si="332"/>
        <v>117.82899999999995</v>
      </c>
      <c r="AN119" s="336">
        <f t="shared" si="332"/>
        <v>87.564000000000078</v>
      </c>
      <c r="AO119" s="336">
        <f t="shared" si="332"/>
        <v>112.18500000000017</v>
      </c>
      <c r="AP119" s="336">
        <f t="shared" si="332"/>
        <v>173.04299999999989</v>
      </c>
      <c r="AQ119" s="336">
        <f t="shared" ref="AQ119:BG119" si="333">AQ133-AQ111</f>
        <v>129.029</v>
      </c>
      <c r="AR119" s="336">
        <f t="shared" si="333"/>
        <v>126.12699999999995</v>
      </c>
      <c r="AS119" s="336">
        <f t="shared" si="333"/>
        <v>129.11299999999983</v>
      </c>
      <c r="AT119" s="336">
        <f t="shared" si="333"/>
        <v>118.79999999999973</v>
      </c>
      <c r="AU119" s="336">
        <f t="shared" si="333"/>
        <v>183.49200000000019</v>
      </c>
      <c r="AV119" s="336">
        <f t="shared" si="333"/>
        <v>159.42700000000013</v>
      </c>
      <c r="AW119" s="336">
        <f t="shared" si="333"/>
        <v>194.69999999999982</v>
      </c>
      <c r="AX119" s="336">
        <f t="shared" si="333"/>
        <v>206.49499999999989</v>
      </c>
      <c r="AY119" s="336">
        <f t="shared" si="333"/>
        <v>176.76500000000033</v>
      </c>
      <c r="AZ119" s="336">
        <f t="shared" si="333"/>
        <v>182.93499999999995</v>
      </c>
      <c r="BA119" s="336">
        <f t="shared" si="333"/>
        <v>165.45900000000029</v>
      </c>
      <c r="BB119" s="336">
        <f t="shared" si="333"/>
        <v>165.6869999999999</v>
      </c>
      <c r="BC119" s="336">
        <f t="shared" si="333"/>
        <v>166.04399999999987</v>
      </c>
      <c r="BD119" s="336">
        <f t="shared" si="333"/>
        <v>173</v>
      </c>
      <c r="BE119" s="336">
        <f t="shared" si="333"/>
        <v>167.80499999999984</v>
      </c>
      <c r="BF119" s="336">
        <f t="shared" si="333"/>
        <v>137.95400000000018</v>
      </c>
      <c r="BG119" s="336">
        <f t="shared" si="333"/>
        <v>168.47799999999961</v>
      </c>
      <c r="BH119" s="336">
        <f t="shared" ref="BH119:BI119" si="334">BH133-BH111</f>
        <v>192.25599999999986</v>
      </c>
      <c r="BI119" s="336">
        <f t="shared" si="334"/>
        <v>187.86499999999978</v>
      </c>
      <c r="BJ119" s="336">
        <f t="shared" ref="BJ119:BL119" si="335">BJ133-BJ111</f>
        <v>156.90299999999979</v>
      </c>
      <c r="BK119" s="336">
        <f t="shared" si="335"/>
        <v>184.04300000000012</v>
      </c>
      <c r="BL119" s="336">
        <f t="shared" si="335"/>
        <v>193.8149999999996</v>
      </c>
      <c r="BM119" s="336">
        <f>BM133-BM111</f>
        <v>166.57299999999987</v>
      </c>
      <c r="BN119" s="336">
        <f>BN133-BN111</f>
        <v>162.3739999999998</v>
      </c>
      <c r="BO119" s="336">
        <f t="shared" ref="BO119" si="336">BO133-BO111</f>
        <v>213.84099999999989</v>
      </c>
      <c r="BP119" s="352">
        <v>190</v>
      </c>
      <c r="BQ119" s="352">
        <v>190</v>
      </c>
      <c r="BR119" s="336">
        <f>Fixed!S103-BQ119-BP119-BO119</f>
        <v>207.63345000000004</v>
      </c>
      <c r="BS119" s="336"/>
      <c r="BT119" s="336"/>
      <c r="BU119" s="336"/>
      <c r="BV119" s="336"/>
      <c r="BW119" s="203"/>
      <c r="BX119" s="337"/>
      <c r="BY119" s="337"/>
      <c r="BZ119" s="337"/>
      <c r="CA119" s="337"/>
      <c r="CB119" s="337"/>
      <c r="CC119" s="337"/>
      <c r="CD119" s="337"/>
      <c r="CE119" s="337"/>
      <c r="CF119" s="337">
        <f t="shared" ref="CF119:DS119" si="337">AE119/AA119-1</f>
        <v>0.48958333333333326</v>
      </c>
      <c r="CG119" s="337">
        <f t="shared" si="337"/>
        <v>0.81281481481481577</v>
      </c>
      <c r="CH119" s="337">
        <f t="shared" si="337"/>
        <v>0.3892307692307686</v>
      </c>
      <c r="CI119" s="337">
        <f t="shared" si="337"/>
        <v>0.84319047619047405</v>
      </c>
      <c r="CJ119" s="337">
        <f t="shared" si="337"/>
        <v>0.45874125874126137</v>
      </c>
      <c r="CK119" s="337">
        <f t="shared" si="337"/>
        <v>9.3633800514852483E-2</v>
      </c>
      <c r="CL119" s="337">
        <f t="shared" si="337"/>
        <v>0.33970099667774312</v>
      </c>
      <c r="CM119" s="337">
        <f t="shared" si="337"/>
        <v>0.15854152134411614</v>
      </c>
      <c r="CN119" s="337">
        <f t="shared" si="337"/>
        <v>0.12971236816874154</v>
      </c>
      <c r="CO119" s="337">
        <f t="shared" si="337"/>
        <v>-0.18208821386538054</v>
      </c>
      <c r="CP119" s="337">
        <f t="shared" si="337"/>
        <v>-7.2659640421574356E-2</v>
      </c>
      <c r="CQ119" s="337">
        <f t="shared" si="337"/>
        <v>0.28626859236904467</v>
      </c>
      <c r="CR119" s="337">
        <f t="shared" si="337"/>
        <v>9.5053000534673471E-2</v>
      </c>
      <c r="CS119" s="337">
        <f t="shared" si="337"/>
        <v>0.44039788040747152</v>
      </c>
      <c r="CT119" s="337">
        <f t="shared" si="337"/>
        <v>0.15089361322814665</v>
      </c>
      <c r="CU119" s="337">
        <f t="shared" si="337"/>
        <v>-0.31346543922608949</v>
      </c>
      <c r="CV119" s="338">
        <f t="shared" si="337"/>
        <v>0.42209890799742844</v>
      </c>
      <c r="CW119" s="338">
        <f t="shared" si="337"/>
        <v>0.26401959929277785</v>
      </c>
      <c r="CX119" s="338">
        <f t="shared" si="337"/>
        <v>0.50798138065105825</v>
      </c>
      <c r="CY119" s="338">
        <f t="shared" si="337"/>
        <v>0.73817340067340376</v>
      </c>
      <c r="CZ119" s="338">
        <f t="shared" si="337"/>
        <v>-3.6660998844635473E-2</v>
      </c>
      <c r="DA119" s="338">
        <f t="shared" si="337"/>
        <v>0.14745306629366284</v>
      </c>
      <c r="DB119" s="338">
        <f t="shared" si="337"/>
        <v>-0.15018489984591454</v>
      </c>
      <c r="DC119" s="338">
        <f t="shared" si="337"/>
        <v>-0.19762221845565275</v>
      </c>
      <c r="DD119" s="338">
        <f t="shared" si="337"/>
        <v>-6.0651147003085715E-2</v>
      </c>
      <c r="DE119" s="338">
        <f t="shared" si="337"/>
        <v>-5.4308907535463136E-2</v>
      </c>
      <c r="DF119" s="338">
        <f t="shared" si="337"/>
        <v>1.4178739143833496E-2</v>
      </c>
      <c r="DG119" s="338">
        <f t="shared" si="337"/>
        <v>-0.1673818706355944</v>
      </c>
      <c r="DH119" s="338">
        <f t="shared" si="337"/>
        <v>1.465876514658615E-2</v>
      </c>
      <c r="DI119" s="338">
        <f t="shared" si="337"/>
        <v>0.11130635838150216</v>
      </c>
      <c r="DJ119" s="338">
        <f t="shared" si="337"/>
        <v>0.11954351777360617</v>
      </c>
      <c r="DK119" s="338">
        <f t="shared" si="337"/>
        <v>0.13735737999622755</v>
      </c>
      <c r="DL119" s="338">
        <f t="shared" si="337"/>
        <v>9.2385949500828346E-2</v>
      </c>
      <c r="DM119" s="338">
        <f t="shared" si="337"/>
        <v>8.1089796937403591E-3</v>
      </c>
      <c r="DN119" s="338">
        <f t="shared" si="337"/>
        <v>-0.11333670454847866</v>
      </c>
      <c r="DO119" s="338">
        <f t="shared" si="337"/>
        <v>3.4868676825809741E-2</v>
      </c>
      <c r="DP119" s="338">
        <f t="shared" si="337"/>
        <v>0.16190781502148832</v>
      </c>
      <c r="DQ119" s="338">
        <f t="shared" si="337"/>
        <v>-1.9683719010394451E-2</v>
      </c>
      <c r="DR119" s="338">
        <f t="shared" si="337"/>
        <v>0.14064104026462965</v>
      </c>
      <c r="DS119" s="338">
        <f t="shared" si="337"/>
        <v>0.27873581977410367</v>
      </c>
      <c r="DT119" s="203"/>
      <c r="DV119" s="203"/>
      <c r="DW119" s="203"/>
      <c r="DX119" s="203"/>
      <c r="DY119" s="203"/>
      <c r="DZ119" s="203"/>
      <c r="EA119" s="203"/>
      <c r="EB119" s="203"/>
      <c r="EX119" s="336">
        <v>168.47799999999961</v>
      </c>
      <c r="EY119" s="336">
        <v>203.79135999999986</v>
      </c>
      <c r="EZ119" s="336">
        <v>199.13689999999977</v>
      </c>
      <c r="FA119" s="577">
        <v>148.56900000000053</v>
      </c>
      <c r="FB119" s="375">
        <v>0.06</v>
      </c>
      <c r="FC119" s="375">
        <v>0.06</v>
      </c>
      <c r="FD119" s="578">
        <v>-5.3115619204217146E-2</v>
      </c>
    </row>
    <row r="120" spans="1:160">
      <c r="A120" s="203"/>
      <c r="B120" s="340"/>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337">
        <f>AD119/AD126</f>
        <v>5.04E-2</v>
      </c>
      <c r="AE120" s="337"/>
      <c r="AF120" s="336"/>
      <c r="AG120" s="337"/>
      <c r="AH120" s="337">
        <f>AH119/AH126</f>
        <v>7.2708818466828834E-2</v>
      </c>
      <c r="AI120" s="336"/>
      <c r="AJ120" s="337"/>
      <c r="AK120" s="337"/>
      <c r="AL120" s="337">
        <f>AL119/AL126</f>
        <v>7.301423965187015E-2</v>
      </c>
      <c r="AM120" s="337"/>
      <c r="AN120" s="337"/>
      <c r="AO120" s="337"/>
      <c r="AP120" s="337">
        <f>AP119/AP126</f>
        <v>8.4868973777099163E-2</v>
      </c>
      <c r="AQ120" s="337"/>
      <c r="AR120" s="337"/>
      <c r="AS120" s="337"/>
      <c r="AT120" s="337"/>
      <c r="AU120" s="337"/>
      <c r="AV120" s="337"/>
      <c r="AW120" s="337"/>
      <c r="AX120" s="337"/>
      <c r="AY120" s="337"/>
      <c r="AZ120" s="338"/>
      <c r="BA120" s="338"/>
      <c r="BB120" s="338"/>
      <c r="BC120" s="338"/>
      <c r="BD120" s="338"/>
      <c r="BE120" s="337"/>
      <c r="BF120" s="337"/>
      <c r="BG120" s="337"/>
      <c r="BH120" s="337"/>
      <c r="BI120" s="337"/>
      <c r="BJ120" s="337"/>
      <c r="BK120" s="337"/>
      <c r="BL120" s="337"/>
      <c r="BM120" s="337"/>
      <c r="BN120" s="337"/>
      <c r="BO120" s="337"/>
      <c r="BP120" s="337"/>
      <c r="BQ120" s="337"/>
      <c r="BR120" s="337"/>
      <c r="BS120" s="337"/>
      <c r="BT120" s="337"/>
      <c r="BU120" s="337"/>
      <c r="BV120" s="337"/>
      <c r="BW120" s="203"/>
      <c r="BX120" s="337"/>
      <c r="BY120" s="337"/>
      <c r="BZ120" s="337"/>
      <c r="CA120" s="337"/>
      <c r="CB120" s="337"/>
      <c r="CC120" s="337"/>
      <c r="CD120" s="337"/>
      <c r="CE120" s="337"/>
      <c r="CF120" s="337"/>
      <c r="CG120" s="337"/>
      <c r="CH120" s="337"/>
      <c r="CI120" s="337"/>
      <c r="CJ120" s="337"/>
      <c r="CK120" s="337"/>
      <c r="CL120" s="337"/>
      <c r="CM120" s="337"/>
      <c r="CN120" s="337"/>
      <c r="CO120" s="337"/>
      <c r="CP120" s="337"/>
      <c r="CQ120" s="337"/>
      <c r="CR120" s="337"/>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V120" s="203"/>
      <c r="DW120" s="203"/>
      <c r="DX120" s="203"/>
      <c r="DY120" s="203"/>
      <c r="DZ120" s="203"/>
      <c r="EA120" s="203"/>
      <c r="EB120" s="203"/>
      <c r="EX120" s="337"/>
      <c r="EY120" s="337"/>
      <c r="EZ120" s="337"/>
      <c r="FA120" s="576"/>
      <c r="FB120" s="203"/>
      <c r="FC120" s="203"/>
      <c r="FD120" s="574"/>
    </row>
    <row r="121" spans="1:160">
      <c r="A121" s="203"/>
      <c r="B121" s="340" t="str">
        <f>B116</f>
        <v xml:space="preserve"> - MCM</v>
      </c>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c r="AA121" s="338">
        <f t="shared" ref="AA121:BG121" si="338">AA116/AA61</f>
        <v>0.28207306711979618</v>
      </c>
      <c r="AB121" s="338">
        <f t="shared" si="338"/>
        <v>0.29502771242872516</v>
      </c>
      <c r="AC121" s="338">
        <f t="shared" si="338"/>
        <v>0.39679218967921903</v>
      </c>
      <c r="AD121" s="338">
        <f t="shared" si="338"/>
        <v>0.22071767095463776</v>
      </c>
      <c r="AE121" s="338">
        <f t="shared" si="338"/>
        <v>0.32950708980418625</v>
      </c>
      <c r="AF121" s="338">
        <f t="shared" si="338"/>
        <v>0.3109589041095891</v>
      </c>
      <c r="AG121" s="338">
        <f t="shared" si="338"/>
        <v>0.35812500000000008</v>
      </c>
      <c r="AH121" s="338">
        <f t="shared" si="338"/>
        <v>0.33072720710138814</v>
      </c>
      <c r="AI121" s="338">
        <f t="shared" si="338"/>
        <v>0.35231209519505946</v>
      </c>
      <c r="AJ121" s="338">
        <f t="shared" si="338"/>
        <v>0.32365681627469223</v>
      </c>
      <c r="AK121" s="338">
        <f t="shared" si="338"/>
        <v>0.34574468085106386</v>
      </c>
      <c r="AL121" s="338">
        <f t="shared" si="338"/>
        <v>0.32502596053997923</v>
      </c>
      <c r="AM121" s="338">
        <f t="shared" si="338"/>
        <v>0.35620059502850115</v>
      </c>
      <c r="AN121" s="338">
        <f t="shared" si="338"/>
        <v>0.33200490496627838</v>
      </c>
      <c r="AO121" s="338">
        <f t="shared" si="338"/>
        <v>0.36834667922750824</v>
      </c>
      <c r="AP121" s="338">
        <f t="shared" si="338"/>
        <v>0.40344827586206894</v>
      </c>
      <c r="AQ121" s="338">
        <f t="shared" si="338"/>
        <v>0.43580786026200874</v>
      </c>
      <c r="AR121" s="338">
        <f t="shared" si="338"/>
        <v>0.42899988610622497</v>
      </c>
      <c r="AS121" s="338">
        <f t="shared" si="338"/>
        <v>0.43162217659137575</v>
      </c>
      <c r="AT121" s="338">
        <f t="shared" si="338"/>
        <v>0.40760000000000002</v>
      </c>
      <c r="AU121" s="338">
        <f t="shared" si="338"/>
        <v>0.54122938530734632</v>
      </c>
      <c r="AV121" s="338">
        <f t="shared" si="338"/>
        <v>0.5227397007062593</v>
      </c>
      <c r="AW121" s="338">
        <f t="shared" si="338"/>
        <v>0.52509652509652505</v>
      </c>
      <c r="AX121" s="338">
        <f t="shared" si="338"/>
        <v>0.57129831121463814</v>
      </c>
      <c r="AY121" s="338">
        <f t="shared" si="338"/>
        <v>0.52114396459546153</v>
      </c>
      <c r="AZ121" s="338">
        <f t="shared" si="338"/>
        <v>0.5227383949161194</v>
      </c>
      <c r="BA121" s="338">
        <f t="shared" si="338"/>
        <v>0.54960460100647024</v>
      </c>
      <c r="BB121" s="338">
        <f t="shared" si="338"/>
        <v>0.54025108718739867</v>
      </c>
      <c r="BC121" s="338">
        <f t="shared" si="338"/>
        <v>0.50821093750000002</v>
      </c>
      <c r="BD121" s="338">
        <f t="shared" si="338"/>
        <v>0.52509652509652505</v>
      </c>
      <c r="BE121" s="338">
        <f t="shared" si="338"/>
        <v>0.50384108908136582</v>
      </c>
      <c r="BF121" s="338">
        <f t="shared" si="338"/>
        <v>0.45600175633070844</v>
      </c>
      <c r="BG121" s="338">
        <f t="shared" si="338"/>
        <v>0.51651127776008343</v>
      </c>
      <c r="BH121" s="338">
        <f t="shared" ref="BH121:BI121" si="339">BH116/BH61</f>
        <v>0.50182969408857736</v>
      </c>
      <c r="BI121" s="338">
        <f t="shared" si="339"/>
        <v>0.4368057946618718</v>
      </c>
      <c r="BJ121" s="338">
        <f>BJ116/BJ61</f>
        <v>0.22012578616352202</v>
      </c>
      <c r="BK121" s="338">
        <f t="shared" ref="BK121:BM121" si="340">BK116/BK61</f>
        <v>0.4356292365888953</v>
      </c>
      <c r="BL121" s="338">
        <f t="shared" si="340"/>
        <v>0.42867583119021629</v>
      </c>
      <c r="BM121" s="338">
        <f t="shared" si="340"/>
        <v>0.37954606434617166</v>
      </c>
      <c r="BN121" s="338">
        <f t="shared" ref="BN121:BO121" si="341">BN116/BN61</f>
        <v>0.3466081081081081</v>
      </c>
      <c r="BO121" s="338">
        <f t="shared" si="341"/>
        <v>0.43807766005410281</v>
      </c>
      <c r="BP121" s="338"/>
      <c r="BQ121" s="338"/>
      <c r="BR121" s="338"/>
      <c r="BS121" s="338"/>
      <c r="BT121" s="338"/>
      <c r="BU121" s="338"/>
      <c r="BV121" s="338"/>
      <c r="BW121" s="203"/>
      <c r="BX121" s="337"/>
      <c r="BY121" s="337"/>
      <c r="BZ121" s="337"/>
      <c r="CA121" s="337"/>
      <c r="CB121" s="337"/>
      <c r="CC121" s="337"/>
      <c r="CD121" s="337"/>
      <c r="CE121" s="337"/>
      <c r="CF121" s="337"/>
      <c r="CG121" s="337"/>
      <c r="CH121" s="337"/>
      <c r="CI121" s="337"/>
      <c r="CJ121" s="337"/>
      <c r="CK121" s="337"/>
      <c r="CL121" s="337"/>
      <c r="CM121" s="337"/>
      <c r="CN121" s="337"/>
      <c r="CO121" s="337"/>
      <c r="CP121" s="337"/>
      <c r="CQ121" s="337"/>
      <c r="CR121" s="337"/>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V121" s="203"/>
      <c r="DW121" s="203"/>
      <c r="DX121" s="203"/>
      <c r="DY121" s="203"/>
      <c r="DZ121" s="203"/>
      <c r="EA121" s="203"/>
      <c r="EB121" s="203"/>
      <c r="EX121" s="338"/>
      <c r="EY121" s="338"/>
      <c r="EZ121" s="338"/>
      <c r="FA121" s="578"/>
      <c r="FB121" s="203"/>
      <c r="FC121" s="203"/>
      <c r="FD121" s="574"/>
    </row>
    <row r="122" spans="1:160">
      <c r="A122" s="203"/>
      <c r="B122" s="340" t="str">
        <f>B117</f>
        <v xml:space="preserve"> - Ho1a</v>
      </c>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338">
        <f t="shared" ref="AA122:BG122" si="342">AA117/AA62</f>
        <v>0.15119916579770598</v>
      </c>
      <c r="AB122" s="338">
        <f t="shared" si="342"/>
        <v>0.14629762760603876</v>
      </c>
      <c r="AC122" s="338">
        <f t="shared" si="342"/>
        <v>0.13323124042879012</v>
      </c>
      <c r="AD122" s="338">
        <f t="shared" si="342"/>
        <v>0.20192307692307693</v>
      </c>
      <c r="AE122" s="338">
        <f t="shared" si="342"/>
        <v>5.0034270047978092E-2</v>
      </c>
      <c r="AF122" s="338">
        <f t="shared" si="342"/>
        <v>6.4386317907444673E-2</v>
      </c>
      <c r="AG122" s="338">
        <f t="shared" si="342"/>
        <v>9.1176470588235331E-2</v>
      </c>
      <c r="AH122" s="338">
        <f t="shared" si="342"/>
        <v>0.12512524394203337</v>
      </c>
      <c r="AI122" s="338">
        <f t="shared" si="342"/>
        <v>0.16158940397350993</v>
      </c>
      <c r="AJ122" s="338">
        <f t="shared" si="342"/>
        <v>0.13967625240406639</v>
      </c>
      <c r="AK122" s="338">
        <f t="shared" si="342"/>
        <v>0.12477718360071301</v>
      </c>
      <c r="AL122" s="338">
        <f t="shared" si="342"/>
        <v>0.13475026567481402</v>
      </c>
      <c r="AM122" s="338">
        <f t="shared" si="342"/>
        <v>0.17025092872428466</v>
      </c>
      <c r="AN122" s="338">
        <f t="shared" si="342"/>
        <v>0.16872275870566311</v>
      </c>
      <c r="AO122" s="338">
        <f t="shared" si="342"/>
        <v>0.18494055482166447</v>
      </c>
      <c r="AP122" s="338">
        <f t="shared" si="342"/>
        <v>0.34636871508379891</v>
      </c>
      <c r="AQ122" s="338">
        <f t="shared" si="342"/>
        <v>0.18082936777702244</v>
      </c>
      <c r="AR122" s="338">
        <f t="shared" si="342"/>
        <v>0.13613112590066553</v>
      </c>
      <c r="AS122" s="338">
        <f t="shared" si="342"/>
        <v>7.8690807799442902E-2</v>
      </c>
      <c r="AT122" s="338">
        <f t="shared" si="342"/>
        <v>6.5517241379310351E-2</v>
      </c>
      <c r="AU122" s="338">
        <f t="shared" si="342"/>
        <v>0.21084337349397592</v>
      </c>
      <c r="AV122" s="338">
        <f t="shared" si="342"/>
        <v>6.9695574315681769E-2</v>
      </c>
      <c r="AW122" s="338">
        <f t="shared" si="342"/>
        <v>0.19022556390977444</v>
      </c>
      <c r="AX122" s="338">
        <f t="shared" si="342"/>
        <v>0.13880981780136295</v>
      </c>
      <c r="AY122" s="338">
        <f t="shared" si="342"/>
        <v>0.21202687203014911</v>
      </c>
      <c r="AZ122" s="338">
        <f t="shared" si="342"/>
        <v>0.26835596182282567</v>
      </c>
      <c r="BA122" s="338">
        <f t="shared" si="342"/>
        <v>0.13917175831636117</v>
      </c>
      <c r="BB122" s="338">
        <f t="shared" si="342"/>
        <v>9.5006172422476221E-2</v>
      </c>
      <c r="BC122" s="338">
        <f t="shared" si="342"/>
        <v>0.17492993630573248</v>
      </c>
      <c r="BD122" s="338">
        <f t="shared" si="342"/>
        <v>0.15469613259668508</v>
      </c>
      <c r="BE122" s="338">
        <f t="shared" si="342"/>
        <v>0.12983652123905998</v>
      </c>
      <c r="BF122" s="338">
        <f t="shared" si="342"/>
        <v>5.1780015094488534E-2</v>
      </c>
      <c r="BG122" s="338">
        <f t="shared" si="342"/>
        <v>0.10107626757102664</v>
      </c>
      <c r="BH122" s="338">
        <f t="shared" ref="BH122:BI122" si="343">BH117/BH62</f>
        <v>0.17961066417726038</v>
      </c>
      <c r="BI122" s="338">
        <f t="shared" si="343"/>
        <v>0.24659110081752228</v>
      </c>
      <c r="BJ122" s="338">
        <f t="shared" ref="BJ122:BM122" si="344">BJ117/BJ62</f>
        <v>0.18101545253863136</v>
      </c>
      <c r="BK122" s="338">
        <f t="shared" si="344"/>
        <v>0.19199218494467971</v>
      </c>
      <c r="BL122" s="338">
        <f t="shared" si="344"/>
        <v>0.21043654344638679</v>
      </c>
      <c r="BM122" s="338">
        <f t="shared" si="344"/>
        <v>0.22280864063382863</v>
      </c>
      <c r="BN122" s="338">
        <f t="shared" ref="BN122:BO122" si="345">BN117/BN62</f>
        <v>0.23512616201859229</v>
      </c>
      <c r="BO122" s="338">
        <f t="shared" si="345"/>
        <v>0.32645425934438982</v>
      </c>
      <c r="BP122" s="338"/>
      <c r="BQ122" s="338"/>
      <c r="BR122" s="338"/>
      <c r="BS122" s="338"/>
      <c r="BT122" s="338"/>
      <c r="BU122" s="338"/>
      <c r="BV122" s="338"/>
      <c r="BW122" s="203"/>
      <c r="BX122" s="337"/>
      <c r="BY122" s="337"/>
      <c r="BZ122" s="337"/>
      <c r="CA122" s="337"/>
      <c r="CB122" s="337"/>
      <c r="CC122" s="337"/>
      <c r="CD122" s="337"/>
      <c r="CE122" s="337"/>
      <c r="CF122" s="337"/>
      <c r="CG122" s="337"/>
      <c r="CH122" s="337"/>
      <c r="CI122" s="337"/>
      <c r="CJ122" s="337"/>
      <c r="CK122" s="337"/>
      <c r="CL122" s="337"/>
      <c r="CM122" s="337"/>
      <c r="CN122" s="337"/>
      <c r="CO122" s="337"/>
      <c r="CP122" s="337"/>
      <c r="CQ122" s="337"/>
      <c r="CR122" s="337"/>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V122" s="203"/>
      <c r="DW122" s="203"/>
      <c r="DX122" s="203"/>
      <c r="DY122" s="203"/>
      <c r="DZ122" s="203"/>
      <c r="EA122" s="203"/>
      <c r="EB122" s="203"/>
      <c r="EX122" s="338"/>
      <c r="EY122" s="338"/>
      <c r="EZ122" s="338"/>
      <c r="FA122" s="578"/>
      <c r="FB122" s="203"/>
      <c r="FC122" s="203"/>
      <c r="FD122" s="574"/>
    </row>
    <row r="123" spans="1:160">
      <c r="A123" s="203"/>
      <c r="B123" s="384" t="str">
        <f>B118</f>
        <v xml:space="preserve"> - PCTV</v>
      </c>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61"/>
      <c r="AC123" s="358"/>
      <c r="AD123" s="361">
        <f t="shared" ref="AD123:BG123" si="346">AD118/AD63</f>
        <v>8.2882882882882841E-2</v>
      </c>
      <c r="AE123" s="361">
        <f t="shared" si="346"/>
        <v>0.11373707533234863</v>
      </c>
      <c r="AF123" s="361">
        <f t="shared" si="346"/>
        <v>0.1388888888888889</v>
      </c>
      <c r="AG123" s="361">
        <f t="shared" si="346"/>
        <v>7.3333333333333348E-2</v>
      </c>
      <c r="AH123" s="361">
        <f t="shared" si="346"/>
        <v>0.29752770673486778</v>
      </c>
      <c r="AI123" s="361">
        <f t="shared" si="346"/>
        <v>-4.390243902439029E-2</v>
      </c>
      <c r="AJ123" s="361">
        <f t="shared" si="346"/>
        <v>1.7657081680966229E-2</v>
      </c>
      <c r="AK123" s="361">
        <f t="shared" si="346"/>
        <v>0.1851851851851852</v>
      </c>
      <c r="AL123" s="361">
        <f t="shared" si="346"/>
        <v>0.10177514792899407</v>
      </c>
      <c r="AM123" s="361">
        <f t="shared" si="346"/>
        <v>1.7649135192375574E-2</v>
      </c>
      <c r="AN123" s="361">
        <f t="shared" si="346"/>
        <v>-5.9605351365530912E-3</v>
      </c>
      <c r="AO123" s="361">
        <f t="shared" si="346"/>
        <v>7.8023407022106625E-2</v>
      </c>
      <c r="AP123" s="361">
        <f t="shared" si="346"/>
        <v>0.21706398996235884</v>
      </c>
      <c r="AQ123" s="361">
        <f t="shared" si="346"/>
        <v>3.5714285714285712E-2</v>
      </c>
      <c r="AR123" s="361">
        <f t="shared" si="346"/>
        <v>6.7008507166996856E-2</v>
      </c>
      <c r="AS123" s="361">
        <f t="shared" si="346"/>
        <v>0.16644993498049415</v>
      </c>
      <c r="AT123" s="361">
        <f t="shared" si="346"/>
        <v>4.2105263157894736E-2</v>
      </c>
      <c r="AU123" s="361">
        <f t="shared" si="346"/>
        <v>5.305039787798408E-2</v>
      </c>
      <c r="AV123" s="361">
        <f t="shared" si="346"/>
        <v>0.12270559681924068</v>
      </c>
      <c r="AW123" s="361">
        <f t="shared" si="346"/>
        <v>0.1125</v>
      </c>
      <c r="AX123" s="361">
        <f t="shared" si="346"/>
        <v>1.8090880068106843E-2</v>
      </c>
      <c r="AY123" s="361">
        <f t="shared" si="346"/>
        <v>1.9350819759042532E-2</v>
      </c>
      <c r="AZ123" s="361">
        <f t="shared" si="346"/>
        <v>7.3174649923692742E-2</v>
      </c>
      <c r="BA123" s="361">
        <f t="shared" si="346"/>
        <v>-0.12364545707140873</v>
      </c>
      <c r="BB123" s="361">
        <f t="shared" si="346"/>
        <v>6.4129384274721382E-2</v>
      </c>
      <c r="BC123" s="361">
        <f t="shared" si="346"/>
        <v>0.10492574257425742</v>
      </c>
      <c r="BD123" s="361">
        <f t="shared" si="346"/>
        <v>0.10126582278481013</v>
      </c>
      <c r="BE123" s="361">
        <f t="shared" si="346"/>
        <v>0.12277753944420612</v>
      </c>
      <c r="BF123" s="361">
        <f t="shared" si="346"/>
        <v>9.3375000000000003E-3</v>
      </c>
      <c r="BG123" s="361">
        <f t="shared" si="346"/>
        <v>8.9381226393571447E-2</v>
      </c>
      <c r="BH123" s="361">
        <f t="shared" ref="BH123:BI123" si="347">BH118/BH63</f>
        <v>0.10383651754322655</v>
      </c>
      <c r="BI123" s="361">
        <f t="shared" si="347"/>
        <v>2.7889166622347496E-2</v>
      </c>
      <c r="BJ123" s="361">
        <f t="shared" ref="BJ123:BM123" si="348">BJ118/BJ63</f>
        <v>6.25E-2</v>
      </c>
      <c r="BK123" s="361">
        <f t="shared" si="348"/>
        <v>3.008037493703598E-2</v>
      </c>
      <c r="BL123" s="361">
        <f t="shared" si="348"/>
        <v>5.0152898681981396E-2</v>
      </c>
      <c r="BM123" s="361">
        <f t="shared" si="348"/>
        <v>6.5911890904456441E-2</v>
      </c>
      <c r="BN123" s="361">
        <f t="shared" ref="BN123:BO123" si="349">BN118/BN63</f>
        <v>-0.12448001803731469</v>
      </c>
      <c r="BO123" s="361">
        <f t="shared" si="349"/>
        <v>3.2505478451424395E-2</v>
      </c>
      <c r="BP123" s="361"/>
      <c r="BQ123" s="361"/>
      <c r="BR123" s="361"/>
      <c r="BS123" s="338"/>
      <c r="BT123" s="338"/>
      <c r="BU123" s="338"/>
      <c r="BV123" s="338"/>
      <c r="BW123" s="203"/>
      <c r="BX123" s="337"/>
      <c r="BY123" s="337"/>
      <c r="BZ123" s="337"/>
      <c r="CA123" s="337"/>
      <c r="CB123" s="337"/>
      <c r="CC123" s="337"/>
      <c r="CD123" s="337"/>
      <c r="CE123" s="337"/>
      <c r="CF123" s="337"/>
      <c r="CG123" s="337"/>
      <c r="CH123" s="337"/>
      <c r="CI123" s="337"/>
      <c r="CJ123" s="337"/>
      <c r="CK123" s="337"/>
      <c r="CL123" s="337"/>
      <c r="CM123" s="337"/>
      <c r="CN123" s="337"/>
      <c r="CO123" s="337"/>
      <c r="CP123" s="337"/>
      <c r="CQ123" s="337"/>
      <c r="CR123" s="337"/>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V123" s="203"/>
      <c r="DW123" s="203"/>
      <c r="DX123" s="203"/>
      <c r="DY123" s="203"/>
      <c r="DZ123" s="203"/>
      <c r="EA123" s="203"/>
      <c r="EB123" s="203"/>
      <c r="EX123" s="361"/>
      <c r="EY123" s="361"/>
      <c r="EZ123" s="361"/>
      <c r="FA123" s="592"/>
      <c r="FB123" s="203"/>
      <c r="FC123" s="203"/>
      <c r="FD123" s="574"/>
    </row>
    <row r="124" spans="1:160">
      <c r="A124" s="203"/>
      <c r="B124" s="340" t="s">
        <v>679</v>
      </c>
      <c r="C124" s="203"/>
      <c r="D124" s="203"/>
      <c r="E124" s="203"/>
      <c r="F124" s="203"/>
      <c r="G124" s="203"/>
      <c r="H124" s="203"/>
      <c r="I124" s="203"/>
      <c r="J124" s="203"/>
      <c r="K124" s="203"/>
      <c r="L124" s="338"/>
      <c r="M124" s="338"/>
      <c r="N124" s="338"/>
      <c r="O124" s="338"/>
      <c r="P124" s="338"/>
      <c r="Q124" s="338"/>
      <c r="R124" s="338"/>
      <c r="S124" s="338"/>
      <c r="T124" s="338"/>
      <c r="U124" s="338"/>
      <c r="V124" s="338"/>
      <c r="W124" s="338">
        <f t="shared" ref="W124:AP124" si="350">W119/W64</f>
        <v>0.1778496362166532</v>
      </c>
      <c r="X124" s="338">
        <f t="shared" si="350"/>
        <v>0.13742926434923203</v>
      </c>
      <c r="Y124" s="338">
        <f t="shared" si="350"/>
        <v>0.26093088857545838</v>
      </c>
      <c r="Z124" s="338">
        <f t="shared" si="350"/>
        <v>0.1884297520661157</v>
      </c>
      <c r="AA124" s="338">
        <f t="shared" si="350"/>
        <v>0.18072289156626503</v>
      </c>
      <c r="AB124" s="338">
        <f t="shared" si="350"/>
        <v>0.17556693489392827</v>
      </c>
      <c r="AC124" s="338">
        <f t="shared" si="350"/>
        <v>0.19685039370078738</v>
      </c>
      <c r="AD124" s="338">
        <f t="shared" si="350"/>
        <v>0.14658116874051877</v>
      </c>
      <c r="AE124" s="338">
        <f t="shared" si="350"/>
        <v>0.14345906902086678</v>
      </c>
      <c r="AF124" s="338">
        <f t="shared" si="350"/>
        <v>0.11251954022988511</v>
      </c>
      <c r="AG124" s="338">
        <f t="shared" si="350"/>
        <v>0.14555125725338486</v>
      </c>
      <c r="AH124" s="338">
        <f t="shared" si="350"/>
        <v>0.17047711747580921</v>
      </c>
      <c r="AI124" s="338">
        <f t="shared" si="350"/>
        <v>0.15289331916297166</v>
      </c>
      <c r="AJ124" s="338">
        <f t="shared" si="350"/>
        <v>0.14209472185095567</v>
      </c>
      <c r="AK124" s="338">
        <f t="shared" si="350"/>
        <v>0.15778661797313176</v>
      </c>
      <c r="AL124" s="338">
        <f t="shared" si="350"/>
        <v>0.1459438055977435</v>
      </c>
      <c r="AM124" s="338">
        <f t="shared" si="350"/>
        <v>0.15496475353779782</v>
      </c>
      <c r="AN124" s="338">
        <f t="shared" si="350"/>
        <v>0.14419998682563745</v>
      </c>
      <c r="AO124" s="338">
        <f t="shared" si="350"/>
        <v>0.16063144329896933</v>
      </c>
      <c r="AP124" s="338">
        <f t="shared" si="350"/>
        <v>0.23112461600106837</v>
      </c>
      <c r="AQ124" s="338">
        <f t="shared" ref="AQ124:BG124" si="351">AQ119/(AQ61+AQ62+AQ63)</f>
        <v>0.28923783904954042</v>
      </c>
      <c r="AR124" s="338">
        <f t="shared" si="351"/>
        <v>0.27956219425967332</v>
      </c>
      <c r="AS124" s="338">
        <f t="shared" si="351"/>
        <v>0.2782607758620686</v>
      </c>
      <c r="AT124" s="338">
        <f t="shared" si="351"/>
        <v>0.22061281337047303</v>
      </c>
      <c r="AU124" s="338">
        <f t="shared" si="351"/>
        <v>0.36106257378984685</v>
      </c>
      <c r="AV124" s="338">
        <f t="shared" si="351"/>
        <v>0.29681766305916196</v>
      </c>
      <c r="AW124" s="338">
        <f t="shared" si="351"/>
        <v>0.3218181818181815</v>
      </c>
      <c r="AX124" s="338">
        <f t="shared" si="351"/>
        <v>0.26818890826937974</v>
      </c>
      <c r="AY124" s="338">
        <f t="shared" si="351"/>
        <v>0.34688779254828606</v>
      </c>
      <c r="AZ124" s="338">
        <f t="shared" si="351"/>
        <v>0.36045382088734662</v>
      </c>
      <c r="BA124" s="338">
        <f t="shared" si="351"/>
        <v>0.33259427514674011</v>
      </c>
      <c r="BB124" s="338">
        <f t="shared" si="351"/>
        <v>0.32303013169823441</v>
      </c>
      <c r="BC124" s="338">
        <f t="shared" si="351"/>
        <v>0.33625759416767897</v>
      </c>
      <c r="BD124" s="338">
        <f t="shared" si="351"/>
        <v>0.33333333333333331</v>
      </c>
      <c r="BE124" s="338">
        <f t="shared" si="351"/>
        <v>0.32243281568844434</v>
      </c>
      <c r="BF124" s="338">
        <f t="shared" si="351"/>
        <v>0.24609374303170881</v>
      </c>
      <c r="BG124" s="338">
        <f t="shared" si="351"/>
        <v>0.31178209045266975</v>
      </c>
      <c r="BH124" s="338">
        <f t="shared" ref="BH124:BI124" si="352">BH119/(BH61+BH62+BH63)</f>
        <v>0.33322356220036792</v>
      </c>
      <c r="BI124" s="338">
        <f t="shared" si="352"/>
        <v>0.31140907779881077</v>
      </c>
      <c r="BJ124" s="338">
        <f t="shared" ref="BJ124:BM124" si="353">BJ119/(BJ61+BJ62+BJ63)</f>
        <v>0.1809723183391001</v>
      </c>
      <c r="BK124" s="338">
        <f t="shared" si="353"/>
        <v>0.28949640966755036</v>
      </c>
      <c r="BL124" s="338">
        <f t="shared" si="353"/>
        <v>0.29537044939162604</v>
      </c>
      <c r="BM124" s="338">
        <f t="shared" si="353"/>
        <v>0.28562634498486739</v>
      </c>
      <c r="BN124" s="338">
        <f t="shared" ref="BN124:BO124" si="354">BN119/(BN61+BN62+BN63)</f>
        <v>0.2367295762532709</v>
      </c>
      <c r="BO124" s="338">
        <f t="shared" si="354"/>
        <v>0.32681909186776897</v>
      </c>
      <c r="BP124" s="338">
        <f t="shared" ref="BP124:BR124" si="355">BP119/(BP61+BP62+BP63)</f>
        <v>0.28358208955223879</v>
      </c>
      <c r="BQ124" s="338">
        <f t="shared" si="355"/>
        <v>0.27737226277372262</v>
      </c>
      <c r="BR124" s="338">
        <f t="shared" si="355"/>
        <v>0.27523174199192735</v>
      </c>
      <c r="BS124" s="338"/>
      <c r="BT124" s="338"/>
      <c r="BU124" s="338"/>
      <c r="BV124" s="338"/>
      <c r="BW124" s="203"/>
      <c r="BX124" s="203"/>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V124" s="203"/>
      <c r="DW124" s="203"/>
      <c r="DX124" s="203"/>
      <c r="DY124" s="203"/>
      <c r="DZ124" s="203"/>
      <c r="EA124" s="203"/>
      <c r="EB124" s="203"/>
      <c r="EX124" s="338">
        <v>0.29337182502809617</v>
      </c>
      <c r="EY124" s="338">
        <v>0.30876125384382752</v>
      </c>
      <c r="EZ124" s="338">
        <v>0.30937803203425229</v>
      </c>
      <c r="FA124" s="578">
        <v>0.24765462473995928</v>
      </c>
      <c r="FB124" s="203"/>
      <c r="FC124" s="203"/>
      <c r="FD124" s="574"/>
    </row>
    <row r="125" spans="1:160">
      <c r="A125" s="203"/>
      <c r="B125" s="340"/>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336"/>
      <c r="AF125" s="336"/>
      <c r="AG125" s="336"/>
      <c r="AH125" s="337"/>
      <c r="AI125" s="337"/>
      <c r="AJ125" s="337"/>
      <c r="AK125" s="337"/>
      <c r="AL125" s="337"/>
      <c r="AM125" s="337"/>
      <c r="AN125" s="203"/>
      <c r="AO125" s="337">
        <f>SUM(AM126:AP126)/SUM(AI126:AL126)-1</f>
        <v>0.11577881136293211</v>
      </c>
      <c r="AP125" s="337"/>
      <c r="AQ125" s="337"/>
      <c r="AR125" s="337"/>
      <c r="AS125" s="337"/>
      <c r="AT125" s="337"/>
      <c r="AU125" s="337"/>
      <c r="AV125" s="337"/>
      <c r="AW125" s="337"/>
      <c r="AX125" s="337"/>
      <c r="AY125" s="337"/>
      <c r="AZ125" s="337"/>
      <c r="BA125" s="337"/>
      <c r="BB125" s="337"/>
      <c r="BC125" s="337"/>
      <c r="BD125" s="337"/>
      <c r="BE125" s="337"/>
      <c r="BF125" s="337"/>
      <c r="BG125" s="337"/>
      <c r="BH125" s="337"/>
      <c r="BI125" s="337"/>
      <c r="BJ125" s="337"/>
      <c r="BK125" s="337"/>
      <c r="BL125" s="337"/>
      <c r="BM125" s="337"/>
      <c r="BN125" s="337"/>
      <c r="BO125" s="337"/>
      <c r="BP125" s="337"/>
      <c r="BQ125" s="337"/>
      <c r="BR125" s="337"/>
      <c r="BS125" s="337"/>
      <c r="BT125" s="337"/>
      <c r="BU125" s="337"/>
      <c r="BV125" s="337"/>
      <c r="BW125" s="203"/>
      <c r="BX125" s="337"/>
      <c r="BY125" s="337"/>
      <c r="BZ125" s="337"/>
      <c r="CA125" s="337"/>
      <c r="CB125" s="337"/>
      <c r="CC125" s="337"/>
      <c r="CD125" s="337"/>
      <c r="CE125" s="337"/>
      <c r="CF125" s="337"/>
      <c r="CG125" s="337"/>
      <c r="CH125" s="337"/>
      <c r="CI125" s="337"/>
      <c r="CJ125" s="337"/>
      <c r="CK125" s="337"/>
      <c r="CL125" s="337"/>
      <c r="CM125" s="337"/>
      <c r="CN125" s="337"/>
      <c r="CO125" s="337"/>
      <c r="CP125" s="337"/>
      <c r="CQ125" s="337"/>
      <c r="CR125" s="337"/>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V125" s="203"/>
      <c r="DW125" s="203"/>
      <c r="DX125" s="203"/>
      <c r="DY125" s="203"/>
      <c r="DZ125" s="203"/>
      <c r="EA125" s="203"/>
      <c r="EB125" s="203"/>
      <c r="EX125" s="337"/>
      <c r="EY125" s="337"/>
      <c r="EZ125" s="337"/>
      <c r="FA125" s="576"/>
      <c r="FB125" s="203"/>
      <c r="FC125" s="203"/>
      <c r="FD125" s="574"/>
    </row>
    <row r="126" spans="1:160">
      <c r="A126" s="203"/>
      <c r="B126" s="341" t="s">
        <v>1373</v>
      </c>
      <c r="C126" s="205"/>
      <c r="D126" s="205"/>
      <c r="E126" s="205"/>
      <c r="F126" s="205"/>
      <c r="G126" s="205"/>
      <c r="H126" s="205"/>
      <c r="I126" s="205"/>
      <c r="J126" s="205"/>
      <c r="K126" s="205"/>
      <c r="L126" s="205"/>
      <c r="M126" s="205">
        <v>774</v>
      </c>
      <c r="N126" s="205">
        <v>753</v>
      </c>
      <c r="O126" s="376">
        <v>928</v>
      </c>
      <c r="P126" s="205">
        <v>884</v>
      </c>
      <c r="Q126" s="205">
        <v>859</v>
      </c>
      <c r="R126" s="205">
        <v>891</v>
      </c>
      <c r="S126" s="376">
        <v>996</v>
      </c>
      <c r="T126" s="205">
        <v>919</v>
      </c>
      <c r="U126" s="205">
        <v>915</v>
      </c>
      <c r="V126" s="205">
        <v>947</v>
      </c>
      <c r="W126" s="205">
        <v>1036</v>
      </c>
      <c r="X126" s="205">
        <v>1062</v>
      </c>
      <c r="Y126" s="205">
        <v>1064</v>
      </c>
      <c r="Z126" s="377">
        <v>1188</v>
      </c>
      <c r="AA126" s="205">
        <v>1194</v>
      </c>
      <c r="AB126" s="205">
        <v>1195</v>
      </c>
      <c r="AC126" s="205">
        <v>1203</v>
      </c>
      <c r="AD126" s="377">
        <f>1214+36</f>
        <v>1250</v>
      </c>
      <c r="AE126" s="205">
        <v>1464</v>
      </c>
      <c r="AF126" s="376">
        <v>1386.8920000000001</v>
      </c>
      <c r="AG126" s="376">
        <v>1395.3</v>
      </c>
      <c r="AH126" s="376">
        <v>1597.069</v>
      </c>
      <c r="AI126" s="376">
        <v>1768.4</v>
      </c>
      <c r="AJ126" s="376">
        <v>1703.028</v>
      </c>
      <c r="AK126" s="376">
        <f>1576.7+24</f>
        <v>1600.7</v>
      </c>
      <c r="AL126" s="376">
        <v>1842.5309999999999</v>
      </c>
      <c r="AM126" s="376">
        <v>1871.501</v>
      </c>
      <c r="AN126" s="376">
        <v>1866.684</v>
      </c>
      <c r="AO126" s="376">
        <v>1938.1020000000001</v>
      </c>
      <c r="AP126" s="376">
        <v>2038.943</v>
      </c>
      <c r="AQ126" s="376">
        <v>2220.5</v>
      </c>
      <c r="AR126" s="378">
        <f>2286.535-99</f>
        <v>2187.5349999999999</v>
      </c>
      <c r="AS126" s="337"/>
      <c r="AT126" s="337"/>
      <c r="AU126" s="337"/>
      <c r="AV126" s="337"/>
      <c r="AW126" s="337"/>
      <c r="AX126" s="337"/>
      <c r="AY126" s="337"/>
      <c r="AZ126" s="337"/>
      <c r="BA126" s="337"/>
      <c r="BB126" s="337"/>
      <c r="BC126" s="337"/>
      <c r="BD126" s="337"/>
      <c r="BE126" s="337"/>
      <c r="BF126" s="337"/>
      <c r="BG126" s="337"/>
      <c r="BH126" s="337"/>
      <c r="BI126" s="337"/>
      <c r="BJ126" s="337"/>
      <c r="BK126" s="337"/>
      <c r="BL126" s="337"/>
      <c r="BM126" s="337"/>
      <c r="BN126" s="376"/>
      <c r="BO126" s="376"/>
      <c r="BP126" s="376"/>
      <c r="BQ126" s="376"/>
      <c r="BR126" s="376"/>
      <c r="BS126" s="376"/>
      <c r="BT126" s="376"/>
      <c r="BU126" s="376"/>
      <c r="BV126" s="376"/>
      <c r="BW126" s="203"/>
      <c r="BX126" s="337">
        <f t="shared" ref="BX126:CS126" si="356">W126/S126-1</f>
        <v>4.016064257028118E-2</v>
      </c>
      <c r="BY126" s="337">
        <f t="shared" si="356"/>
        <v>0.15560391730141454</v>
      </c>
      <c r="BZ126" s="337">
        <f t="shared" si="356"/>
        <v>0.16284153005464486</v>
      </c>
      <c r="CA126" s="337">
        <f t="shared" si="356"/>
        <v>0.2544878563885955</v>
      </c>
      <c r="CB126" s="337">
        <f t="shared" si="356"/>
        <v>0.15250965250965254</v>
      </c>
      <c r="CC126" s="337">
        <f t="shared" si="356"/>
        <v>0.12523540489642193</v>
      </c>
      <c r="CD126" s="337">
        <f t="shared" si="356"/>
        <v>0.130639097744361</v>
      </c>
      <c r="CE126" s="337">
        <f t="shared" si="356"/>
        <v>5.2188552188552118E-2</v>
      </c>
      <c r="CF126" s="337">
        <f t="shared" si="356"/>
        <v>0.22613065326633164</v>
      </c>
      <c r="CG126" s="337">
        <f t="shared" si="356"/>
        <v>0.16057907949790806</v>
      </c>
      <c r="CH126" s="337">
        <f t="shared" si="356"/>
        <v>0.15985037406483782</v>
      </c>
      <c r="CI126" s="337">
        <f t="shared" si="356"/>
        <v>0.27765519999999988</v>
      </c>
      <c r="CJ126" s="337">
        <f t="shared" si="356"/>
        <v>0.20792349726775972</v>
      </c>
      <c r="CK126" s="337">
        <f t="shared" si="356"/>
        <v>0.22794565113938203</v>
      </c>
      <c r="CL126" s="337">
        <f t="shared" si="356"/>
        <v>0.1472084856303304</v>
      </c>
      <c r="CM126" s="337">
        <f t="shared" si="356"/>
        <v>0.15369530057874758</v>
      </c>
      <c r="CN126" s="337">
        <f t="shared" si="356"/>
        <v>5.8301854783985529E-2</v>
      </c>
      <c r="CO126" s="337">
        <f t="shared" si="356"/>
        <v>9.6097069455111761E-2</v>
      </c>
      <c r="CP126" s="337">
        <f t="shared" si="356"/>
        <v>0.21078403198600615</v>
      </c>
      <c r="CQ126" s="337">
        <f t="shared" si="356"/>
        <v>0.10659902058635651</v>
      </c>
      <c r="CR126" s="337">
        <f t="shared" si="356"/>
        <v>0.18648079803323636</v>
      </c>
      <c r="CS126" s="337">
        <f t="shared" si="356"/>
        <v>0.17188286823050913</v>
      </c>
      <c r="CT126" s="337"/>
      <c r="CU126" s="337"/>
      <c r="CV126" s="337"/>
      <c r="CW126" s="337"/>
      <c r="CX126" s="337"/>
      <c r="CY126" s="337"/>
      <c r="CZ126" s="337"/>
      <c r="DA126" s="337"/>
      <c r="DB126" s="337"/>
      <c r="DC126" s="337"/>
      <c r="DD126" s="337"/>
      <c r="DE126" s="337"/>
      <c r="DF126" s="203"/>
      <c r="DG126" s="203"/>
      <c r="DH126" s="203"/>
      <c r="DI126" s="203"/>
      <c r="DJ126" s="203"/>
      <c r="DK126" s="203"/>
      <c r="DL126" s="203"/>
      <c r="DM126" s="203"/>
      <c r="DN126" s="203"/>
      <c r="DO126" s="203"/>
      <c r="DP126" s="203"/>
      <c r="DQ126" s="203"/>
      <c r="DR126" s="203"/>
      <c r="DS126" s="203"/>
      <c r="DT126" s="203"/>
      <c r="DV126" s="203"/>
      <c r="DW126" s="203"/>
      <c r="DX126" s="203"/>
      <c r="DY126" s="203"/>
      <c r="DZ126" s="203"/>
      <c r="EA126" s="203"/>
      <c r="EB126" s="203"/>
      <c r="EX126" s="337"/>
      <c r="EY126" s="337"/>
      <c r="EZ126" s="337"/>
      <c r="FA126" s="587"/>
      <c r="FB126" s="203"/>
      <c r="FC126" s="203"/>
      <c r="FD126" s="574"/>
    </row>
    <row r="127" spans="1:160">
      <c r="A127" s="203"/>
      <c r="B127" s="340" t="s">
        <v>200</v>
      </c>
      <c r="C127" s="203"/>
      <c r="D127" s="203"/>
      <c r="E127" s="203"/>
      <c r="F127" s="203"/>
      <c r="G127" s="203"/>
      <c r="H127" s="203"/>
      <c r="I127" s="203"/>
      <c r="J127" s="203"/>
      <c r="K127" s="203"/>
      <c r="L127" s="338">
        <f t="shared" ref="L127:AR127" si="357">L126/L99</f>
        <v>0</v>
      </c>
      <c r="M127" s="338">
        <f t="shared" si="357"/>
        <v>0.40909090909090912</v>
      </c>
      <c r="N127" s="338">
        <f t="shared" si="357"/>
        <v>0.3839877613462519</v>
      </c>
      <c r="O127" s="338">
        <f t="shared" si="357"/>
        <v>0.45401174168297453</v>
      </c>
      <c r="P127" s="338">
        <f t="shared" si="357"/>
        <v>0.44001991040318567</v>
      </c>
      <c r="Q127" s="338">
        <f t="shared" si="357"/>
        <v>0.42149165848871445</v>
      </c>
      <c r="R127" s="338">
        <f t="shared" si="357"/>
        <v>0.41269106067623901</v>
      </c>
      <c r="S127" s="338">
        <f t="shared" si="357"/>
        <v>0.44266666666666665</v>
      </c>
      <c r="T127" s="338">
        <f t="shared" si="357"/>
        <v>0.41944317663167502</v>
      </c>
      <c r="U127" s="338">
        <f t="shared" si="357"/>
        <v>0.40540540540540543</v>
      </c>
      <c r="V127" s="338">
        <f t="shared" si="357"/>
        <v>0.41553312856516017</v>
      </c>
      <c r="W127" s="338">
        <f t="shared" si="357"/>
        <v>0.43148688046647232</v>
      </c>
      <c r="X127" s="338">
        <f t="shared" si="357"/>
        <v>0.43453355155482815</v>
      </c>
      <c r="Y127" s="338">
        <f t="shared" si="357"/>
        <v>0.42989898989898989</v>
      </c>
      <c r="Z127" s="338">
        <f t="shared" si="357"/>
        <v>0.43231441048034935</v>
      </c>
      <c r="AA127" s="338">
        <f t="shared" si="357"/>
        <v>0.44287833827893175</v>
      </c>
      <c r="AB127" s="338">
        <f t="shared" si="357"/>
        <v>0.42816194912217842</v>
      </c>
      <c r="AC127" s="338">
        <f t="shared" si="357"/>
        <v>0.41770833333333335</v>
      </c>
      <c r="AD127" s="338">
        <f t="shared" si="357"/>
        <v>0.40212929067931863</v>
      </c>
      <c r="AE127" s="338">
        <f t="shared" si="357"/>
        <v>0.43848089133820534</v>
      </c>
      <c r="AF127" s="338">
        <f t="shared" si="357"/>
        <v>0.3740269687162891</v>
      </c>
      <c r="AG127" s="338">
        <f t="shared" si="357"/>
        <v>0.38942227183924083</v>
      </c>
      <c r="AH127" s="338">
        <f t="shared" si="357"/>
        <v>0.40663724508930987</v>
      </c>
      <c r="AI127" s="338">
        <f t="shared" si="357"/>
        <v>0.43564547661842146</v>
      </c>
      <c r="AJ127" s="338">
        <f t="shared" si="357"/>
        <v>0.40330634722234721</v>
      </c>
      <c r="AK127" s="338">
        <f t="shared" si="357"/>
        <v>0.37935774380850812</v>
      </c>
      <c r="AL127" s="338">
        <f t="shared" si="357"/>
        <v>0.41351749682601202</v>
      </c>
      <c r="AM127" s="338">
        <f t="shared" si="357"/>
        <v>0.43625260725771031</v>
      </c>
      <c r="AN127" s="338">
        <f t="shared" si="357"/>
        <v>0.45199910892431666</v>
      </c>
      <c r="AO127" s="338">
        <f t="shared" si="357"/>
        <v>0.45308671875876677</v>
      </c>
      <c r="AP127" s="338">
        <f t="shared" si="357"/>
        <v>0.45154322922007073</v>
      </c>
      <c r="AQ127" s="338">
        <f t="shared" si="357"/>
        <v>0.47294994675186369</v>
      </c>
      <c r="AR127" s="338">
        <f t="shared" si="357"/>
        <v>0.45261127179559962</v>
      </c>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203"/>
      <c r="BX127" s="203"/>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V127" s="203"/>
      <c r="DW127" s="203"/>
      <c r="DX127" s="203"/>
      <c r="DY127" s="203"/>
      <c r="DZ127" s="203"/>
      <c r="EA127" s="203"/>
      <c r="EB127" s="203"/>
      <c r="EX127" s="338"/>
      <c r="EY127" s="338"/>
      <c r="EZ127" s="338"/>
      <c r="FA127" s="578"/>
      <c r="FB127" s="203"/>
      <c r="FC127" s="203"/>
      <c r="FD127" s="574"/>
    </row>
    <row r="128" spans="1:160">
      <c r="A128" s="203"/>
      <c r="B128" s="340"/>
      <c r="C128" s="203"/>
      <c r="D128" s="203"/>
      <c r="E128" s="203"/>
      <c r="F128" s="203"/>
      <c r="G128" s="203"/>
      <c r="H128" s="203"/>
      <c r="I128" s="203"/>
      <c r="J128" s="203"/>
      <c r="K128" s="203"/>
      <c r="L128" s="338"/>
      <c r="M128" s="338"/>
      <c r="N128" s="338"/>
      <c r="O128" s="338"/>
      <c r="P128" s="338"/>
      <c r="Q128" s="338"/>
      <c r="R128" s="338"/>
      <c r="S128" s="338"/>
      <c r="T128" s="338"/>
      <c r="U128" s="338"/>
      <c r="V128" s="338"/>
      <c r="W128" s="338"/>
      <c r="X128" s="338"/>
      <c r="Y128" s="338"/>
      <c r="Z128" s="338"/>
      <c r="AA128" s="338"/>
      <c r="AB128" s="338"/>
      <c r="AC128" s="338"/>
      <c r="AD128" s="386"/>
      <c r="AE128" s="337"/>
      <c r="AF128" s="336">
        <v>1397</v>
      </c>
      <c r="AG128" s="336"/>
      <c r="AH128" s="336"/>
      <c r="AI128" s="336"/>
      <c r="AJ128" s="336"/>
      <c r="AK128" s="336"/>
      <c r="AL128" s="338"/>
      <c r="AM128" s="362"/>
      <c r="AN128" s="362"/>
      <c r="AO128" s="362"/>
      <c r="AP128" s="362"/>
      <c r="AQ128" s="362"/>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V128" s="203"/>
      <c r="DW128" s="203"/>
      <c r="DX128" s="203"/>
      <c r="DY128" s="203"/>
      <c r="DZ128" s="203"/>
      <c r="EA128" s="203"/>
      <c r="EB128" s="203"/>
      <c r="EX128" s="338"/>
      <c r="EY128" s="338"/>
      <c r="EZ128" s="338"/>
      <c r="FA128" s="578"/>
      <c r="FB128" s="203"/>
      <c r="FC128" s="203"/>
      <c r="FD128" s="574"/>
    </row>
    <row r="129" spans="1:160">
      <c r="A129" s="203"/>
      <c r="B129" s="340" t="s">
        <v>552</v>
      </c>
      <c r="C129" s="203"/>
      <c r="D129" s="203"/>
      <c r="E129" s="203"/>
      <c r="F129" s="203"/>
      <c r="G129" s="203"/>
      <c r="H129" s="203"/>
      <c r="I129" s="203"/>
      <c r="J129" s="203"/>
      <c r="K129" s="203"/>
      <c r="L129" s="338"/>
      <c r="M129" s="338"/>
      <c r="N129" s="338"/>
      <c r="O129" s="338"/>
      <c r="P129" s="338"/>
      <c r="Q129" s="338"/>
      <c r="R129" s="338"/>
      <c r="S129" s="336">
        <f>S70-S101</f>
        <v>1118.9471000000003</v>
      </c>
      <c r="T129" s="336">
        <f>T70-T101</f>
        <v>1158.2047000000002</v>
      </c>
      <c r="U129" s="336">
        <f>U70-U101</f>
        <v>1223.6022999999996</v>
      </c>
      <c r="V129" s="336">
        <f>V70-V101</f>
        <v>1234.2875999999997</v>
      </c>
      <c r="W129" s="336">
        <f t="shared" ref="W129:AR129" si="358">W71-W101</f>
        <v>1263.3000000000002</v>
      </c>
      <c r="X129" s="336">
        <f t="shared" si="358"/>
        <v>1275.3000000000002</v>
      </c>
      <c r="Y129" s="336">
        <f t="shared" si="358"/>
        <v>1306.1999999999998</v>
      </c>
      <c r="Z129" s="336">
        <f t="shared" ca="1" si="358"/>
        <v>1323.1379999999999</v>
      </c>
      <c r="AA129" s="336">
        <f t="shared" si="358"/>
        <v>1284.4000000000001</v>
      </c>
      <c r="AB129" s="336">
        <f t="shared" si="358"/>
        <v>1342.4250000000002</v>
      </c>
      <c r="AC129" s="336">
        <f t="shared" si="358"/>
        <v>1411.8000000000002</v>
      </c>
      <c r="AD129" s="336">
        <f t="shared" si="358"/>
        <v>1491.6570000000002</v>
      </c>
      <c r="AE129" s="336">
        <f t="shared" si="358"/>
        <v>1447.9</v>
      </c>
      <c r="AF129" s="336">
        <f t="shared" si="358"/>
        <v>1549</v>
      </c>
      <c r="AG129" s="336">
        <f t="shared" si="358"/>
        <v>1657.6</v>
      </c>
      <c r="AH129" s="336">
        <f t="shared" si="358"/>
        <v>1765.4020000000003</v>
      </c>
      <c r="AI129" s="336">
        <f t="shared" si="358"/>
        <v>1712.989</v>
      </c>
      <c r="AJ129" s="336">
        <f t="shared" si="358"/>
        <v>1873.269</v>
      </c>
      <c r="AK129" s="336">
        <f t="shared" si="358"/>
        <v>1973.0750000000003</v>
      </c>
      <c r="AL129" s="336">
        <f t="shared" si="358"/>
        <v>1825.951</v>
      </c>
      <c r="AM129" s="336">
        <f t="shared" si="358"/>
        <v>1775.9160000000002</v>
      </c>
      <c r="AN129" s="336">
        <f t="shared" si="358"/>
        <v>1743.4800000000005</v>
      </c>
      <c r="AO129" s="336">
        <f t="shared" si="358"/>
        <v>1753.2349999999997</v>
      </c>
      <c r="AP129" s="336">
        <f t="shared" si="358"/>
        <v>1900.8989999999999</v>
      </c>
      <c r="AQ129" s="336">
        <f t="shared" si="358"/>
        <v>1803.8000000000002</v>
      </c>
      <c r="AR129" s="336">
        <f t="shared" si="358"/>
        <v>3937.3020000000001</v>
      </c>
      <c r="AS129" s="336"/>
      <c r="AT129" s="336"/>
      <c r="AU129" s="336"/>
      <c r="AV129" s="336"/>
      <c r="AW129" s="336"/>
      <c r="AX129" s="336"/>
      <c r="AY129" s="336"/>
      <c r="AZ129" s="336"/>
      <c r="BA129" s="336"/>
      <c r="BB129" s="336"/>
      <c r="BC129" s="336"/>
      <c r="BD129" s="336"/>
      <c r="BE129" s="336"/>
      <c r="BF129" s="336"/>
      <c r="BG129" s="336"/>
      <c r="BH129" s="336"/>
      <c r="BI129" s="336"/>
      <c r="BJ129" s="336"/>
      <c r="BK129" s="336"/>
      <c r="BL129" s="336"/>
      <c r="BM129" s="336"/>
      <c r="BN129" s="336"/>
      <c r="BO129" s="336"/>
      <c r="BP129" s="336"/>
      <c r="BQ129" s="336"/>
      <c r="BR129" s="336"/>
      <c r="BS129" s="336"/>
      <c r="BT129" s="336"/>
      <c r="BU129" s="336"/>
      <c r="BV129" s="336"/>
      <c r="BW129" s="203"/>
      <c r="BX129" s="337">
        <f t="shared" ref="BX129:CG131" si="359">W129/S129-1</f>
        <v>0.12900779670459839</v>
      </c>
      <c r="BY129" s="337">
        <f t="shared" si="359"/>
        <v>0.10110069489443441</v>
      </c>
      <c r="BZ129" s="337">
        <f t="shared" si="359"/>
        <v>6.7503714237869827E-2</v>
      </c>
      <c r="CA129" s="337">
        <f t="shared" ca="1" si="359"/>
        <v>7.1985167800438399E-2</v>
      </c>
      <c r="CB129" s="337">
        <f t="shared" si="359"/>
        <v>1.6702287659304815E-2</v>
      </c>
      <c r="CC129" s="337">
        <f t="shared" si="359"/>
        <v>5.2634674194307118E-2</v>
      </c>
      <c r="CD129" s="337">
        <f t="shared" si="359"/>
        <v>8.0845199816261148E-2</v>
      </c>
      <c r="CE129" s="337">
        <f t="shared" ca="1" si="359"/>
        <v>0.12736313219029327</v>
      </c>
      <c r="CF129" s="337">
        <f t="shared" si="359"/>
        <v>0.12729679227654933</v>
      </c>
      <c r="CG129" s="337">
        <f t="shared" si="359"/>
        <v>0.15388196733523274</v>
      </c>
      <c r="CH129" s="337">
        <f t="shared" ref="CH129:CQ131" si="360">AG129/AC129-1</f>
        <v>0.17410398073381472</v>
      </c>
      <c r="CI129" s="337">
        <f t="shared" si="360"/>
        <v>0.18351739039202708</v>
      </c>
      <c r="CJ129" s="337">
        <f t="shared" si="360"/>
        <v>0.18308515781476609</v>
      </c>
      <c r="CK129" s="337">
        <f t="shared" si="360"/>
        <v>0.20934086507424143</v>
      </c>
      <c r="CL129" s="337">
        <f t="shared" si="360"/>
        <v>0.19032034266409292</v>
      </c>
      <c r="CM129" s="337">
        <f t="shared" si="360"/>
        <v>3.4297570751590678E-2</v>
      </c>
      <c r="CN129" s="337">
        <f t="shared" si="360"/>
        <v>3.6735203787064741E-2</v>
      </c>
      <c r="CO129" s="337">
        <f t="shared" si="360"/>
        <v>-6.9284763693841955E-2</v>
      </c>
      <c r="CP129" s="337">
        <f t="shared" si="360"/>
        <v>-0.111419991637419</v>
      </c>
      <c r="CQ129" s="337">
        <f t="shared" si="360"/>
        <v>4.1046008354002961E-2</v>
      </c>
      <c r="CR129" s="337"/>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V129" s="203"/>
      <c r="DW129" s="203"/>
      <c r="DX129" s="203"/>
      <c r="DY129" s="203"/>
      <c r="DZ129" s="203"/>
      <c r="EA129" s="203"/>
      <c r="EB129" s="203"/>
      <c r="EX129" s="336"/>
      <c r="EY129" s="336"/>
      <c r="EZ129" s="336"/>
      <c r="FA129" s="577"/>
      <c r="FB129" s="203"/>
      <c r="FC129" s="203"/>
      <c r="FD129" s="574"/>
    </row>
    <row r="130" spans="1:160">
      <c r="A130" s="203"/>
      <c r="B130" s="384" t="s">
        <v>553</v>
      </c>
      <c r="C130" s="358"/>
      <c r="D130" s="358"/>
      <c r="E130" s="358"/>
      <c r="F130" s="358"/>
      <c r="G130" s="358"/>
      <c r="H130" s="358"/>
      <c r="I130" s="358"/>
      <c r="J130" s="358"/>
      <c r="K130" s="358"/>
      <c r="L130" s="361"/>
      <c r="M130" s="361"/>
      <c r="N130" s="361"/>
      <c r="O130" s="361"/>
      <c r="P130" s="361"/>
      <c r="Q130" s="361"/>
      <c r="R130" s="361"/>
      <c r="S130" s="359">
        <f t="shared" ref="S130:AR130" si="361">S131-S129</f>
        <v>135.05289999999968</v>
      </c>
      <c r="T130" s="359">
        <f t="shared" si="361"/>
        <v>113.79529999999977</v>
      </c>
      <c r="U130" s="359">
        <f t="shared" si="361"/>
        <v>118.39770000000044</v>
      </c>
      <c r="V130" s="359">
        <f t="shared" si="361"/>
        <v>97.712400000000343</v>
      </c>
      <c r="W130" s="359">
        <f t="shared" si="361"/>
        <v>101.69999999999982</v>
      </c>
      <c r="X130" s="359">
        <f t="shared" si="361"/>
        <v>106.69999999999982</v>
      </c>
      <c r="Y130" s="359">
        <f t="shared" si="361"/>
        <v>104.80000000000018</v>
      </c>
      <c r="Z130" s="359">
        <f t="shared" ca="1" si="361"/>
        <v>245.5</v>
      </c>
      <c r="AA130" s="359">
        <f t="shared" si="361"/>
        <v>217.59999999999991</v>
      </c>
      <c r="AB130" s="359">
        <f t="shared" si="361"/>
        <v>253.57499999999982</v>
      </c>
      <c r="AC130" s="359">
        <f t="shared" si="361"/>
        <v>265.19999999999982</v>
      </c>
      <c r="AD130" s="359">
        <f t="shared" si="361"/>
        <v>366.79599999999982</v>
      </c>
      <c r="AE130" s="359">
        <f t="shared" si="361"/>
        <v>426.90000000000009</v>
      </c>
      <c r="AF130" s="359">
        <f t="shared" si="361"/>
        <v>772.10800000000017</v>
      </c>
      <c r="AG130" s="359">
        <f t="shared" si="361"/>
        <v>530.09999999999991</v>
      </c>
      <c r="AH130" s="359">
        <f t="shared" si="361"/>
        <v>565.03199999999993</v>
      </c>
      <c r="AI130" s="359">
        <f t="shared" si="361"/>
        <v>577.875</v>
      </c>
      <c r="AJ130" s="359">
        <f t="shared" si="361"/>
        <v>646.36899999999991</v>
      </c>
      <c r="AK130" s="359">
        <f t="shared" si="361"/>
        <v>645.72499999999991</v>
      </c>
      <c r="AL130" s="359">
        <f t="shared" si="361"/>
        <v>787.26900000000023</v>
      </c>
      <c r="AM130" s="359">
        <f t="shared" si="361"/>
        <v>642.53099999999995</v>
      </c>
      <c r="AN130" s="359">
        <f t="shared" si="361"/>
        <v>519.67599999999948</v>
      </c>
      <c r="AO130" s="359">
        <f t="shared" si="361"/>
        <v>586.21500000000015</v>
      </c>
      <c r="AP130" s="359">
        <f t="shared" si="361"/>
        <v>575.6569999999997</v>
      </c>
      <c r="AQ130" s="359">
        <f t="shared" si="361"/>
        <v>670.69999999999982</v>
      </c>
      <c r="AR130" s="359">
        <f t="shared" si="361"/>
        <v>-1291.694</v>
      </c>
      <c r="AS130" s="359"/>
      <c r="AT130" s="359"/>
      <c r="AU130" s="359"/>
      <c r="AV130" s="359"/>
      <c r="AW130" s="359"/>
      <c r="AX130" s="359"/>
      <c r="AY130" s="359"/>
      <c r="AZ130" s="359"/>
      <c r="BA130" s="359"/>
      <c r="BB130" s="359"/>
      <c r="BC130" s="359"/>
      <c r="BD130" s="359"/>
      <c r="BE130" s="359"/>
      <c r="BF130" s="359"/>
      <c r="BG130" s="359"/>
      <c r="BH130" s="359"/>
      <c r="BI130" s="359"/>
      <c r="BJ130" s="359"/>
      <c r="BK130" s="359"/>
      <c r="BL130" s="359"/>
      <c r="BM130" s="359"/>
      <c r="BN130" s="359"/>
      <c r="BO130" s="359"/>
      <c r="BP130" s="359"/>
      <c r="BQ130" s="359"/>
      <c r="BR130" s="359"/>
      <c r="BS130" s="336"/>
      <c r="BT130" s="336"/>
      <c r="BU130" s="336"/>
      <c r="BV130" s="336"/>
      <c r="BW130" s="203"/>
      <c r="BX130" s="360">
        <f t="shared" si="359"/>
        <v>-0.24696174610097188</v>
      </c>
      <c r="BY130" s="360">
        <f t="shared" si="359"/>
        <v>-6.2351432792039474E-2</v>
      </c>
      <c r="BZ130" s="360">
        <f t="shared" si="359"/>
        <v>-0.11484767018278408</v>
      </c>
      <c r="CA130" s="360">
        <f t="shared" ca="1" si="359"/>
        <v>1.5124753869519032</v>
      </c>
      <c r="CB130" s="360">
        <f t="shared" si="359"/>
        <v>1.1396263520157355</v>
      </c>
      <c r="CC130" s="360">
        <f t="shared" si="359"/>
        <v>1.3765229615745103</v>
      </c>
      <c r="CD130" s="360">
        <f t="shared" si="359"/>
        <v>1.530534351145032</v>
      </c>
      <c r="CE130" s="360">
        <f t="shared" ca="1" si="359"/>
        <v>0.4940773930753557</v>
      </c>
      <c r="CF130" s="360">
        <f t="shared" si="359"/>
        <v>0.96185661764705999</v>
      </c>
      <c r="CG130" s="360">
        <f t="shared" si="359"/>
        <v>2.0448900719708201</v>
      </c>
      <c r="CH130" s="360">
        <f t="shared" si="360"/>
        <v>0.9988687782805441</v>
      </c>
      <c r="CI130" s="360">
        <f t="shared" si="360"/>
        <v>0.54045300384955186</v>
      </c>
      <c r="CJ130" s="360">
        <f t="shared" si="360"/>
        <v>0.35365425158116626</v>
      </c>
      <c r="CK130" s="360">
        <f t="shared" si="360"/>
        <v>-0.16285156998761863</v>
      </c>
      <c r="CL130" s="360">
        <f t="shared" si="360"/>
        <v>0.21811922278815321</v>
      </c>
      <c r="CM130" s="360">
        <f t="shared" si="360"/>
        <v>0.39331754661682927</v>
      </c>
      <c r="CN130" s="360">
        <f t="shared" si="360"/>
        <v>0.11188578844905894</v>
      </c>
      <c r="CO130" s="360">
        <f t="shared" si="360"/>
        <v>-0.19600723425783173</v>
      </c>
      <c r="CP130" s="360">
        <f t="shared" si="360"/>
        <v>-9.2159975221649759E-2</v>
      </c>
      <c r="CQ130" s="360">
        <f t="shared" si="360"/>
        <v>-0.26879249659265192</v>
      </c>
      <c r="CR130" s="337"/>
      <c r="CS130" s="203"/>
      <c r="CT130" s="203"/>
      <c r="CU130" s="203"/>
      <c r="CV130" s="203"/>
      <c r="CW130" s="203"/>
      <c r="CX130" s="203"/>
      <c r="CY130" s="203"/>
      <c r="CZ130" s="203"/>
      <c r="DA130" s="203"/>
      <c r="DB130" s="203"/>
      <c r="DC130" s="203"/>
      <c r="DD130" s="203"/>
      <c r="DE130" s="203"/>
      <c r="DF130" s="203"/>
      <c r="DG130" s="203"/>
      <c r="DH130" s="203"/>
      <c r="DI130" s="203"/>
      <c r="DJ130" s="203"/>
      <c r="DK130" s="203"/>
      <c r="DL130" s="203"/>
      <c r="DM130" s="203"/>
      <c r="DN130" s="203"/>
      <c r="DO130" s="203"/>
      <c r="DP130" s="203"/>
      <c r="DQ130" s="203"/>
      <c r="DR130" s="203"/>
      <c r="DS130" s="203"/>
      <c r="DT130" s="203"/>
      <c r="DV130" s="203"/>
      <c r="DW130" s="203"/>
      <c r="DX130" s="203"/>
      <c r="DY130" s="203"/>
      <c r="DZ130" s="203"/>
      <c r="EA130" s="203"/>
      <c r="EB130" s="203"/>
      <c r="EX130" s="359"/>
      <c r="EY130" s="359"/>
      <c r="EZ130" s="359"/>
      <c r="FA130" s="582"/>
      <c r="FB130" s="203"/>
      <c r="FC130" s="203"/>
      <c r="FD130" s="574"/>
    </row>
    <row r="131" spans="1:160">
      <c r="A131" s="203"/>
      <c r="B131" s="340" t="s">
        <v>554</v>
      </c>
      <c r="C131" s="203"/>
      <c r="D131" s="203"/>
      <c r="E131" s="203"/>
      <c r="F131" s="203"/>
      <c r="G131" s="203"/>
      <c r="H131" s="203"/>
      <c r="I131" s="203"/>
      <c r="J131" s="203"/>
      <c r="K131" s="203"/>
      <c r="L131" s="338"/>
      <c r="M131" s="338"/>
      <c r="N131" s="338"/>
      <c r="O131" s="338"/>
      <c r="P131" s="338"/>
      <c r="Q131" s="338"/>
      <c r="R131" s="338"/>
      <c r="S131" s="336">
        <f t="shared" ref="S131:AR131" si="362">S57-S126</f>
        <v>1254</v>
      </c>
      <c r="T131" s="336">
        <f t="shared" si="362"/>
        <v>1272</v>
      </c>
      <c r="U131" s="336">
        <f t="shared" si="362"/>
        <v>1342</v>
      </c>
      <c r="V131" s="336">
        <f t="shared" si="362"/>
        <v>1332</v>
      </c>
      <c r="W131" s="336">
        <f t="shared" si="362"/>
        <v>1365</v>
      </c>
      <c r="X131" s="336">
        <f t="shared" si="362"/>
        <v>1382</v>
      </c>
      <c r="Y131" s="336">
        <f t="shared" si="362"/>
        <v>1411</v>
      </c>
      <c r="Z131" s="336">
        <f t="shared" ca="1" si="362"/>
        <v>1568.6379999999999</v>
      </c>
      <c r="AA131" s="336">
        <f t="shared" si="362"/>
        <v>1502</v>
      </c>
      <c r="AB131" s="336">
        <f t="shared" si="362"/>
        <v>1596</v>
      </c>
      <c r="AC131" s="336">
        <f t="shared" si="362"/>
        <v>1677</v>
      </c>
      <c r="AD131" s="336">
        <f t="shared" si="362"/>
        <v>1858.453</v>
      </c>
      <c r="AE131" s="336">
        <f t="shared" si="362"/>
        <v>1874.8000000000002</v>
      </c>
      <c r="AF131" s="336">
        <f t="shared" si="362"/>
        <v>2321.1080000000002</v>
      </c>
      <c r="AG131" s="336">
        <f t="shared" si="362"/>
        <v>2187.6999999999998</v>
      </c>
      <c r="AH131" s="336">
        <f t="shared" si="362"/>
        <v>2330.4340000000002</v>
      </c>
      <c r="AI131" s="336">
        <f t="shared" si="362"/>
        <v>2290.864</v>
      </c>
      <c r="AJ131" s="336">
        <f t="shared" si="362"/>
        <v>2519.6379999999999</v>
      </c>
      <c r="AK131" s="336">
        <f t="shared" si="362"/>
        <v>2618.8000000000002</v>
      </c>
      <c r="AL131" s="336">
        <f t="shared" si="362"/>
        <v>2613.2200000000003</v>
      </c>
      <c r="AM131" s="336">
        <f t="shared" si="362"/>
        <v>2418.4470000000001</v>
      </c>
      <c r="AN131" s="336">
        <f t="shared" si="362"/>
        <v>2263.1559999999999</v>
      </c>
      <c r="AO131" s="336">
        <f t="shared" si="362"/>
        <v>2339.4499999999998</v>
      </c>
      <c r="AP131" s="336">
        <f t="shared" si="362"/>
        <v>2476.5559999999996</v>
      </c>
      <c r="AQ131" s="336">
        <f t="shared" si="362"/>
        <v>2474.5</v>
      </c>
      <c r="AR131" s="336">
        <f t="shared" si="362"/>
        <v>2645.6080000000002</v>
      </c>
      <c r="AS131" s="336"/>
      <c r="AT131" s="336"/>
      <c r="AU131" s="336"/>
      <c r="AV131" s="336"/>
      <c r="AW131" s="336"/>
      <c r="AX131" s="336"/>
      <c r="AY131" s="336"/>
      <c r="AZ131" s="336"/>
      <c r="BA131" s="336"/>
      <c r="BB131" s="336"/>
      <c r="BC131" s="336"/>
      <c r="BD131" s="336"/>
      <c r="BE131" s="336"/>
      <c r="BF131" s="336"/>
      <c r="BG131" s="336"/>
      <c r="BH131" s="336"/>
      <c r="BI131" s="336"/>
      <c r="BJ131" s="336"/>
      <c r="BK131" s="336"/>
      <c r="BL131" s="336"/>
      <c r="BM131" s="336"/>
      <c r="BN131" s="336"/>
      <c r="BO131" s="336"/>
      <c r="BP131" s="336"/>
      <c r="BQ131" s="336"/>
      <c r="BR131" s="336"/>
      <c r="BS131" s="336"/>
      <c r="BT131" s="336"/>
      <c r="BU131" s="336"/>
      <c r="BV131" s="336"/>
      <c r="BW131" s="203"/>
      <c r="BX131" s="337">
        <f t="shared" si="359"/>
        <v>8.8516746411483327E-2</v>
      </c>
      <c r="BY131" s="337">
        <f t="shared" si="359"/>
        <v>8.6477987421383684E-2</v>
      </c>
      <c r="BZ131" s="337">
        <f t="shared" si="359"/>
        <v>5.1415797317436729E-2</v>
      </c>
      <c r="CA131" s="337">
        <f t="shared" ca="1" si="359"/>
        <v>0.17765615615615604</v>
      </c>
      <c r="CB131" s="337">
        <f t="shared" si="359"/>
        <v>0.10036630036630045</v>
      </c>
      <c r="CC131" s="337">
        <f t="shared" si="359"/>
        <v>0.15484804630969617</v>
      </c>
      <c r="CD131" s="337">
        <f t="shared" si="359"/>
        <v>0.18851878100637842</v>
      </c>
      <c r="CE131" s="337">
        <f t="shared" ca="1" si="359"/>
        <v>0.18475582001711044</v>
      </c>
      <c r="CF131" s="337">
        <f t="shared" si="359"/>
        <v>0.24820239680426104</v>
      </c>
      <c r="CG131" s="337">
        <f t="shared" si="359"/>
        <v>0.45432832080200503</v>
      </c>
      <c r="CH131" s="337">
        <f t="shared" si="360"/>
        <v>0.30453190220632065</v>
      </c>
      <c r="CI131" s="337">
        <f t="shared" si="360"/>
        <v>0.25396445323072481</v>
      </c>
      <c r="CJ131" s="337">
        <f t="shared" si="360"/>
        <v>0.22192447194367393</v>
      </c>
      <c r="CK131" s="337">
        <f t="shared" si="360"/>
        <v>8.5532426754808322E-2</v>
      </c>
      <c r="CL131" s="337">
        <f t="shared" si="360"/>
        <v>0.1970562691411073</v>
      </c>
      <c r="CM131" s="337">
        <f t="shared" si="360"/>
        <v>0.12134477955608269</v>
      </c>
      <c r="CN131" s="337">
        <f t="shared" si="360"/>
        <v>5.5692088225228531E-2</v>
      </c>
      <c r="CO131" s="337">
        <f t="shared" si="360"/>
        <v>-0.10179319410169241</v>
      </c>
      <c r="CP131" s="337">
        <f t="shared" si="360"/>
        <v>-0.10667099434855676</v>
      </c>
      <c r="CQ131" s="337">
        <f t="shared" si="360"/>
        <v>-5.2297165948523516E-2</v>
      </c>
      <c r="CR131" s="337"/>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V131" s="203"/>
      <c r="DW131" s="203"/>
      <c r="DX131" s="203"/>
      <c r="DY131" s="203"/>
      <c r="DZ131" s="203"/>
      <c r="EA131" s="203"/>
      <c r="EB131" s="203"/>
      <c r="EX131" s="336"/>
      <c r="EY131" s="336"/>
      <c r="EZ131" s="336"/>
      <c r="FA131" s="577"/>
      <c r="FB131" s="203"/>
      <c r="FC131" s="203"/>
      <c r="FD131" s="574"/>
    </row>
    <row r="132" spans="1:160">
      <c r="A132" s="203"/>
      <c r="B132" s="340"/>
      <c r="C132" s="203"/>
      <c r="D132" s="203"/>
      <c r="E132" s="203"/>
      <c r="F132" s="203"/>
      <c r="G132" s="203"/>
      <c r="H132" s="203"/>
      <c r="I132" s="203"/>
      <c r="J132" s="203"/>
      <c r="K132" s="203"/>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203"/>
      <c r="BX132" s="203"/>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V132" s="203"/>
      <c r="DW132" s="203"/>
      <c r="DX132" s="203"/>
      <c r="DY132" s="203"/>
      <c r="DZ132" s="203"/>
      <c r="EA132" s="203"/>
      <c r="EB132" s="203"/>
      <c r="EX132" s="338"/>
      <c r="EY132" s="338"/>
      <c r="EZ132" s="338"/>
      <c r="FA132" s="578"/>
      <c r="FB132" s="203"/>
      <c r="FC132" s="203"/>
      <c r="FD132" s="574"/>
    </row>
    <row r="133" spans="1:160">
      <c r="A133" s="203"/>
      <c r="B133" s="341" t="s">
        <v>1369</v>
      </c>
      <c r="C133" s="203"/>
      <c r="D133" s="203"/>
      <c r="E133" s="203"/>
      <c r="F133" s="203"/>
      <c r="G133" s="203"/>
      <c r="H133" s="203"/>
      <c r="I133" s="203"/>
      <c r="J133" s="203"/>
      <c r="K133" s="203"/>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76">
        <v>2042.096</v>
      </c>
      <c r="AN133" s="376">
        <v>2031.662</v>
      </c>
      <c r="AO133" s="376">
        <v>2086.2820000000002</v>
      </c>
      <c r="AP133" s="376">
        <v>2146.7750000000001</v>
      </c>
      <c r="AQ133" s="378">
        <f>4847.503-99-AR133</f>
        <v>2373.5349999999999</v>
      </c>
      <c r="AR133" s="378">
        <f>2473.968-99</f>
        <v>2374.9679999999998</v>
      </c>
      <c r="AS133" s="378">
        <v>2317.739</v>
      </c>
      <c r="AT133" s="378">
        <v>2280.6999999999998</v>
      </c>
      <c r="AU133" s="378">
        <v>2550.413</v>
      </c>
      <c r="AV133" s="378">
        <f>2691.438-79</f>
        <v>2612.4380000000001</v>
      </c>
      <c r="AW133" s="378">
        <v>2482.6999999999998</v>
      </c>
      <c r="AX133" s="378">
        <v>2515.17</v>
      </c>
      <c r="AY133" s="378">
        <v>2766.6370000000002</v>
      </c>
      <c r="AZ133" s="378">
        <v>2720.0540000000001</v>
      </c>
      <c r="BA133" s="378">
        <v>2783.3220000000001</v>
      </c>
      <c r="BB133" s="378">
        <v>2767.2570000000001</v>
      </c>
      <c r="BC133" s="378">
        <v>3002.9789999999998</v>
      </c>
      <c r="BD133" s="378">
        <v>3011</v>
      </c>
      <c r="BE133" s="378">
        <v>3015.6239999999998</v>
      </c>
      <c r="BF133" s="378">
        <v>3087.174</v>
      </c>
      <c r="BG133" s="378">
        <v>3228.4879999999998</v>
      </c>
      <c r="BH133" s="378">
        <v>3257.6019999999999</v>
      </c>
      <c r="BI133" s="378">
        <v>3168.0259999999998</v>
      </c>
      <c r="BJ133" s="378">
        <v>3114.9029999999998</v>
      </c>
      <c r="BK133" s="378">
        <v>3268.6950000000002</v>
      </c>
      <c r="BL133" s="378">
        <v>3287.3739999999998</v>
      </c>
      <c r="BM133" s="378">
        <v>3306.2489999999998</v>
      </c>
      <c r="BN133" s="378">
        <v>3457.6759999999999</v>
      </c>
      <c r="BO133" s="378">
        <v>3680.6039999999998</v>
      </c>
      <c r="BP133" s="376">
        <f t="shared" ref="BP133:BR133" si="363">BP111+BP119</f>
        <v>3715</v>
      </c>
      <c r="BQ133" s="376">
        <f t="shared" si="363"/>
        <v>3790</v>
      </c>
      <c r="BR133" s="376">
        <f t="shared" si="363"/>
        <v>3867.2285757335812</v>
      </c>
      <c r="BS133" s="376"/>
      <c r="BT133" s="376"/>
      <c r="BU133" s="376"/>
      <c r="BV133" s="376"/>
      <c r="BW133" s="203"/>
      <c r="BX133" s="203"/>
      <c r="BY133" s="203"/>
      <c r="BZ133" s="203"/>
      <c r="CA133" s="203"/>
      <c r="CB133" s="203"/>
      <c r="CC133" s="203"/>
      <c r="CD133" s="203"/>
      <c r="CE133" s="203"/>
      <c r="CF133" s="203"/>
      <c r="CG133" s="203"/>
      <c r="CH133" s="203"/>
      <c r="CI133" s="203"/>
      <c r="CJ133" s="203"/>
      <c r="CK133" s="203"/>
      <c r="CL133" s="203"/>
      <c r="CM133" s="203"/>
      <c r="CN133" s="203"/>
      <c r="CO133" s="203"/>
      <c r="CP133" s="203"/>
      <c r="CQ133" s="337"/>
      <c r="CR133" s="337">
        <f t="shared" ref="CR133:DS133" si="364">AQ133/AM133-1</f>
        <v>0.16230333931411645</v>
      </c>
      <c r="CS133" s="337">
        <f t="shared" si="364"/>
        <v>0.16897791069577517</v>
      </c>
      <c r="CT133" s="337">
        <f t="shared" si="364"/>
        <v>0.11094233665439268</v>
      </c>
      <c r="CU133" s="337">
        <f t="shared" si="364"/>
        <v>6.2384274085546698E-2</v>
      </c>
      <c r="CV133" s="337">
        <f t="shared" si="364"/>
        <v>7.4520915006519806E-2</v>
      </c>
      <c r="CW133" s="337">
        <f t="shared" si="364"/>
        <v>9.9988715637431946E-2</v>
      </c>
      <c r="CX133" s="337">
        <f t="shared" si="364"/>
        <v>7.1173242543703052E-2</v>
      </c>
      <c r="CY133" s="337">
        <f t="shared" si="364"/>
        <v>0.10280615600473553</v>
      </c>
      <c r="CZ133" s="337">
        <f t="shared" si="364"/>
        <v>8.4779994455799867E-2</v>
      </c>
      <c r="DA133" s="337">
        <f t="shared" si="364"/>
        <v>4.1193704884096682E-2</v>
      </c>
      <c r="DB133" s="337">
        <f t="shared" si="364"/>
        <v>0.12108672010311361</v>
      </c>
      <c r="DC133" s="337">
        <f t="shared" si="364"/>
        <v>0.10022662484046796</v>
      </c>
      <c r="DD133" s="337">
        <f t="shared" si="364"/>
        <v>8.5425735288004789E-2</v>
      </c>
      <c r="DE133" s="337">
        <f t="shared" si="364"/>
        <v>0.10696331764001732</v>
      </c>
      <c r="DF133" s="338">
        <f t="shared" si="364"/>
        <v>8.3462136253009689E-2</v>
      </c>
      <c r="DG133" s="338">
        <f t="shared" si="364"/>
        <v>0.11560798292316177</v>
      </c>
      <c r="DH133" s="338">
        <f t="shared" si="364"/>
        <v>7.5095097235112318E-2</v>
      </c>
      <c r="DI133" s="338">
        <f t="shared" si="364"/>
        <v>8.190036532713374E-2</v>
      </c>
      <c r="DJ133" s="338">
        <f t="shared" si="364"/>
        <v>5.0537467535740621E-2</v>
      </c>
      <c r="DK133" s="338">
        <f t="shared" si="364"/>
        <v>8.982001014520069E-3</v>
      </c>
      <c r="DL133" s="338">
        <f t="shared" si="364"/>
        <v>1.2453817390679633E-2</v>
      </c>
      <c r="DM133" s="338">
        <f t="shared" si="364"/>
        <v>9.1392380039059251E-3</v>
      </c>
      <c r="DN133" s="338">
        <f t="shared" si="364"/>
        <v>4.3630639395005E-2</v>
      </c>
      <c r="DO133" s="338">
        <f t="shared" si="364"/>
        <v>0.11004291305379343</v>
      </c>
      <c r="DP133" s="338">
        <f t="shared" si="364"/>
        <v>0.12601634597293399</v>
      </c>
      <c r="DQ133" s="338">
        <f t="shared" si="364"/>
        <v>0.13008133543673472</v>
      </c>
      <c r="DR133" s="338">
        <f t="shared" si="364"/>
        <v>0.14631414633320117</v>
      </c>
      <c r="DS133" s="338">
        <f t="shared" si="364"/>
        <v>0.11844735473583445</v>
      </c>
      <c r="DT133" s="203"/>
      <c r="DW133" s="203"/>
      <c r="DX133" s="203"/>
      <c r="DY133" s="203"/>
      <c r="DZ133" s="203"/>
      <c r="EA133" s="203"/>
      <c r="EB133" s="203"/>
      <c r="EV133" s="203">
        <v>60</v>
      </c>
      <c r="EX133" s="376">
        <f>3143+EV133</f>
        <v>3203</v>
      </c>
      <c r="EY133" s="376">
        <v>3234.6959043949996</v>
      </c>
      <c r="EZ133" s="376">
        <v>3369.51992552</v>
      </c>
      <c r="FA133" s="587">
        <v>3265.6787251928654</v>
      </c>
      <c r="FB133" s="338">
        <v>-7.0315820057208489E-3</v>
      </c>
      <c r="FC133" s="338">
        <v>6.3602358541249515E-2</v>
      </c>
      <c r="FD133" s="578">
        <v>4.8404629355349282E-2</v>
      </c>
    </row>
    <row r="134" spans="1:160">
      <c r="A134" s="203"/>
      <c r="B134" s="341"/>
      <c r="C134" s="203"/>
      <c r="D134" s="203"/>
      <c r="E134" s="203"/>
      <c r="F134" s="203"/>
      <c r="G134" s="203"/>
      <c r="H134" s="203"/>
      <c r="I134" s="203"/>
      <c r="J134" s="203"/>
      <c r="K134" s="203"/>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76"/>
      <c r="AN134" s="376"/>
      <c r="AO134" s="376"/>
      <c r="AP134" s="376"/>
      <c r="AQ134" s="362">
        <f t="shared" ref="AQ134:BH134" si="365">AQ133/AQ99</f>
        <v>0.50554526091586793</v>
      </c>
      <c r="AR134" s="362">
        <f t="shared" si="365"/>
        <v>0.49139204033482969</v>
      </c>
      <c r="AS134" s="362">
        <f t="shared" si="365"/>
        <v>0.47778916611660438</v>
      </c>
      <c r="AT134" s="362">
        <f t="shared" si="365"/>
        <v>0.45098996519149226</v>
      </c>
      <c r="AU134" s="362">
        <f t="shared" si="365"/>
        <v>0.49520659391868277</v>
      </c>
      <c r="AV134" s="362">
        <f t="shared" si="365"/>
        <v>0.48875810960153249</v>
      </c>
      <c r="AW134" s="362">
        <f t="shared" si="365"/>
        <v>0.45929995929995932</v>
      </c>
      <c r="AX134" s="362">
        <f t="shared" si="365"/>
        <v>0.44714530795829299</v>
      </c>
      <c r="AY134" s="362">
        <f t="shared" si="365"/>
        <v>0.50119427422275264</v>
      </c>
      <c r="AZ134" s="362">
        <f t="shared" si="365"/>
        <v>0.49813505235350403</v>
      </c>
      <c r="BA134" s="362">
        <f t="shared" si="365"/>
        <v>0.4951264240798216</v>
      </c>
      <c r="BB134" s="362">
        <f t="shared" si="365"/>
        <v>0.47869263141288226</v>
      </c>
      <c r="BC134" s="362">
        <f t="shared" si="365"/>
        <v>0.50453454220856619</v>
      </c>
      <c r="BD134" s="362">
        <f t="shared" si="365"/>
        <v>0.49655331640225597</v>
      </c>
      <c r="BE134" s="362">
        <f t="shared" si="365"/>
        <v>0.4907502547630353</v>
      </c>
      <c r="BF134" s="362">
        <f t="shared" si="365"/>
        <v>0.47689779020460499</v>
      </c>
      <c r="BG134" s="362">
        <f t="shared" si="365"/>
        <v>0.49196562368855656</v>
      </c>
      <c r="BH134" s="362">
        <f t="shared" si="365"/>
        <v>0.48757840299611477</v>
      </c>
      <c r="BI134" s="362">
        <f>BI133/BI99</f>
        <v>0.47025086519956921</v>
      </c>
      <c r="BJ134" s="362">
        <f>BJ133/BJ99</f>
        <v>0.4341293129616513</v>
      </c>
      <c r="BK134" s="362">
        <f t="shared" ref="BK134:BL134" si="366">BK133/BK99</f>
        <v>0.45702028526095795</v>
      </c>
      <c r="BL134" s="362">
        <f t="shared" si="366"/>
        <v>0.44582457585031321</v>
      </c>
      <c r="BM134" s="362">
        <f t="shared" ref="BM134:BN134" si="367">BM133/BM99</f>
        <v>0.44137868520442131</v>
      </c>
      <c r="BN134" s="362">
        <f t="shared" si="367"/>
        <v>0.44024804406763651</v>
      </c>
      <c r="BO134" s="362">
        <f t="shared" ref="BO134:BR134" si="368">BO133/BO99</f>
        <v>0.46096268029856963</v>
      </c>
      <c r="BP134" s="362">
        <f t="shared" si="368"/>
        <v>0.45443425076452598</v>
      </c>
      <c r="BQ134" s="362">
        <f t="shared" si="368"/>
        <v>0.45389221556886228</v>
      </c>
      <c r="BR134" s="362">
        <f t="shared" si="368"/>
        <v>0.45092877690694066</v>
      </c>
      <c r="BS134" s="362"/>
      <c r="BT134" s="362"/>
      <c r="BU134" s="362"/>
      <c r="BV134" s="362"/>
      <c r="BW134" s="203"/>
      <c r="BX134" s="203"/>
      <c r="BY134" s="203"/>
      <c r="BZ134" s="203"/>
      <c r="CA134" s="203"/>
      <c r="CB134" s="203"/>
      <c r="CC134" s="203"/>
      <c r="CD134" s="203"/>
      <c r="CE134" s="203"/>
      <c r="CF134" s="203"/>
      <c r="CG134" s="203"/>
      <c r="CH134" s="203"/>
      <c r="CI134" s="203"/>
      <c r="CJ134" s="203"/>
      <c r="CK134" s="203"/>
      <c r="CL134" s="203"/>
      <c r="CM134" s="203"/>
      <c r="CN134" s="203"/>
      <c r="CO134" s="203"/>
      <c r="CP134" s="203"/>
      <c r="CQ134" s="337"/>
      <c r="CR134" s="337"/>
      <c r="CS134" s="337"/>
      <c r="CT134" s="337"/>
      <c r="CU134" s="337"/>
      <c r="CV134" s="337"/>
      <c r="CW134" s="337"/>
      <c r="CX134" s="337"/>
      <c r="CY134" s="337"/>
      <c r="CZ134" s="337"/>
      <c r="DA134" s="337"/>
      <c r="DB134" s="337"/>
      <c r="DC134" s="337"/>
      <c r="DD134" s="337"/>
      <c r="DE134" s="203"/>
      <c r="DF134" s="203"/>
      <c r="DG134" s="203"/>
      <c r="DH134" s="203"/>
      <c r="DI134" s="203"/>
      <c r="DJ134" s="203"/>
      <c r="DK134" s="203"/>
      <c r="DL134" s="203"/>
      <c r="DM134" s="203"/>
      <c r="DN134" s="203"/>
      <c r="DO134" s="203"/>
      <c r="DP134" s="203"/>
      <c r="DQ134" s="203"/>
      <c r="DR134" s="203"/>
      <c r="DS134" s="203"/>
      <c r="DT134" s="203"/>
      <c r="DV134" s="203"/>
      <c r="DW134" s="203"/>
      <c r="DX134" s="203"/>
      <c r="DY134" s="203"/>
      <c r="DZ134" s="203"/>
      <c r="EA134" s="203"/>
      <c r="EB134" s="203"/>
      <c r="EX134" s="362">
        <v>0.44640840042815932</v>
      </c>
      <c r="EY134" s="362">
        <v>0.44181640640484715</v>
      </c>
      <c r="EZ134" s="362">
        <v>0.44713467076766916</v>
      </c>
      <c r="FA134" s="589">
        <v>0.42751717290791719</v>
      </c>
      <c r="FB134" s="203"/>
      <c r="FC134" s="203"/>
      <c r="FD134" s="574"/>
    </row>
    <row r="135" spans="1:160">
      <c r="A135" s="203"/>
      <c r="B135" s="341" t="s">
        <v>1368</v>
      </c>
      <c r="C135" s="205"/>
      <c r="D135" s="205"/>
      <c r="E135" s="205"/>
      <c r="F135" s="205"/>
      <c r="G135" s="205"/>
      <c r="H135" s="205"/>
      <c r="I135" s="205"/>
      <c r="J135" s="205"/>
      <c r="K135" s="205"/>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76">
        <f t="shared" ref="AM135:AR135" si="369">AM133-AM126</f>
        <v>170.59500000000003</v>
      </c>
      <c r="AN135" s="376">
        <f t="shared" si="369"/>
        <v>164.97800000000007</v>
      </c>
      <c r="AO135" s="376">
        <f t="shared" si="369"/>
        <v>148.18000000000006</v>
      </c>
      <c r="AP135" s="376">
        <f t="shared" si="369"/>
        <v>107.83200000000011</v>
      </c>
      <c r="AQ135" s="376">
        <f t="shared" si="369"/>
        <v>153.03499999999985</v>
      </c>
      <c r="AR135" s="376">
        <f t="shared" si="369"/>
        <v>187.43299999999999</v>
      </c>
      <c r="AS135" s="376"/>
      <c r="AT135" s="376"/>
      <c r="AU135" s="376"/>
      <c r="AV135" s="346"/>
      <c r="AW135" s="364"/>
      <c r="AX135" s="364"/>
      <c r="AY135" s="364"/>
      <c r="AZ135" s="364"/>
      <c r="BA135" s="364"/>
      <c r="BB135" s="345"/>
      <c r="BC135" s="345"/>
      <c r="BD135" s="345"/>
      <c r="BE135" s="376"/>
      <c r="BF135" s="362">
        <f>SUM(BC133:BF133)/SUM(BC57:BF57)</f>
        <v>0.49186899246188864</v>
      </c>
      <c r="BG135" s="376"/>
      <c r="BH135" s="376"/>
      <c r="BI135" s="376"/>
      <c r="BJ135" s="362">
        <f>SUM(BG133:BJ133)/SUM(BG57:BJ57)</f>
        <v>0.470217566902978</v>
      </c>
      <c r="BK135" s="376"/>
      <c r="BL135" s="376"/>
      <c r="BM135" s="376"/>
      <c r="BN135" s="362">
        <f>SUM(BK133:BN133)/SUM(BK57:BN57)</f>
        <v>0.44592411118111686</v>
      </c>
      <c r="BO135" s="338"/>
      <c r="BP135" s="338"/>
      <c r="BQ135" s="338"/>
      <c r="BR135" s="362">
        <f>SUM(BO133:BR133)/SUM(BO57:BR57)</f>
        <v>0.45496431252884467</v>
      </c>
      <c r="BS135" s="338"/>
      <c r="BT135" s="338"/>
      <c r="BU135" s="338"/>
      <c r="BV135" s="338"/>
      <c r="BW135" s="203"/>
      <c r="BX135" s="203"/>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V135" s="203"/>
      <c r="DW135" s="203"/>
      <c r="DX135" s="203"/>
      <c r="DY135" s="203"/>
      <c r="DZ135" s="203"/>
      <c r="EA135" s="203"/>
      <c r="EB135" s="203"/>
      <c r="EX135" s="376"/>
      <c r="EY135" s="376"/>
      <c r="EZ135" s="376"/>
      <c r="FA135" s="578"/>
      <c r="FB135" s="203"/>
      <c r="FC135" s="203"/>
      <c r="FD135" s="574"/>
    </row>
    <row r="136" spans="1:160">
      <c r="A136" s="203"/>
      <c r="B136" s="340"/>
      <c r="C136" s="203"/>
      <c r="D136" s="203"/>
      <c r="E136" s="203"/>
      <c r="F136" s="203"/>
      <c r="G136" s="203"/>
      <c r="H136" s="203"/>
      <c r="I136" s="203"/>
      <c r="J136" s="203"/>
      <c r="K136" s="203"/>
      <c r="L136" s="338"/>
      <c r="M136" s="338"/>
      <c r="N136" s="338"/>
      <c r="O136" s="338"/>
      <c r="P136" s="338"/>
      <c r="Q136" s="338"/>
      <c r="R136" s="338"/>
      <c r="S136" s="338"/>
      <c r="T136" s="338"/>
      <c r="U136" s="338"/>
      <c r="V136" s="338"/>
      <c r="W136" s="338"/>
      <c r="X136" s="338"/>
      <c r="Y136" s="338"/>
      <c r="Z136" s="338"/>
      <c r="AA136" s="338"/>
      <c r="AB136" s="338"/>
      <c r="AC136" s="338"/>
      <c r="AD136" s="338"/>
      <c r="AE136" s="203"/>
      <c r="AF136" s="203"/>
      <c r="AG136" s="337"/>
      <c r="AH136" s="337"/>
      <c r="AI136" s="337"/>
      <c r="AJ136" s="337"/>
      <c r="AK136" s="337"/>
      <c r="AL136" s="337"/>
      <c r="AM136" s="337"/>
      <c r="AN136" s="337"/>
      <c r="AO136" s="337"/>
      <c r="AP136" s="337"/>
      <c r="AQ136" s="337"/>
      <c r="AR136" s="387">
        <f>SUM(AQ135:AR135)*2</f>
        <v>680.93599999999969</v>
      </c>
      <c r="AS136" s="337"/>
      <c r="AT136" s="337"/>
      <c r="AU136" s="337"/>
      <c r="AV136" s="338"/>
      <c r="AW136" s="338"/>
      <c r="AX136" s="338"/>
      <c r="AY136" s="338"/>
      <c r="AZ136" s="338"/>
      <c r="BA136" s="364"/>
      <c r="BB136" s="345"/>
      <c r="BC136" s="345"/>
      <c r="BD136" s="338"/>
      <c r="BE136" s="337"/>
      <c r="BF136" s="337"/>
      <c r="BG136" s="337"/>
      <c r="BH136" s="337"/>
      <c r="BI136" s="337"/>
      <c r="BJ136" s="337"/>
      <c r="BK136" s="337"/>
      <c r="BL136" s="337"/>
      <c r="BM136" s="337"/>
      <c r="BN136" s="337"/>
      <c r="BO136" s="337"/>
      <c r="BP136" s="337"/>
      <c r="BQ136" s="337"/>
      <c r="BR136" s="337"/>
      <c r="BS136" s="337"/>
      <c r="BT136" s="337"/>
      <c r="BU136" s="337"/>
      <c r="BV136" s="337"/>
      <c r="BW136" s="203"/>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V136" s="203"/>
      <c r="DW136" s="203"/>
      <c r="DX136" s="203"/>
      <c r="DY136" s="203"/>
      <c r="DZ136" s="203"/>
      <c r="EA136" s="203"/>
      <c r="EB136" s="203"/>
      <c r="EX136" s="337"/>
      <c r="EY136" s="337"/>
      <c r="EZ136" s="337"/>
      <c r="FA136" s="576"/>
      <c r="FB136" s="203"/>
      <c r="FC136" s="203"/>
      <c r="FD136" s="574"/>
    </row>
    <row r="137" spans="1:160">
      <c r="A137" s="203"/>
      <c r="B137" s="340"/>
      <c r="C137" s="203"/>
      <c r="D137" s="203"/>
      <c r="E137" s="203"/>
      <c r="F137" s="203"/>
      <c r="G137" s="203"/>
      <c r="H137" s="203"/>
      <c r="I137" s="203"/>
      <c r="J137" s="203"/>
      <c r="K137" s="203"/>
      <c r="L137" s="338"/>
      <c r="M137" s="338"/>
      <c r="N137" s="338"/>
      <c r="O137" s="336"/>
      <c r="P137" s="336"/>
      <c r="Q137" s="336"/>
      <c r="R137" s="336"/>
      <c r="S137" s="336"/>
      <c r="T137" s="336"/>
      <c r="U137" s="336"/>
      <c r="V137" s="336"/>
      <c r="W137" s="336"/>
      <c r="X137" s="336"/>
      <c r="Y137" s="336"/>
      <c r="Z137" s="336"/>
      <c r="AA137" s="336"/>
      <c r="AB137" s="336"/>
      <c r="AC137" s="336"/>
      <c r="AD137" s="336"/>
      <c r="AE137" s="336"/>
      <c r="AF137" s="336"/>
      <c r="AG137" s="336"/>
      <c r="AH137" s="336"/>
      <c r="AI137" s="336"/>
      <c r="AJ137" s="336"/>
      <c r="AK137" s="336"/>
      <c r="AL137" s="336"/>
      <c r="AM137" s="336"/>
      <c r="AN137" s="336">
        <f t="shared" ref="AN137:AP137" si="370">AN111-AN119</f>
        <v>1856.5349999999999</v>
      </c>
      <c r="AO137" s="336">
        <f t="shared" si="370"/>
        <v>1861.9119999999998</v>
      </c>
      <c r="AP137" s="336">
        <f t="shared" si="370"/>
        <v>1797.7570000000001</v>
      </c>
      <c r="AQ137" s="336">
        <f t="shared" ref="AQ137:AT137" si="371">AQ111-AQ119</f>
        <v>2115.4769999999999</v>
      </c>
      <c r="AR137" s="336">
        <f t="shared" si="371"/>
        <v>2122.7139999999999</v>
      </c>
      <c r="AS137" s="336">
        <f t="shared" si="371"/>
        <v>2059.5130000000004</v>
      </c>
      <c r="AT137" s="336">
        <f t="shared" si="371"/>
        <v>2043.1000000000004</v>
      </c>
      <c r="AU137" s="336">
        <f>AU111-AU119</f>
        <v>2183.4289999999996</v>
      </c>
      <c r="AV137" s="336">
        <f t="shared" ref="AV137:BR137" si="372">AV111-AV119</f>
        <v>2293.5839999999998</v>
      </c>
      <c r="AW137" s="336">
        <f t="shared" si="372"/>
        <v>2093.3000000000002</v>
      </c>
      <c r="AX137" s="336">
        <f t="shared" si="372"/>
        <v>2102.1800000000003</v>
      </c>
      <c r="AY137" s="336">
        <f t="shared" si="372"/>
        <v>2413.1069999999995</v>
      </c>
      <c r="AZ137" s="336">
        <f t="shared" si="372"/>
        <v>2354.1840000000002</v>
      </c>
      <c r="BA137" s="336">
        <f t="shared" si="372"/>
        <v>2452.4039999999995</v>
      </c>
      <c r="BB137" s="336">
        <f t="shared" si="372"/>
        <v>2435.8830000000003</v>
      </c>
      <c r="BC137" s="336">
        <f t="shared" si="372"/>
        <v>2670.8910000000001</v>
      </c>
      <c r="BD137" s="336">
        <f t="shared" si="372"/>
        <v>2665</v>
      </c>
      <c r="BE137" s="336">
        <f t="shared" si="372"/>
        <v>2680.0140000000001</v>
      </c>
      <c r="BF137" s="336">
        <f t="shared" si="372"/>
        <v>2811.2659999999996</v>
      </c>
      <c r="BG137" s="336">
        <f t="shared" si="372"/>
        <v>2891.5320000000006</v>
      </c>
      <c r="BH137" s="336">
        <f t="shared" si="372"/>
        <v>2873.09</v>
      </c>
      <c r="BI137" s="336">
        <f t="shared" si="372"/>
        <v>2792.2960000000003</v>
      </c>
      <c r="BJ137" s="336">
        <f t="shared" si="372"/>
        <v>2801.0970000000002</v>
      </c>
      <c r="BK137" s="336">
        <f t="shared" si="372"/>
        <v>2900.6089999999999</v>
      </c>
      <c r="BL137" s="336">
        <f t="shared" si="372"/>
        <v>2899.7440000000006</v>
      </c>
      <c r="BM137" s="336">
        <f t="shared" si="372"/>
        <v>2973.1030000000001</v>
      </c>
      <c r="BN137" s="336">
        <f t="shared" si="372"/>
        <v>3132.9280000000003</v>
      </c>
      <c r="BO137" s="336">
        <f t="shared" si="372"/>
        <v>3252.922</v>
      </c>
      <c r="BP137" s="336">
        <f t="shared" si="372"/>
        <v>3335</v>
      </c>
      <c r="BQ137" s="336">
        <f t="shared" si="372"/>
        <v>3410</v>
      </c>
      <c r="BR137" s="336">
        <f t="shared" si="372"/>
        <v>3451.9616757335807</v>
      </c>
      <c r="BS137" s="336"/>
      <c r="BT137" s="336"/>
      <c r="BU137" s="336"/>
      <c r="BV137" s="336"/>
      <c r="BW137" s="203"/>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337">
        <f t="shared" ref="CV137:DM137" si="373">AU137/AQ137-1</f>
        <v>3.2121360808933241E-2</v>
      </c>
      <c r="CW137" s="337">
        <f t="shared" si="373"/>
        <v>8.0496006527492669E-2</v>
      </c>
      <c r="CX137" s="337">
        <f t="shared" si="373"/>
        <v>1.6405334659213011E-2</v>
      </c>
      <c r="CY137" s="337">
        <f t="shared" si="373"/>
        <v>2.8916842053741787E-2</v>
      </c>
      <c r="CZ137" s="337">
        <f t="shared" si="373"/>
        <v>0.105191421383521</v>
      </c>
      <c r="DA137" s="337">
        <f t="shared" si="373"/>
        <v>2.6421530669903603E-2</v>
      </c>
      <c r="DB137" s="337">
        <f t="shared" si="373"/>
        <v>0.17154922849089926</v>
      </c>
      <c r="DC137" s="337">
        <f t="shared" si="373"/>
        <v>0.15874140178291096</v>
      </c>
      <c r="DD137" s="337">
        <f t="shared" si="373"/>
        <v>0.10682659326751809</v>
      </c>
      <c r="DE137" s="337">
        <f t="shared" si="373"/>
        <v>0.13202706330516212</v>
      </c>
      <c r="DF137" s="337">
        <f t="shared" si="373"/>
        <v>9.2810972417269211E-2</v>
      </c>
      <c r="DG137" s="337">
        <f t="shared" si="373"/>
        <v>0.15410551327793631</v>
      </c>
      <c r="DH137" s="337">
        <f t="shared" si="373"/>
        <v>8.2609511208057818E-2</v>
      </c>
      <c r="DI137" s="337">
        <f t="shared" si="373"/>
        <v>7.8082551594746752E-2</v>
      </c>
      <c r="DJ137" s="337">
        <f t="shared" si="373"/>
        <v>4.1896049796754875E-2</v>
      </c>
      <c r="DK137" s="337">
        <f t="shared" si="373"/>
        <v>-3.6172315248714781E-3</v>
      </c>
      <c r="DL137" s="337">
        <f t="shared" si="373"/>
        <v>3.1391663657878155E-3</v>
      </c>
      <c r="DM137" s="337">
        <f t="shared" si="373"/>
        <v>9.2771197560816976E-3</v>
      </c>
      <c r="DN137" s="337">
        <f t="shared" ref="DN137:DS137" si="374">BM137/BJ137-1</f>
        <v>6.1406656035117635E-2</v>
      </c>
      <c r="DO137" s="337">
        <f t="shared" si="374"/>
        <v>8.0093180432109445E-2</v>
      </c>
      <c r="DP137" s="337">
        <f t="shared" si="374"/>
        <v>0.12179626891201401</v>
      </c>
      <c r="DQ137" s="337">
        <f t="shared" si="374"/>
        <v>0.1217236671585209</v>
      </c>
      <c r="DR137" s="337">
        <f t="shared" si="374"/>
        <v>8.8438674620035851E-2</v>
      </c>
      <c r="DS137" s="337">
        <f t="shared" si="374"/>
        <v>6.1187964461976163E-2</v>
      </c>
      <c r="DT137" s="203"/>
      <c r="DV137" s="203"/>
      <c r="DW137" s="203"/>
      <c r="DX137" s="203"/>
      <c r="DY137" s="203"/>
      <c r="DZ137" s="203"/>
      <c r="EA137" s="203"/>
      <c r="EB137" s="203"/>
      <c r="EX137" s="337"/>
      <c r="EY137" s="336">
        <f>EY111-EY119</f>
        <v>2827.1131843950002</v>
      </c>
      <c r="EZ137" s="336">
        <v>2971.2461255200001</v>
      </c>
      <c r="FA137" s="577">
        <v>2968.5407251928646</v>
      </c>
      <c r="FB137" s="337">
        <f>EY137/BI137-1</f>
        <v>1.2469016320261206E-2</v>
      </c>
      <c r="FC137" s="337">
        <v>6.0743746296540113E-2</v>
      </c>
      <c r="FD137" s="576">
        <v>2.3419814664046301E-2</v>
      </c>
    </row>
    <row r="138" spans="1:160">
      <c r="A138" s="203"/>
      <c r="B138" s="340"/>
      <c r="C138" s="203"/>
      <c r="D138" s="203"/>
      <c r="E138" s="203"/>
      <c r="F138" s="203"/>
      <c r="G138" s="203"/>
      <c r="H138" s="203"/>
      <c r="I138" s="203"/>
      <c r="J138" s="203"/>
      <c r="K138" s="203"/>
      <c r="L138" s="338"/>
      <c r="M138" s="338"/>
      <c r="N138" s="338"/>
      <c r="O138" s="338"/>
      <c r="P138" s="338"/>
      <c r="Q138" s="338"/>
      <c r="R138" s="338"/>
      <c r="S138" s="338"/>
      <c r="T138" s="338"/>
      <c r="U138" s="338"/>
      <c r="V138" s="338"/>
      <c r="W138" s="338"/>
      <c r="X138" s="338"/>
      <c r="Y138" s="338"/>
      <c r="Z138" s="338"/>
      <c r="AA138" s="338"/>
      <c r="AB138" s="338"/>
      <c r="AC138" s="338"/>
      <c r="AD138" s="338"/>
      <c r="AE138" s="203"/>
      <c r="AF138" s="203"/>
      <c r="AG138" s="337"/>
      <c r="AH138" s="337"/>
      <c r="AI138" s="337"/>
      <c r="AJ138" s="337"/>
      <c r="AK138" s="337"/>
      <c r="AL138" s="337"/>
      <c r="AM138" s="337"/>
      <c r="AN138" s="337"/>
      <c r="AO138" s="337"/>
      <c r="AP138" s="337"/>
      <c r="AQ138" s="337">
        <f t="shared" ref="AQ138:AT138" si="375">AQ137/AQ70</f>
        <v>0.54308448643236718</v>
      </c>
      <c r="AR138" s="337">
        <f t="shared" si="375"/>
        <v>0.53912907874478511</v>
      </c>
      <c r="AS138" s="337">
        <f t="shared" si="375"/>
        <v>0.51163372473459556</v>
      </c>
      <c r="AT138" s="337">
        <f t="shared" si="375"/>
        <v>0.49462583737895527</v>
      </c>
      <c r="AU138" s="337">
        <f>AU137/AU70</f>
        <v>0.51960424549629936</v>
      </c>
      <c r="AV138" s="337">
        <f t="shared" ref="AV138:BO138" si="376">AV137/AV70</f>
        <v>0.52674484298135615</v>
      </c>
      <c r="AW138" s="337">
        <f t="shared" si="376"/>
        <v>0.48288350634371402</v>
      </c>
      <c r="AX138" s="337">
        <f t="shared" si="376"/>
        <v>0.47194216307460846</v>
      </c>
      <c r="AY138" s="337">
        <f t="shared" si="376"/>
        <v>0.52916576210306099</v>
      </c>
      <c r="AZ138" s="337">
        <f t="shared" si="376"/>
        <v>0.52457616600446155</v>
      </c>
      <c r="BA138" s="337">
        <f t="shared" si="376"/>
        <v>0.52783993846038613</v>
      </c>
      <c r="BB138" s="337">
        <f t="shared" si="376"/>
        <v>0.50834160610690338</v>
      </c>
      <c r="BC138" s="337">
        <f t="shared" si="376"/>
        <v>0.53838839726662502</v>
      </c>
      <c r="BD138" s="337">
        <f>BD137/BD70</f>
        <v>0.52950526524935426</v>
      </c>
      <c r="BE138" s="337">
        <f t="shared" si="376"/>
        <v>0.52535161129202113</v>
      </c>
      <c r="BF138" s="337">
        <f t="shared" si="376"/>
        <v>0.52633189059772978</v>
      </c>
      <c r="BG138" s="337">
        <f t="shared" si="376"/>
        <v>0.53316217262241172</v>
      </c>
      <c r="BH138" s="337">
        <f t="shared" si="376"/>
        <v>0.5223944370826249</v>
      </c>
      <c r="BI138" s="337">
        <f t="shared" si="376"/>
        <v>0.51410717409115614</v>
      </c>
      <c r="BJ138" s="337">
        <f t="shared" si="376"/>
        <v>0.49832716598470028</v>
      </c>
      <c r="BK138" s="337">
        <f t="shared" si="376"/>
        <v>0.49848440999399185</v>
      </c>
      <c r="BL138" s="337">
        <f t="shared" si="376"/>
        <v>0.48162648661325574</v>
      </c>
      <c r="BM138" s="337">
        <f t="shared" ca="1" si="376"/>
        <v>0.48026910291811931</v>
      </c>
      <c r="BN138" s="337">
        <f t="shared" ca="1" si="376"/>
        <v>0.48666404248319012</v>
      </c>
      <c r="BO138" s="337">
        <f t="shared" si="376"/>
        <v>0.49424403842767373</v>
      </c>
      <c r="BP138" s="337"/>
      <c r="BQ138" s="337"/>
      <c r="BR138" s="337"/>
      <c r="BS138" s="337"/>
      <c r="BT138" s="337"/>
      <c r="BU138" s="337"/>
      <c r="BV138" s="337"/>
      <c r="BW138" s="203"/>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V138" s="203"/>
      <c r="DW138" s="203"/>
      <c r="DX138" s="203"/>
      <c r="DY138" s="203"/>
      <c r="DZ138" s="203"/>
      <c r="EA138" s="203"/>
      <c r="EB138" s="203"/>
      <c r="EX138" s="337"/>
      <c r="EY138" s="337">
        <f>EY137/EY70</f>
        <v>0.47578412873722853</v>
      </c>
      <c r="EZ138" s="337">
        <v>0.48945715241545368</v>
      </c>
      <c r="FA138" s="576">
        <v>0.47005993932015616</v>
      </c>
      <c r="FB138" s="203"/>
      <c r="FC138" s="203"/>
      <c r="FD138" s="574"/>
    </row>
    <row r="139" spans="1:160">
      <c r="A139" s="203"/>
      <c r="B139" s="340"/>
      <c r="C139" s="203"/>
      <c r="D139" s="203"/>
      <c r="E139" s="203"/>
      <c r="F139" s="203"/>
      <c r="G139" s="203"/>
      <c r="H139" s="203"/>
      <c r="I139" s="203"/>
      <c r="J139" s="203"/>
      <c r="K139" s="203"/>
      <c r="L139" s="338"/>
      <c r="M139" s="338"/>
      <c r="N139" s="338"/>
      <c r="O139" s="338"/>
      <c r="P139" s="338"/>
      <c r="Q139" s="338"/>
      <c r="R139" s="338"/>
      <c r="S139" s="338"/>
      <c r="T139" s="338"/>
      <c r="U139" s="338"/>
      <c r="V139" s="338"/>
      <c r="W139" s="338"/>
      <c r="X139" s="338"/>
      <c r="Y139" s="338"/>
      <c r="Z139" s="338"/>
      <c r="AA139" s="338"/>
      <c r="AB139" s="338"/>
      <c r="AC139" s="338"/>
      <c r="AD139" s="338"/>
      <c r="AE139" s="203"/>
      <c r="AF139" s="203"/>
      <c r="AG139" s="337"/>
      <c r="AH139" s="337"/>
      <c r="AI139" s="337"/>
      <c r="AJ139" s="337"/>
      <c r="AK139" s="337"/>
      <c r="AL139" s="337"/>
      <c r="AM139" s="337"/>
      <c r="AN139" s="337"/>
      <c r="AO139" s="337"/>
      <c r="AP139" s="337"/>
      <c r="AQ139" s="337"/>
      <c r="AR139" s="337"/>
      <c r="AS139" s="337"/>
      <c r="AT139" s="337"/>
      <c r="AU139" s="337"/>
      <c r="AV139" s="337"/>
      <c r="AW139" s="337"/>
      <c r="AX139" s="337"/>
      <c r="AY139" s="337"/>
      <c r="AZ139" s="337"/>
      <c r="BA139" s="337"/>
      <c r="BB139" s="337"/>
      <c r="BC139" s="337"/>
      <c r="BD139" s="337"/>
      <c r="BE139" s="337"/>
      <c r="BF139" s="337"/>
      <c r="BG139" s="337"/>
      <c r="BH139" s="337"/>
      <c r="BI139" s="337"/>
      <c r="BJ139" s="337"/>
      <c r="BK139" s="337"/>
      <c r="BL139" s="337"/>
      <c r="BM139" s="337"/>
      <c r="BN139" s="337"/>
      <c r="BO139" s="337"/>
      <c r="BP139" s="337"/>
      <c r="BQ139" s="337"/>
      <c r="BR139" s="337"/>
      <c r="BS139" s="337"/>
      <c r="BT139" s="337"/>
      <c r="BU139" s="337"/>
      <c r="BV139" s="337"/>
      <c r="BW139" s="203"/>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V139" s="203"/>
      <c r="DW139" s="203"/>
      <c r="DX139" s="203"/>
      <c r="DY139" s="203"/>
      <c r="DZ139" s="203"/>
      <c r="EA139" s="203"/>
      <c r="EB139" s="203"/>
      <c r="EX139" s="337"/>
      <c r="EY139" s="337"/>
      <c r="EZ139" s="337"/>
      <c r="FA139" s="576"/>
      <c r="FB139" s="203"/>
      <c r="FC139" s="203"/>
      <c r="FD139" s="574"/>
    </row>
    <row r="140" spans="1:160">
      <c r="A140" s="203"/>
      <c r="B140" s="340"/>
      <c r="C140" s="203"/>
      <c r="D140" s="203"/>
      <c r="E140" s="203"/>
      <c r="F140" s="203"/>
      <c r="G140" s="203"/>
      <c r="H140" s="203"/>
      <c r="I140" s="203"/>
      <c r="J140" s="203"/>
      <c r="K140" s="203"/>
      <c r="L140" s="338"/>
      <c r="M140" s="338"/>
      <c r="N140" s="338"/>
      <c r="O140" s="338"/>
      <c r="P140" s="338"/>
      <c r="Q140" s="338"/>
      <c r="R140" s="338"/>
      <c r="S140" s="338"/>
      <c r="T140" s="338"/>
      <c r="U140" s="338"/>
      <c r="V140" s="338"/>
      <c r="W140" s="338"/>
      <c r="X140" s="338"/>
      <c r="Y140" s="338"/>
      <c r="Z140" s="338"/>
      <c r="AA140" s="338"/>
      <c r="AB140" s="338"/>
      <c r="AC140" s="338"/>
      <c r="AD140" s="338"/>
      <c r="AE140" s="203"/>
      <c r="AF140" s="203"/>
      <c r="AG140" s="337"/>
      <c r="AH140" s="337"/>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c r="BQ140" s="337"/>
      <c r="BR140" s="337"/>
      <c r="BS140" s="337"/>
      <c r="BT140" s="337"/>
      <c r="BU140" s="337"/>
      <c r="BV140" s="337"/>
      <c r="BW140" s="203"/>
      <c r="BX140" s="203"/>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V140" s="203"/>
      <c r="DW140" s="203"/>
      <c r="DX140" s="203"/>
      <c r="DY140" s="203"/>
      <c r="DZ140" s="203"/>
      <c r="EA140" s="203"/>
      <c r="EB140" s="203"/>
      <c r="EX140" s="337"/>
      <c r="EY140" s="337"/>
      <c r="EZ140" s="337"/>
      <c r="FA140" s="576"/>
      <c r="FB140" s="203"/>
      <c r="FC140" s="203"/>
      <c r="FD140" s="574"/>
    </row>
    <row r="141" spans="1:160">
      <c r="A141" s="203"/>
      <c r="B141" s="340"/>
      <c r="C141" s="203"/>
      <c r="D141" s="203"/>
      <c r="E141" s="203"/>
      <c r="F141" s="203"/>
      <c r="G141" s="203"/>
      <c r="H141" s="203"/>
      <c r="I141" s="203"/>
      <c r="J141" s="203"/>
      <c r="K141" s="203"/>
      <c r="L141" s="338"/>
      <c r="M141" s="338"/>
      <c r="N141" s="338"/>
      <c r="O141" s="338"/>
      <c r="P141" s="338"/>
      <c r="Q141" s="338"/>
      <c r="R141" s="338"/>
      <c r="S141" s="338"/>
      <c r="T141" s="338"/>
      <c r="U141" s="338"/>
      <c r="V141" s="338"/>
      <c r="W141" s="338"/>
      <c r="X141" s="338"/>
      <c r="Y141" s="338"/>
      <c r="Z141" s="338"/>
      <c r="AA141" s="338"/>
      <c r="AB141" s="338"/>
      <c r="AC141" s="338"/>
      <c r="AD141" s="338"/>
      <c r="AE141" s="203"/>
      <c r="AF141" s="203"/>
      <c r="AG141" s="337"/>
      <c r="AH141" s="337"/>
      <c r="AI141" s="337"/>
      <c r="AJ141" s="337"/>
      <c r="AK141" s="337"/>
      <c r="AL141" s="337"/>
      <c r="AM141" s="337"/>
      <c r="AN141" s="337"/>
      <c r="AO141" s="337"/>
      <c r="AP141" s="337"/>
      <c r="AQ141" s="337"/>
      <c r="AR141" s="337"/>
      <c r="AS141" s="337"/>
      <c r="AT141" s="337"/>
      <c r="AU141" s="337"/>
      <c r="AV141" s="337"/>
      <c r="AW141" s="337"/>
      <c r="AX141" s="337"/>
      <c r="AY141" s="337"/>
      <c r="AZ141" s="337"/>
      <c r="BA141" s="337"/>
      <c r="BB141" s="337"/>
      <c r="BC141" s="337"/>
      <c r="BD141" s="337"/>
      <c r="BE141" s="337"/>
      <c r="BF141" s="337"/>
      <c r="BG141" s="337"/>
      <c r="BH141" s="337"/>
      <c r="BI141" s="337"/>
      <c r="BJ141" s="337"/>
      <c r="BK141" s="337"/>
      <c r="BL141" s="337"/>
      <c r="BM141" s="337"/>
      <c r="BN141" s="337"/>
      <c r="BO141" s="337"/>
      <c r="BP141" s="337"/>
      <c r="BQ141" s="337"/>
      <c r="BR141" s="337"/>
      <c r="BS141" s="337"/>
      <c r="BT141" s="337"/>
      <c r="BU141" s="337"/>
      <c r="BV141" s="337"/>
      <c r="BW141" s="203"/>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V141" s="203"/>
      <c r="DW141" s="203"/>
      <c r="DX141" s="203"/>
      <c r="DY141" s="203"/>
      <c r="DZ141" s="203"/>
      <c r="EA141" s="203"/>
      <c r="EB141" s="203"/>
      <c r="EX141" s="337"/>
      <c r="EY141" s="337"/>
      <c r="EZ141" s="337"/>
      <c r="FA141" s="576"/>
      <c r="FB141" s="203"/>
      <c r="FC141" s="203"/>
      <c r="FD141" s="574"/>
    </row>
    <row r="142" spans="1:160">
      <c r="A142" s="203"/>
      <c r="B142" s="340"/>
      <c r="C142" s="203"/>
      <c r="D142" s="203"/>
      <c r="E142" s="203"/>
      <c r="F142" s="203"/>
      <c r="G142" s="203"/>
      <c r="H142" s="203"/>
      <c r="I142" s="203"/>
      <c r="J142" s="203"/>
      <c r="K142" s="203"/>
      <c r="L142" s="338"/>
      <c r="M142" s="338"/>
      <c r="N142" s="338"/>
      <c r="O142" s="338"/>
      <c r="P142" s="338"/>
      <c r="Q142" s="338"/>
      <c r="R142" s="338"/>
      <c r="S142" s="338"/>
      <c r="T142" s="338"/>
      <c r="U142" s="338"/>
      <c r="V142" s="338"/>
      <c r="W142" s="338"/>
      <c r="X142" s="338"/>
      <c r="Y142" s="338"/>
      <c r="Z142" s="338"/>
      <c r="AA142" s="338"/>
      <c r="AB142" s="338"/>
      <c r="AC142" s="338"/>
      <c r="AD142" s="338"/>
      <c r="AE142" s="203"/>
      <c r="AF142" s="203"/>
      <c r="AG142" s="337"/>
      <c r="AH142" s="337"/>
      <c r="AI142" s="337"/>
      <c r="AJ142" s="337"/>
      <c r="AK142" s="337"/>
      <c r="AL142" s="337"/>
      <c r="AM142" s="337"/>
      <c r="AN142" s="337"/>
      <c r="AO142" s="337"/>
      <c r="AP142" s="337"/>
      <c r="AQ142" s="337"/>
      <c r="AR142" s="337"/>
      <c r="AS142" s="337"/>
      <c r="AT142" s="337"/>
      <c r="AU142" s="337"/>
      <c r="AV142" s="337"/>
      <c r="AW142" s="337"/>
      <c r="AX142" s="337"/>
      <c r="AY142" s="337"/>
      <c r="AZ142" s="337"/>
      <c r="BA142" s="337"/>
      <c r="BB142" s="337"/>
      <c r="BC142" s="337"/>
      <c r="BD142" s="337"/>
      <c r="BE142" s="337"/>
      <c r="BF142" s="337"/>
      <c r="BG142" s="337"/>
      <c r="BH142" s="337"/>
      <c r="BI142" s="337"/>
      <c r="BJ142" s="337"/>
      <c r="BK142" s="337"/>
      <c r="BL142" s="337"/>
      <c r="BM142" s="337"/>
      <c r="BN142" s="337"/>
      <c r="BO142" s="337"/>
      <c r="BP142" s="337"/>
      <c r="BQ142" s="337"/>
      <c r="BR142" s="337"/>
      <c r="BS142" s="337"/>
      <c r="BT142" s="337"/>
      <c r="BU142" s="337"/>
      <c r="BV142" s="337"/>
      <c r="BW142" s="203"/>
      <c r="BX142" s="203"/>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V142" s="203"/>
      <c r="DW142" s="203"/>
      <c r="DX142" s="203"/>
      <c r="DY142" s="203"/>
      <c r="DZ142" s="203"/>
      <c r="EA142" s="203"/>
      <c r="EB142" s="203"/>
      <c r="EX142" s="337"/>
      <c r="EY142" s="337"/>
      <c r="EZ142" s="337"/>
      <c r="FA142" s="576"/>
      <c r="FB142" s="203"/>
      <c r="FC142" s="203"/>
      <c r="FD142" s="574"/>
    </row>
    <row r="143" spans="1:160">
      <c r="A143" s="203"/>
      <c r="B143" s="340"/>
      <c r="C143" s="203"/>
      <c r="D143" s="203"/>
      <c r="E143" s="203"/>
      <c r="F143" s="203"/>
      <c r="G143" s="203"/>
      <c r="H143" s="203"/>
      <c r="I143" s="203"/>
      <c r="J143" s="203"/>
      <c r="K143" s="203"/>
      <c r="L143" s="338"/>
      <c r="M143" s="338"/>
      <c r="N143" s="338"/>
      <c r="O143" s="338"/>
      <c r="P143" s="338"/>
      <c r="Q143" s="338"/>
      <c r="R143" s="338"/>
      <c r="S143" s="338"/>
      <c r="T143" s="338"/>
      <c r="U143" s="338"/>
      <c r="V143" s="338"/>
      <c r="W143" s="338"/>
      <c r="X143" s="338"/>
      <c r="Y143" s="338"/>
      <c r="Z143" s="338"/>
      <c r="AA143" s="338"/>
      <c r="AB143" s="338"/>
      <c r="AC143" s="338"/>
      <c r="AD143" s="338"/>
      <c r="AE143" s="203"/>
      <c r="AF143" s="203"/>
      <c r="AG143" s="337"/>
      <c r="AH143" s="337"/>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337"/>
      <c r="BV143" s="337"/>
      <c r="BW143" s="203"/>
      <c r="BX143" s="203"/>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V143" s="203"/>
      <c r="DW143" s="203"/>
      <c r="DX143" s="203"/>
      <c r="DY143" s="203"/>
      <c r="DZ143" s="203"/>
      <c r="EA143" s="203"/>
      <c r="EB143" s="203"/>
      <c r="EX143" s="337"/>
      <c r="EY143" s="337"/>
      <c r="EZ143" s="337"/>
      <c r="FA143" s="576"/>
      <c r="FB143" s="203"/>
      <c r="FC143" s="203"/>
      <c r="FD143" s="574"/>
    </row>
    <row r="144" spans="1:160">
      <c r="A144" s="203"/>
      <c r="B144" s="340" t="s">
        <v>1377</v>
      </c>
      <c r="C144" s="203"/>
      <c r="D144" s="203"/>
      <c r="E144" s="203"/>
      <c r="F144" s="203"/>
      <c r="G144" s="203"/>
      <c r="H144" s="203"/>
      <c r="I144" s="203"/>
      <c r="J144" s="203"/>
      <c r="K144" s="203"/>
      <c r="L144" s="203"/>
      <c r="M144" s="203"/>
      <c r="N144" s="203"/>
      <c r="O144" s="203">
        <v>462</v>
      </c>
      <c r="P144" s="203">
        <v>521</v>
      </c>
      <c r="Q144" s="203">
        <v>419</v>
      </c>
      <c r="R144" s="203">
        <v>572</v>
      </c>
      <c r="S144" s="336">
        <v>406</v>
      </c>
      <c r="T144" s="203">
        <v>459</v>
      </c>
      <c r="U144" s="203">
        <v>599</v>
      </c>
      <c r="V144" s="203">
        <v>521</v>
      </c>
      <c r="W144" s="203">
        <v>415</v>
      </c>
      <c r="X144" s="203">
        <v>513</v>
      </c>
      <c r="Y144" s="203">
        <v>454</v>
      </c>
      <c r="Z144" s="203">
        <v>618</v>
      </c>
      <c r="AA144" s="203">
        <v>389</v>
      </c>
      <c r="AB144" s="203">
        <v>693</v>
      </c>
      <c r="AC144" s="203">
        <v>675</v>
      </c>
      <c r="AD144" s="203">
        <v>579</v>
      </c>
      <c r="AE144" s="336">
        <v>761</v>
      </c>
      <c r="AF144" s="336">
        <v>1040</v>
      </c>
      <c r="AG144" s="336">
        <v>1090</v>
      </c>
      <c r="AH144" s="336">
        <v>874</v>
      </c>
      <c r="AI144" s="336">
        <v>806</v>
      </c>
      <c r="AJ144" s="336">
        <v>1063</v>
      </c>
      <c r="AK144" s="336">
        <v>1353</v>
      </c>
      <c r="AL144" s="336">
        <v>1652</v>
      </c>
      <c r="AM144" s="336">
        <v>849</v>
      </c>
      <c r="AN144" s="336">
        <v>811</v>
      </c>
      <c r="AO144" s="336">
        <v>1253</v>
      </c>
      <c r="AP144" s="336">
        <v>1779</v>
      </c>
      <c r="AQ144" s="336">
        <v>1219</v>
      </c>
      <c r="AR144" s="336">
        <f>(AR99+99)*0.256</f>
        <v>1262.628608</v>
      </c>
      <c r="AS144" s="336"/>
      <c r="AT144" s="336"/>
      <c r="AU144" s="336"/>
      <c r="AV144" s="336"/>
      <c r="AW144" s="336"/>
      <c r="AX144" s="336"/>
      <c r="AY144" s="336"/>
      <c r="AZ144" s="336"/>
      <c r="BA144" s="364"/>
      <c r="BB144" s="345"/>
      <c r="BC144" s="345"/>
      <c r="BD144" s="336"/>
      <c r="BE144" s="336"/>
      <c r="BF144" s="336"/>
      <c r="BG144" s="336"/>
      <c r="BH144" s="336"/>
      <c r="BI144" s="336"/>
      <c r="BJ144" s="336"/>
      <c r="BK144" s="336"/>
      <c r="BL144" s="336"/>
      <c r="BM144" s="336"/>
      <c r="BN144" s="336"/>
      <c r="BO144" s="336"/>
      <c r="BP144" s="336"/>
      <c r="BQ144" s="336"/>
      <c r="BR144" s="336"/>
      <c r="BS144" s="336"/>
      <c r="BT144" s="336"/>
      <c r="BU144" s="336"/>
      <c r="BV144" s="336"/>
      <c r="BW144" s="203"/>
      <c r="BX144" s="337">
        <f t="shared" ref="BX144:CE144" si="377">W144/S144-1</f>
        <v>2.2167487684729092E-2</v>
      </c>
      <c r="BY144" s="337">
        <f t="shared" si="377"/>
        <v>0.11764705882352944</v>
      </c>
      <c r="BZ144" s="337">
        <f t="shared" si="377"/>
        <v>-0.24207011686143576</v>
      </c>
      <c r="CA144" s="337">
        <f t="shared" si="377"/>
        <v>0.1861804222648753</v>
      </c>
      <c r="CB144" s="337">
        <f t="shared" si="377"/>
        <v>-6.26506024096386E-2</v>
      </c>
      <c r="CC144" s="337">
        <f t="shared" si="377"/>
        <v>0.35087719298245612</v>
      </c>
      <c r="CD144" s="337">
        <f t="shared" si="377"/>
        <v>0.48678414096916289</v>
      </c>
      <c r="CE144" s="337">
        <f t="shared" si="377"/>
        <v>-6.3106796116504826E-2</v>
      </c>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V144" s="203"/>
      <c r="DW144" s="203"/>
      <c r="DX144" s="203"/>
      <c r="DY144" s="203"/>
      <c r="DZ144" s="203"/>
      <c r="EA144" s="203"/>
      <c r="EB144" s="203"/>
      <c r="EX144" s="336"/>
      <c r="EY144" s="336"/>
      <c r="EZ144" s="336"/>
      <c r="FA144" s="577"/>
      <c r="FB144" s="203"/>
      <c r="FC144" s="203"/>
      <c r="FD144" s="574"/>
    </row>
    <row r="145" spans="1:160">
      <c r="A145" s="203"/>
      <c r="B145" s="340" t="s">
        <v>23</v>
      </c>
      <c r="C145" s="203"/>
      <c r="D145" s="203"/>
      <c r="E145" s="203"/>
      <c r="F145" s="203"/>
      <c r="G145" s="203"/>
      <c r="H145" s="203"/>
      <c r="I145" s="203"/>
      <c r="J145" s="203"/>
      <c r="K145" s="203"/>
      <c r="L145" s="203"/>
      <c r="M145" s="203"/>
      <c r="N145" s="203"/>
      <c r="O145" s="337">
        <v>0.22602739726027396</v>
      </c>
      <c r="P145" s="337">
        <v>0.25933300149328026</v>
      </c>
      <c r="Q145" s="337">
        <v>0.20559371933267909</v>
      </c>
      <c r="R145" s="337">
        <v>0.26493747105141269</v>
      </c>
      <c r="S145" s="337">
        <v>0.18044444444444444</v>
      </c>
      <c r="T145" s="337">
        <v>0.20949338201734369</v>
      </c>
      <c r="U145" s="337">
        <v>0.26539654408506869</v>
      </c>
      <c r="V145" s="337">
        <v>0.22860903905221588</v>
      </c>
      <c r="W145" s="337">
        <v>0.17284464806330696</v>
      </c>
      <c r="X145" s="337">
        <v>0.20990180032733224</v>
      </c>
      <c r="Y145" s="337">
        <v>0.18343434343434342</v>
      </c>
      <c r="Z145" s="337">
        <v>0.22489082969432314</v>
      </c>
      <c r="AA145" s="337">
        <v>0.14428783382789317</v>
      </c>
      <c r="AB145" s="337">
        <v>0.24829810103905411</v>
      </c>
      <c r="AC145" s="337">
        <f t="shared" ref="AC145:AR145" si="378">AC144/AC99</f>
        <v>0.234375</v>
      </c>
      <c r="AD145" s="337">
        <f t="shared" si="378"/>
        <v>0.18626628744266038</v>
      </c>
      <c r="AE145" s="337">
        <f t="shared" si="378"/>
        <v>0.22792620103031028</v>
      </c>
      <c r="AF145" s="337">
        <f t="shared" si="378"/>
        <v>0.28047464940668826</v>
      </c>
      <c r="AG145" s="337">
        <f t="shared" si="378"/>
        <v>0.30421434552051352</v>
      </c>
      <c r="AH145" s="337">
        <f t="shared" si="378"/>
        <v>0.2225332482241261</v>
      </c>
      <c r="AI145" s="337">
        <f t="shared" si="378"/>
        <v>0.19855816226783968</v>
      </c>
      <c r="AJ145" s="337">
        <f t="shared" si="378"/>
        <v>0.25173669904273743</v>
      </c>
      <c r="AK145" s="337">
        <f t="shared" si="378"/>
        <v>0.32065410593672233</v>
      </c>
      <c r="AL145" s="337">
        <f t="shared" si="378"/>
        <v>0.37075680395964672</v>
      </c>
      <c r="AM145" s="337">
        <f t="shared" si="378"/>
        <v>0.19790449674448266</v>
      </c>
      <c r="AN145" s="337">
        <f t="shared" si="378"/>
        <v>0.19637564651415065</v>
      </c>
      <c r="AO145" s="337">
        <f t="shared" si="378"/>
        <v>0.29292455123865241</v>
      </c>
      <c r="AP145" s="337">
        <f t="shared" si="378"/>
        <v>0.39397639109210303</v>
      </c>
      <c r="AQ145" s="338">
        <f t="shared" si="378"/>
        <v>0.25963791267305647</v>
      </c>
      <c r="AR145" s="338">
        <f t="shared" si="378"/>
        <v>0.2612437927038368</v>
      </c>
      <c r="AS145" s="337"/>
      <c r="AT145" s="337"/>
      <c r="AU145" s="337"/>
      <c r="AV145" s="337"/>
      <c r="AW145" s="337"/>
      <c r="AX145" s="337"/>
      <c r="AY145" s="337"/>
      <c r="AZ145" s="337"/>
      <c r="BA145" s="364"/>
      <c r="BB145" s="345"/>
      <c r="BC145" s="345"/>
      <c r="BD145" s="337"/>
      <c r="BE145" s="337"/>
      <c r="BF145" s="337"/>
      <c r="BG145" s="337"/>
      <c r="BH145" s="337"/>
      <c r="BI145" s="337"/>
      <c r="BJ145" s="337"/>
      <c r="BK145" s="337"/>
      <c r="BL145" s="337"/>
      <c r="BM145" s="337"/>
      <c r="BN145" s="339"/>
      <c r="BO145" s="337"/>
      <c r="BP145" s="337"/>
      <c r="BQ145" s="337"/>
      <c r="BR145" s="337"/>
      <c r="BS145" s="337"/>
      <c r="BT145" s="337"/>
      <c r="BU145" s="337"/>
      <c r="BV145" s="337"/>
      <c r="BW145" s="203"/>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V145" s="203"/>
      <c r="DW145" s="203"/>
      <c r="DX145" s="203"/>
      <c r="DY145" s="203"/>
      <c r="DZ145" s="203"/>
      <c r="EA145" s="203"/>
      <c r="EB145" s="203"/>
      <c r="EX145" s="337"/>
      <c r="EY145" s="337"/>
      <c r="EZ145" s="337"/>
      <c r="FA145" s="576"/>
      <c r="FB145" s="203"/>
      <c r="FC145" s="203"/>
      <c r="FD145" s="574"/>
    </row>
    <row r="146" spans="1:160">
      <c r="A146" s="203"/>
      <c r="B146" s="340"/>
      <c r="C146" s="203"/>
      <c r="D146" s="203"/>
      <c r="E146" s="203"/>
      <c r="F146" s="203"/>
      <c r="G146" s="203"/>
      <c r="H146" s="203"/>
      <c r="I146" s="203"/>
      <c r="J146" s="203"/>
      <c r="K146" s="203"/>
      <c r="L146" s="203"/>
      <c r="M146" s="203"/>
      <c r="N146" s="203"/>
      <c r="O146" s="337"/>
      <c r="P146" s="337"/>
      <c r="Q146" s="337"/>
      <c r="R146" s="337"/>
      <c r="S146" s="337"/>
      <c r="T146" s="337"/>
      <c r="U146" s="337"/>
      <c r="V146" s="337"/>
      <c r="W146" s="337"/>
      <c r="X146" s="337"/>
      <c r="Y146" s="337"/>
      <c r="Z146" s="337"/>
      <c r="AA146" s="337"/>
      <c r="AB146" s="337"/>
      <c r="AC146" s="337"/>
      <c r="AD146" s="337"/>
      <c r="AE146" s="337"/>
      <c r="AF146" s="337"/>
      <c r="AG146" s="337"/>
      <c r="AH146" s="337"/>
      <c r="AI146" s="337"/>
      <c r="AJ146" s="337"/>
      <c r="AK146" s="337"/>
      <c r="AL146" s="337"/>
      <c r="AM146" s="337"/>
      <c r="AN146" s="337"/>
      <c r="AO146" s="337"/>
      <c r="AP146" s="337"/>
      <c r="AQ146" s="337"/>
      <c r="AR146" s="337"/>
      <c r="AS146" s="337"/>
      <c r="AT146" s="337"/>
      <c r="AU146" s="337"/>
      <c r="AV146" s="337"/>
      <c r="AW146" s="337"/>
      <c r="AX146" s="337"/>
      <c r="AY146" s="337"/>
      <c r="AZ146" s="337"/>
      <c r="BA146" s="364"/>
      <c r="BB146" s="345"/>
      <c r="BC146" s="337"/>
      <c r="BD146" s="337"/>
      <c r="BE146" s="337"/>
      <c r="BF146" s="337"/>
      <c r="BG146" s="337"/>
      <c r="BH146" s="337"/>
      <c r="BI146" s="337"/>
      <c r="BJ146" s="337"/>
      <c r="BK146" s="337"/>
      <c r="BL146" s="337"/>
      <c r="BM146" s="337"/>
      <c r="BO146" s="337"/>
      <c r="BP146" s="337"/>
      <c r="BQ146" s="337"/>
      <c r="BR146" s="337"/>
      <c r="BS146" s="337"/>
      <c r="BT146" s="337"/>
      <c r="BU146" s="337"/>
      <c r="BV146" s="337"/>
      <c r="BW146" s="203"/>
      <c r="BX146" s="203"/>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V146" s="203"/>
      <c r="DW146" s="203"/>
      <c r="DX146" s="203"/>
      <c r="DY146" s="203"/>
      <c r="DZ146" s="203"/>
      <c r="EA146" s="203"/>
      <c r="EB146" s="203"/>
      <c r="EX146" s="337"/>
      <c r="EY146" s="337"/>
      <c r="EZ146" s="337"/>
      <c r="FA146" s="576"/>
      <c r="FB146" s="203"/>
      <c r="FC146" s="203"/>
      <c r="FD146" s="574"/>
    </row>
    <row r="147" spans="1:160">
      <c r="A147" s="203"/>
      <c r="B147" s="341" t="s">
        <v>1376</v>
      </c>
      <c r="C147" s="205"/>
      <c r="D147" s="205"/>
      <c r="E147" s="205"/>
      <c r="F147" s="205"/>
      <c r="G147" s="205"/>
      <c r="H147" s="205"/>
      <c r="I147" s="205"/>
      <c r="J147" s="205"/>
      <c r="K147" s="205"/>
      <c r="L147" s="205"/>
      <c r="M147" s="205"/>
      <c r="N147" s="205"/>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363"/>
      <c r="AP147" s="363"/>
      <c r="AQ147" s="376">
        <f>2821-AR147</f>
        <v>1372</v>
      </c>
      <c r="AR147" s="376">
        <v>1449</v>
      </c>
      <c r="AS147" s="376">
        <v>1443</v>
      </c>
      <c r="AT147" s="376">
        <v>1489.123</v>
      </c>
      <c r="AU147" s="376">
        <v>1385</v>
      </c>
      <c r="AV147" s="376">
        <v>1612.2550000000001</v>
      </c>
      <c r="AW147" s="376">
        <v>1540</v>
      </c>
      <c r="AX147" s="376">
        <v>1997.6079999999999</v>
      </c>
      <c r="AY147" s="376">
        <v>1246</v>
      </c>
      <c r="AZ147" s="376">
        <v>1327</v>
      </c>
      <c r="BA147" s="376">
        <v>1784.376</v>
      </c>
      <c r="BB147" s="376">
        <v>3713.6469999999999</v>
      </c>
      <c r="BC147" s="376">
        <v>1875.7049999999999</v>
      </c>
      <c r="BD147" s="376">
        <v>2033</v>
      </c>
      <c r="BE147" s="376">
        <v>2393.6480000000001</v>
      </c>
      <c r="BF147" s="376">
        <v>3164.22</v>
      </c>
      <c r="BG147" s="378">
        <v>2340</v>
      </c>
      <c r="BH147" s="378">
        <v>2796</v>
      </c>
      <c r="BI147" s="378">
        <v>2744.5770000000002</v>
      </c>
      <c r="BJ147" s="378">
        <v>3955</v>
      </c>
      <c r="BK147" s="378">
        <v>2235</v>
      </c>
      <c r="BL147" s="378">
        <v>2930</v>
      </c>
      <c r="BM147" s="378">
        <v>3794</v>
      </c>
      <c r="BN147" s="378">
        <v>3990</v>
      </c>
      <c r="BO147" s="378">
        <v>2354</v>
      </c>
      <c r="BP147" s="535">
        <v>2800</v>
      </c>
      <c r="BQ147" s="535">
        <v>3000</v>
      </c>
      <c r="BR147" s="380">
        <f>Master!X44-BQ147-BP147-BO147</f>
        <v>2764.2953765788989</v>
      </c>
      <c r="BS147" s="535">
        <v>2000</v>
      </c>
      <c r="BT147" s="535">
        <v>2800</v>
      </c>
      <c r="BU147" s="535">
        <v>2800</v>
      </c>
      <c r="BV147" s="380">
        <f>Master!Y44-BU147-BT147-BS147</f>
        <v>2487.4775362462115</v>
      </c>
      <c r="BW147" s="336"/>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392"/>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V147" s="203"/>
      <c r="DW147" s="203"/>
      <c r="DX147" s="203"/>
      <c r="DY147" s="203"/>
      <c r="DZ147" s="203"/>
      <c r="EA147" s="203"/>
      <c r="EB147" s="203"/>
      <c r="EX147" s="380">
        <v>2816.1945500000002</v>
      </c>
      <c r="EY147" s="380">
        <v>2782.1158876199997</v>
      </c>
      <c r="EZ147" s="380">
        <v>2863.6061021600003</v>
      </c>
      <c r="FA147" s="588">
        <v>3718.6496038687419</v>
      </c>
      <c r="FB147" s="203"/>
      <c r="FC147" s="203"/>
      <c r="FD147" s="574"/>
    </row>
    <row r="148" spans="1:160">
      <c r="A148" s="203"/>
      <c r="B148" s="341" t="s">
        <v>1378</v>
      </c>
      <c r="C148" s="205"/>
      <c r="D148" s="205"/>
      <c r="E148" s="205"/>
      <c r="F148" s="205"/>
      <c r="G148" s="205"/>
      <c r="H148" s="205"/>
      <c r="I148" s="205"/>
      <c r="J148" s="205"/>
      <c r="K148" s="205"/>
      <c r="L148" s="205"/>
      <c r="M148" s="205"/>
      <c r="N148" s="205"/>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363"/>
      <c r="AP148" s="363"/>
      <c r="AQ148" s="338">
        <f t="shared" ref="AQ148:BH148" si="379">AQ147/AQ99</f>
        <v>0.29222577209797657</v>
      </c>
      <c r="AR148" s="338">
        <f t="shared" si="379"/>
        <v>0.29980490955885231</v>
      </c>
      <c r="AS148" s="338">
        <f t="shared" si="379"/>
        <v>0.29746652522404815</v>
      </c>
      <c r="AT148" s="338">
        <f t="shared" si="379"/>
        <v>0.29446202040419633</v>
      </c>
      <c r="AU148" s="338">
        <f t="shared" si="379"/>
        <v>0.26892159527785331</v>
      </c>
      <c r="AV148" s="338">
        <f t="shared" si="379"/>
        <v>0.30163498846503489</v>
      </c>
      <c r="AW148" s="338">
        <f t="shared" si="379"/>
        <v>0.28490028490028491</v>
      </c>
      <c r="AX148" s="338">
        <f t="shared" si="379"/>
        <v>0.35513346785304756</v>
      </c>
      <c r="AY148" s="338">
        <f t="shared" si="379"/>
        <v>0.22572099833897605</v>
      </c>
      <c r="AZ148" s="338">
        <f t="shared" si="379"/>
        <v>0.24301915126431306</v>
      </c>
      <c r="BA148" s="338">
        <f t="shared" si="379"/>
        <v>0.31742346307536667</v>
      </c>
      <c r="BB148" s="338">
        <f t="shared" si="379"/>
        <v>0.64240345387817466</v>
      </c>
      <c r="BC148" s="338">
        <f t="shared" si="379"/>
        <v>0.31513972075506314</v>
      </c>
      <c r="BD148" s="338">
        <f t="shared" si="379"/>
        <v>0.33526831359873344</v>
      </c>
      <c r="BE148" s="338">
        <f t="shared" si="379"/>
        <v>0.38953243700575074</v>
      </c>
      <c r="BF148" s="338">
        <f t="shared" si="379"/>
        <v>0.48879963543396487</v>
      </c>
      <c r="BG148" s="338">
        <f t="shared" si="379"/>
        <v>0.35657544938411495</v>
      </c>
      <c r="BH148" s="338">
        <f t="shared" si="379"/>
        <v>0.41848857373526199</v>
      </c>
      <c r="BI148" s="338">
        <f t="shared" ref="BI148:BM148" si="380">BI147/BI99</f>
        <v>0.40739555447361803</v>
      </c>
      <c r="BJ148" s="338">
        <f t="shared" si="380"/>
        <v>0.5512150563800321</v>
      </c>
      <c r="BK148" s="338">
        <f t="shared" si="380"/>
        <v>0.3124917857304646</v>
      </c>
      <c r="BL148" s="338">
        <f t="shared" si="380"/>
        <v>0.3973585017224745</v>
      </c>
      <c r="BM148" s="338">
        <f t="shared" si="380"/>
        <v>0.50649262401760253</v>
      </c>
      <c r="BN148" s="338">
        <f>BN147/BN99</f>
        <v>0.50802611228752192</v>
      </c>
      <c r="BO148" s="338">
        <f>BO147/BO99</f>
        <v>0.29481741296342473</v>
      </c>
      <c r="BP148" s="338">
        <f t="shared" ref="BP148:BV148" si="381">BP147/BP99</f>
        <v>0.34250764525993882</v>
      </c>
      <c r="BQ148" s="338">
        <f t="shared" si="381"/>
        <v>0.3592814371257485</v>
      </c>
      <c r="BR148" s="338">
        <f t="shared" si="381"/>
        <v>0.32232393528323655</v>
      </c>
      <c r="BS148" s="338">
        <f>BS147/BS99</f>
        <v>0.25048208408107453</v>
      </c>
      <c r="BT148" s="338">
        <f t="shared" si="381"/>
        <v>0.34250764525993882</v>
      </c>
      <c r="BU148" s="338">
        <f t="shared" si="381"/>
        <v>0.33532934131736525</v>
      </c>
      <c r="BV148" s="338">
        <f t="shared" si="381"/>
        <v>0.21598119311187339</v>
      </c>
      <c r="BW148" s="338"/>
      <c r="BX148" s="203"/>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V148" s="203"/>
      <c r="DW148" s="203"/>
      <c r="DX148" s="203"/>
      <c r="DY148" s="203"/>
      <c r="DZ148" s="203"/>
      <c r="EA148" s="203"/>
      <c r="EB148" s="203"/>
      <c r="EX148" s="388">
        <v>0.4</v>
      </c>
      <c r="EY148" s="388">
        <v>0.38</v>
      </c>
      <c r="EZ148" s="388">
        <v>0.38</v>
      </c>
      <c r="FA148" s="578">
        <v>0.48681658529873312</v>
      </c>
      <c r="FB148" s="203"/>
      <c r="FC148" s="203"/>
      <c r="FD148" s="574"/>
    </row>
    <row r="149" spans="1:160">
      <c r="A149" s="203"/>
      <c r="B149" s="340" t="s">
        <v>1379</v>
      </c>
      <c r="C149" s="205"/>
      <c r="D149" s="205"/>
      <c r="E149" s="205"/>
      <c r="F149" s="205"/>
      <c r="G149" s="205"/>
      <c r="H149" s="205"/>
      <c r="I149" s="205"/>
      <c r="J149" s="205"/>
      <c r="K149" s="205"/>
      <c r="L149" s="205"/>
      <c r="M149" s="205"/>
      <c r="N149" s="205"/>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36">
        <f>AQ147-AQ144</f>
        <v>153</v>
      </c>
      <c r="AR149" s="336">
        <f>AR147-AR144</f>
        <v>186.37139200000001</v>
      </c>
      <c r="AS149" s="336"/>
      <c r="AT149" s="336"/>
      <c r="AU149" s="336"/>
      <c r="AV149" s="336"/>
      <c r="AW149" s="336"/>
      <c r="AX149" s="336"/>
      <c r="AY149" s="336"/>
      <c r="AZ149" s="336"/>
      <c r="BA149" s="336"/>
      <c r="BB149" s="336"/>
      <c r="BC149" s="336"/>
      <c r="BD149" s="336"/>
      <c r="BE149" s="336"/>
      <c r="BF149" s="336"/>
      <c r="BG149" s="336"/>
      <c r="BH149" s="389"/>
      <c r="BI149" s="389"/>
      <c r="BJ149" s="389"/>
      <c r="BK149" s="336"/>
      <c r="BL149" s="389"/>
      <c r="BM149" s="336"/>
      <c r="BN149" s="337"/>
      <c r="BO149" s="337"/>
      <c r="BP149" s="337"/>
      <c r="BQ149" s="337"/>
      <c r="BR149" s="337"/>
      <c r="BS149" s="337"/>
      <c r="BT149" s="337"/>
      <c r="BU149" s="337"/>
      <c r="BV149" s="337"/>
      <c r="BW149" s="203"/>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V149" s="203"/>
      <c r="DW149" s="203"/>
      <c r="DX149" s="203"/>
      <c r="DY149" s="203"/>
      <c r="DZ149" s="203"/>
      <c r="EA149" s="203"/>
      <c r="EB149" s="203"/>
      <c r="EX149" s="336"/>
      <c r="EY149" s="336"/>
      <c r="EZ149" s="336"/>
      <c r="FA149" s="576"/>
      <c r="FB149" s="203"/>
      <c r="FC149" s="203"/>
      <c r="FD149" s="574"/>
    </row>
    <row r="150" spans="1:160">
      <c r="A150" s="203"/>
      <c r="B150" s="340"/>
      <c r="C150" s="205"/>
      <c r="D150" s="205"/>
      <c r="E150" s="205"/>
      <c r="F150" s="205"/>
      <c r="G150" s="205"/>
      <c r="H150" s="205"/>
      <c r="I150" s="205"/>
      <c r="J150" s="205"/>
      <c r="K150" s="205"/>
      <c r="L150" s="205"/>
      <c r="M150" s="205"/>
      <c r="N150" s="205"/>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36"/>
      <c r="AR150" s="336"/>
      <c r="AS150" s="336"/>
      <c r="AT150" s="336"/>
      <c r="AU150" s="336"/>
      <c r="AV150" s="336"/>
      <c r="AW150" s="336"/>
      <c r="AX150" s="336"/>
      <c r="AY150" s="336"/>
      <c r="AZ150" s="336"/>
      <c r="BA150" s="336"/>
      <c r="BB150" s="336"/>
      <c r="BC150" s="336"/>
      <c r="BD150" s="336"/>
      <c r="BE150" s="336"/>
      <c r="BF150" s="336"/>
      <c r="BG150" s="336"/>
      <c r="BH150" s="336"/>
      <c r="BI150" s="336"/>
      <c r="BJ150" s="336"/>
      <c r="BK150" s="336"/>
      <c r="BL150" s="336"/>
      <c r="BM150" s="336"/>
      <c r="BN150" s="337"/>
      <c r="BO150" s="337"/>
      <c r="BP150" s="337"/>
      <c r="BQ150" s="337"/>
      <c r="BR150" s="337"/>
      <c r="BS150" s="337"/>
      <c r="BT150" s="337"/>
      <c r="BU150" s="337"/>
      <c r="BV150" s="337"/>
      <c r="BW150" s="203"/>
      <c r="BX150" s="203"/>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203"/>
      <c r="DG150" s="203"/>
      <c r="DH150" s="203"/>
      <c r="DI150" s="203"/>
      <c r="DJ150" s="203"/>
      <c r="DK150" s="203"/>
      <c r="DL150" s="203"/>
      <c r="DM150" s="203"/>
      <c r="DN150" s="203"/>
      <c r="DO150" s="203"/>
      <c r="DP150" s="203"/>
      <c r="DQ150" s="203"/>
      <c r="DR150" s="203"/>
      <c r="DS150" s="203"/>
      <c r="DT150" s="203"/>
      <c r="DV150" s="203"/>
      <c r="DW150" s="203"/>
      <c r="DX150" s="203"/>
      <c r="DY150" s="203"/>
      <c r="DZ150" s="203"/>
      <c r="EA150" s="203"/>
      <c r="EB150" s="203"/>
      <c r="EX150" s="336"/>
      <c r="EY150" s="336"/>
      <c r="EZ150" s="336"/>
      <c r="FA150" s="576"/>
      <c r="FB150" s="203"/>
      <c r="FC150" s="203"/>
      <c r="FD150" s="574"/>
    </row>
    <row r="151" spans="1:160">
      <c r="A151" s="203"/>
      <c r="B151" s="341" t="s">
        <v>2689</v>
      </c>
      <c r="C151" s="203"/>
      <c r="D151" s="203"/>
      <c r="E151" s="203"/>
      <c r="F151" s="203"/>
      <c r="G151" s="203"/>
      <c r="H151" s="203"/>
      <c r="I151" s="203"/>
      <c r="J151" s="203"/>
      <c r="K151" s="203"/>
      <c r="L151" s="203"/>
      <c r="M151" s="203"/>
      <c r="N151" s="203"/>
      <c r="O151" s="337"/>
      <c r="P151" s="337"/>
      <c r="Q151" s="337"/>
      <c r="R151" s="337"/>
      <c r="S151" s="337"/>
      <c r="T151" s="337"/>
      <c r="U151" s="337"/>
      <c r="V151" s="337"/>
      <c r="W151" s="337"/>
      <c r="X151" s="337"/>
      <c r="Y151" s="337"/>
      <c r="Z151" s="337"/>
      <c r="AA151" s="337"/>
      <c r="AB151" s="337"/>
      <c r="AC151" s="337"/>
      <c r="AD151" s="337"/>
      <c r="AE151" s="337"/>
      <c r="AF151" s="337"/>
      <c r="AG151" s="337"/>
      <c r="AH151" s="337"/>
      <c r="AI151" s="337"/>
      <c r="AJ151" s="337"/>
      <c r="AK151" s="337"/>
      <c r="AL151" s="337"/>
      <c r="AM151" s="337"/>
      <c r="AN151" s="337"/>
      <c r="AO151" s="337"/>
      <c r="AP151" s="337"/>
      <c r="AQ151" s="338">
        <f>AQ148-AQ145</f>
        <v>3.2587859424920096E-2</v>
      </c>
      <c r="AR151" s="338">
        <f>AR148-AR145</f>
        <v>3.8561116855015509E-2</v>
      </c>
      <c r="AS151" s="337"/>
      <c r="AT151" s="363">
        <f>SUM(AQ147:AT147)/SUM(AQ57:AT57)</f>
        <v>0.29600030993703197</v>
      </c>
      <c r="AU151" s="390">
        <f t="shared" ref="AU151:BG151" si="382">AU147/AU152</f>
        <v>72.133567539569086</v>
      </c>
      <c r="AV151" s="390">
        <f t="shared" si="382"/>
        <v>84.37856537257818</v>
      </c>
      <c r="AW151" s="390">
        <f t="shared" si="382"/>
        <v>79.228190830810149</v>
      </c>
      <c r="AX151" s="390">
        <f t="shared" si="382"/>
        <v>103.79996532708824</v>
      </c>
      <c r="AY151" s="390">
        <f t="shared" si="382"/>
        <v>62.299597448754966</v>
      </c>
      <c r="AZ151" s="390">
        <f t="shared" si="382"/>
        <v>56.912404251667695</v>
      </c>
      <c r="BA151" s="390">
        <f t="shared" si="382"/>
        <v>80.804426894826946</v>
      </c>
      <c r="BB151" s="390">
        <f t="shared" si="382"/>
        <v>180.84547340870827</v>
      </c>
      <c r="BC151" s="390">
        <f t="shared" si="382"/>
        <v>92.21620566931864</v>
      </c>
      <c r="BD151" s="390">
        <f t="shared" si="382"/>
        <v>101.54606369818706</v>
      </c>
      <c r="BE151" s="390">
        <f t="shared" si="382"/>
        <v>119.48380343580439</v>
      </c>
      <c r="BF151" s="390">
        <f t="shared" si="382"/>
        <v>152.50668389888543</v>
      </c>
      <c r="BG151" s="390">
        <f t="shared" si="382"/>
        <v>114.13399015281054</v>
      </c>
      <c r="BH151" s="390">
        <f t="shared" ref="BH151:BI151" si="383">BH147/BH152</f>
        <v>139.51853744898949</v>
      </c>
      <c r="BI151" s="390">
        <f t="shared" si="383"/>
        <v>135.64576120479967</v>
      </c>
      <c r="BJ151" s="390">
        <f t="shared" ref="BJ151:BR151" si="384">BJ147/BJ152</f>
        <v>201.85574587101647</v>
      </c>
      <c r="BK151" s="390">
        <f t="shared" si="384"/>
        <v>119.7749196141479</v>
      </c>
      <c r="BL151" s="390">
        <f t="shared" si="384"/>
        <v>165.81777023203168</v>
      </c>
      <c r="BM151" s="390">
        <f t="shared" si="384"/>
        <v>222.26127709431751</v>
      </c>
      <c r="BN151" s="390">
        <f t="shared" si="384"/>
        <v>227.35042735042734</v>
      </c>
      <c r="BO151" s="390">
        <f t="shared" si="384"/>
        <v>138.71538008249854</v>
      </c>
      <c r="BP151" s="390">
        <f t="shared" si="384"/>
        <v>163.9344262295082</v>
      </c>
      <c r="BQ151" s="390">
        <f t="shared" si="384"/>
        <v>175.64402810304452</v>
      </c>
      <c r="BR151" s="390">
        <f t="shared" si="384"/>
        <v>161.84399160298005</v>
      </c>
      <c r="BS151" s="390"/>
      <c r="BT151" s="390"/>
      <c r="BU151" s="390"/>
      <c r="BV151" s="390"/>
      <c r="BW151" s="203"/>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V151" s="203"/>
      <c r="DW151" s="203"/>
      <c r="DX151" s="203"/>
      <c r="DY151" s="203"/>
      <c r="DZ151" s="203"/>
      <c r="EA151" s="203"/>
      <c r="EB151" s="203"/>
      <c r="EX151" s="363"/>
      <c r="EY151" s="363"/>
      <c r="EZ151" s="390">
        <v>168.0520013004695</v>
      </c>
      <c r="FA151" s="593">
        <v>211.88886631730722</v>
      </c>
      <c r="FB151" s="203"/>
      <c r="FC151" s="203"/>
      <c r="FD151" s="574"/>
    </row>
    <row r="152" spans="1:160">
      <c r="A152" s="203"/>
      <c r="B152" s="340" t="s">
        <v>1694</v>
      </c>
      <c r="C152" s="203"/>
      <c r="D152" s="203"/>
      <c r="E152" s="203"/>
      <c r="F152" s="203"/>
      <c r="G152" s="203"/>
      <c r="H152" s="203"/>
      <c r="I152" s="203"/>
      <c r="J152" s="203"/>
      <c r="K152" s="203"/>
      <c r="L152" s="203"/>
      <c r="M152" s="203"/>
      <c r="N152" s="203"/>
      <c r="O152" s="337"/>
      <c r="P152" s="337"/>
      <c r="Q152" s="337"/>
      <c r="R152" s="337"/>
      <c r="S152" s="337"/>
      <c r="T152" s="337"/>
      <c r="U152" s="337"/>
      <c r="V152" s="337"/>
      <c r="W152" s="337"/>
      <c r="X152" s="337"/>
      <c r="Y152" s="337"/>
      <c r="Z152" s="337"/>
      <c r="AA152" s="337"/>
      <c r="AB152" s="337"/>
      <c r="AC152" s="337"/>
      <c r="AD152" s="337"/>
      <c r="AE152" s="337"/>
      <c r="AF152" s="337"/>
      <c r="AG152" s="337"/>
      <c r="AH152" s="337"/>
      <c r="AI152" s="337"/>
      <c r="AJ152" s="337"/>
      <c r="AK152" s="337"/>
      <c r="AL152" s="337"/>
      <c r="AM152" s="337"/>
      <c r="AN152" s="337"/>
      <c r="AO152" s="337"/>
      <c r="AP152" s="337"/>
      <c r="AQ152" s="338"/>
      <c r="AR152" s="338"/>
      <c r="AS152" s="337"/>
      <c r="AT152" s="363"/>
      <c r="AU152" s="339">
        <v>19.200492187500004</v>
      </c>
      <c r="AV152" s="339">
        <v>19.107399999999998</v>
      </c>
      <c r="AW152" s="339">
        <v>19.437525757575759</v>
      </c>
      <c r="AX152" s="339">
        <v>19.244784848484844</v>
      </c>
      <c r="AY152" s="339">
        <v>20.000129230769225</v>
      </c>
      <c r="AZ152" s="339">
        <v>23.316533846153849</v>
      </c>
      <c r="BA152" s="339">
        <v>22.082651515151515</v>
      </c>
      <c r="BB152" s="339">
        <v>20.534918181818181</v>
      </c>
      <c r="BC152" s="339">
        <v>20.340296875000007</v>
      </c>
      <c r="BD152" s="339">
        <v>20.020470769230773</v>
      </c>
      <c r="BE152" s="339">
        <v>20.033242424242431</v>
      </c>
      <c r="BF152" s="339">
        <v>20.748074242424238</v>
      </c>
      <c r="BG152" s="339">
        <v>20.502218461538451</v>
      </c>
      <c r="BH152" s="339">
        <v>20.040347692307687</v>
      </c>
      <c r="BI152" s="339">
        <v>20.233415151515153</v>
      </c>
      <c r="BJ152" s="339">
        <v>19.5932</v>
      </c>
      <c r="BK152" s="339">
        <v>18.66</v>
      </c>
      <c r="BL152" s="339">
        <v>17.670000000000002</v>
      </c>
      <c r="BM152" s="339">
        <v>17.07</v>
      </c>
      <c r="BN152" s="339">
        <v>17.55</v>
      </c>
      <c r="BO152" s="339">
        <v>16.97</v>
      </c>
      <c r="BP152" s="354">
        <v>17.079999999999998</v>
      </c>
      <c r="BQ152" s="354">
        <v>17.079999999999998</v>
      </c>
      <c r="BR152" s="354">
        <v>17.079999999999998</v>
      </c>
      <c r="BS152" s="354"/>
      <c r="BT152" s="354"/>
      <c r="BU152" s="354"/>
      <c r="BV152" s="354"/>
      <c r="BW152" s="203"/>
      <c r="BX152" s="203"/>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V152" s="203"/>
      <c r="DW152" s="203"/>
      <c r="DX152" s="203"/>
      <c r="DY152" s="203"/>
      <c r="DZ152" s="203"/>
      <c r="EA152" s="203"/>
      <c r="EB152" s="203"/>
      <c r="EX152" s="363"/>
      <c r="EY152" s="363"/>
      <c r="EZ152" s="339">
        <v>17.04</v>
      </c>
      <c r="FA152" s="581">
        <v>17.55</v>
      </c>
      <c r="FB152" s="203"/>
      <c r="FC152" s="203"/>
      <c r="FD152" s="574"/>
    </row>
    <row r="153" spans="1:160">
      <c r="A153" s="203"/>
      <c r="B153" s="340"/>
      <c r="C153" s="203"/>
      <c r="D153" s="203"/>
      <c r="E153" s="203"/>
      <c r="F153" s="203"/>
      <c r="G153" s="203"/>
      <c r="H153" s="203"/>
      <c r="I153" s="203"/>
      <c r="J153" s="203"/>
      <c r="K153" s="203"/>
      <c r="L153" s="203"/>
      <c r="M153" s="203"/>
      <c r="N153" s="203"/>
      <c r="O153" s="337"/>
      <c r="P153" s="337"/>
      <c r="Q153" s="337"/>
      <c r="R153" s="337"/>
      <c r="S153" s="337"/>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8"/>
      <c r="AR153" s="338"/>
      <c r="AS153" s="337"/>
      <c r="AT153" s="363"/>
      <c r="AU153" s="363"/>
      <c r="AV153" s="363"/>
      <c r="AW153" s="363"/>
      <c r="AX153" s="363"/>
      <c r="AY153" s="363"/>
      <c r="AZ153" s="363"/>
      <c r="BA153" s="363"/>
      <c r="BB153" s="363"/>
      <c r="BC153" s="363"/>
      <c r="BD153" s="363"/>
      <c r="BE153" s="363"/>
      <c r="BF153" s="391"/>
      <c r="BG153" s="391"/>
      <c r="BH153" s="391"/>
      <c r="BI153" s="391"/>
      <c r="BJ153" s="391"/>
      <c r="BK153" s="391"/>
      <c r="BL153" s="363"/>
      <c r="BM153" s="363"/>
      <c r="BN153" s="337"/>
      <c r="BO153" s="337"/>
      <c r="BP153" s="337"/>
      <c r="BQ153" s="337"/>
      <c r="BR153" s="337"/>
      <c r="BS153" s="337"/>
      <c r="BT153" s="337"/>
      <c r="BU153" s="337"/>
      <c r="BV153" s="337"/>
      <c r="BW153" s="203"/>
      <c r="BX153" s="203"/>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V153" s="203"/>
      <c r="DW153" s="203"/>
      <c r="DX153" s="203"/>
      <c r="DY153" s="203"/>
      <c r="DZ153" s="203"/>
      <c r="EA153" s="203"/>
      <c r="EB153" s="203"/>
      <c r="EX153" s="363"/>
      <c r="EY153" s="363"/>
      <c r="EZ153" s="363"/>
      <c r="FA153" s="576"/>
      <c r="FB153" s="203"/>
      <c r="FC153" s="203"/>
      <c r="FD153" s="574"/>
    </row>
    <row r="154" spans="1:160">
      <c r="A154" s="203"/>
      <c r="B154" s="340"/>
      <c r="C154" s="203"/>
      <c r="D154" s="203"/>
      <c r="E154" s="203"/>
      <c r="F154" s="203"/>
      <c r="G154" s="203"/>
      <c r="H154" s="203"/>
      <c r="I154" s="203"/>
      <c r="J154" s="203"/>
      <c r="K154" s="203"/>
      <c r="L154" s="203"/>
      <c r="M154" s="203"/>
      <c r="N154" s="203"/>
      <c r="O154" s="337"/>
      <c r="P154" s="337"/>
      <c r="Q154" s="337"/>
      <c r="R154" s="337"/>
      <c r="S154" s="337"/>
      <c r="T154" s="337"/>
      <c r="U154" s="337"/>
      <c r="V154" s="337"/>
      <c r="W154" s="337"/>
      <c r="X154" s="337"/>
      <c r="Y154" s="337"/>
      <c r="Z154" s="337"/>
      <c r="AA154" s="337"/>
      <c r="AB154" s="337"/>
      <c r="AC154" s="337"/>
      <c r="AD154" s="337"/>
      <c r="AE154" s="337"/>
      <c r="AF154" s="337"/>
      <c r="AG154" s="337"/>
      <c r="AH154" s="337"/>
      <c r="AI154" s="337"/>
      <c r="AJ154" s="337"/>
      <c r="AK154" s="337"/>
      <c r="AL154" s="337"/>
      <c r="AM154" s="337"/>
      <c r="AN154" s="337"/>
      <c r="AO154" s="337"/>
      <c r="AP154" s="337"/>
      <c r="AQ154" s="338"/>
      <c r="AR154" s="338"/>
      <c r="AS154" s="337"/>
      <c r="AT154" s="363"/>
      <c r="AU154" s="363"/>
      <c r="AV154" s="363"/>
      <c r="AW154" s="363"/>
      <c r="AX154" s="363"/>
      <c r="AY154" s="363"/>
      <c r="AZ154" s="363"/>
      <c r="BA154" s="363"/>
      <c r="BB154" s="363"/>
      <c r="BC154" s="363"/>
      <c r="BD154" s="363"/>
      <c r="BE154" s="363"/>
      <c r="BF154" s="391"/>
      <c r="BG154" s="391"/>
      <c r="BH154" s="391"/>
      <c r="BI154" s="391"/>
      <c r="BJ154" s="391"/>
      <c r="BK154" s="391"/>
      <c r="BL154" s="363"/>
      <c r="BM154" s="363"/>
      <c r="BN154" s="337"/>
      <c r="BO154" s="337"/>
      <c r="BP154" s="337"/>
      <c r="BQ154" s="337"/>
      <c r="BR154" s="337"/>
      <c r="BS154" s="337"/>
      <c r="BT154" s="337"/>
      <c r="BU154" s="337"/>
      <c r="BV154" s="337"/>
      <c r="BW154" s="203"/>
      <c r="BX154" s="203"/>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V154" s="203"/>
      <c r="DW154" s="203"/>
      <c r="DX154" s="203"/>
      <c r="DY154" s="203"/>
      <c r="DZ154" s="203"/>
      <c r="EA154" s="203"/>
      <c r="EB154" s="203"/>
      <c r="EX154" s="363"/>
      <c r="EY154" s="363"/>
      <c r="EZ154" s="363"/>
      <c r="FA154" s="576"/>
      <c r="FB154" s="203"/>
      <c r="FC154" s="203"/>
      <c r="FD154" s="574"/>
    </row>
    <row r="155" spans="1:160">
      <c r="A155" s="203"/>
      <c r="B155" s="340"/>
      <c r="C155" s="203"/>
      <c r="D155" s="203"/>
      <c r="E155" s="203"/>
      <c r="F155" s="203"/>
      <c r="G155" s="203"/>
      <c r="H155" s="203"/>
      <c r="I155" s="203"/>
      <c r="J155" s="203"/>
      <c r="K155" s="203"/>
      <c r="L155" s="203"/>
      <c r="M155" s="203"/>
      <c r="N155" s="203"/>
      <c r="O155" s="337"/>
      <c r="P155" s="337"/>
      <c r="Q155" s="337"/>
      <c r="R155" s="337"/>
      <c r="S155" s="337"/>
      <c r="T155" s="337"/>
      <c r="U155" s="337"/>
      <c r="V155" s="337"/>
      <c r="W155" s="337"/>
      <c r="X155" s="337"/>
      <c r="Y155" s="337"/>
      <c r="Z155" s="337"/>
      <c r="AA155" s="337"/>
      <c r="AB155" s="337"/>
      <c r="AC155" s="337"/>
      <c r="AD155" s="337"/>
      <c r="AE155" s="337"/>
      <c r="AF155" s="337"/>
      <c r="AG155" s="337"/>
      <c r="AH155" s="337"/>
      <c r="AI155" s="337"/>
      <c r="AJ155" s="337"/>
      <c r="AK155" s="337"/>
      <c r="AL155" s="337"/>
      <c r="AM155" s="337"/>
      <c r="AN155" s="337"/>
      <c r="AO155" s="337"/>
      <c r="AP155" s="337"/>
      <c r="AQ155" s="338"/>
      <c r="AR155" s="338"/>
      <c r="AS155" s="337"/>
      <c r="AT155" s="363"/>
      <c r="AU155" s="363"/>
      <c r="AV155" s="363"/>
      <c r="AW155" s="363"/>
      <c r="AX155" s="363"/>
      <c r="AY155" s="363"/>
      <c r="AZ155" s="363"/>
      <c r="BA155" s="363"/>
      <c r="BB155" s="363"/>
      <c r="BC155" s="363"/>
      <c r="BD155" s="363"/>
      <c r="BE155" s="363"/>
      <c r="BF155" s="391"/>
      <c r="BG155" s="391"/>
      <c r="BH155" s="391"/>
      <c r="BI155" s="391"/>
      <c r="BJ155" s="391"/>
      <c r="BK155" s="391"/>
      <c r="BL155" s="363"/>
      <c r="BM155" s="363"/>
      <c r="BN155" s="337"/>
      <c r="BO155" s="337"/>
      <c r="BP155" s="337"/>
      <c r="BQ155" s="337"/>
      <c r="BR155" s="337"/>
      <c r="BS155" s="337"/>
      <c r="BT155" s="337"/>
      <c r="BU155" s="337"/>
      <c r="BV155" s="337"/>
      <c r="BW155" s="203"/>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V155" s="203"/>
      <c r="DW155" s="203"/>
      <c r="DX155" s="203"/>
      <c r="DY155" s="203"/>
      <c r="DZ155" s="203"/>
      <c r="EA155" s="203"/>
      <c r="EB155" s="203"/>
      <c r="EX155" s="363"/>
      <c r="EY155" s="363"/>
      <c r="EZ155" s="363"/>
      <c r="FA155" s="576"/>
      <c r="FB155" s="203"/>
      <c r="FC155" s="203"/>
      <c r="FD155" s="574"/>
    </row>
    <row r="156" spans="1:160">
      <c r="A156" s="203"/>
      <c r="B156" s="340"/>
      <c r="C156" s="203"/>
      <c r="D156" s="203"/>
      <c r="E156" s="203"/>
      <c r="F156" s="203"/>
      <c r="G156" s="203"/>
      <c r="H156" s="203"/>
      <c r="I156" s="203"/>
      <c r="J156" s="203"/>
      <c r="K156" s="203"/>
      <c r="L156" s="203"/>
      <c r="M156" s="203"/>
      <c r="N156" s="203"/>
      <c r="O156" s="337"/>
      <c r="P156" s="337"/>
      <c r="Q156" s="337"/>
      <c r="R156" s="337"/>
      <c r="S156" s="337"/>
      <c r="T156" s="337"/>
      <c r="U156" s="337"/>
      <c r="V156" s="337"/>
      <c r="W156" s="337"/>
      <c r="X156" s="337"/>
      <c r="Y156" s="337"/>
      <c r="Z156" s="337"/>
      <c r="AA156" s="337"/>
      <c r="AB156" s="337"/>
      <c r="AC156" s="337"/>
      <c r="AD156" s="337"/>
      <c r="AE156" s="337"/>
      <c r="AF156" s="337"/>
      <c r="AG156" s="337"/>
      <c r="AH156" s="337"/>
      <c r="AI156" s="337"/>
      <c r="AJ156" s="337"/>
      <c r="AK156" s="337"/>
      <c r="AL156" s="337"/>
      <c r="AM156" s="337"/>
      <c r="AN156" s="337"/>
      <c r="AO156" s="337"/>
      <c r="AP156" s="337"/>
      <c r="AQ156" s="338"/>
      <c r="AR156" s="338"/>
      <c r="AS156" s="337"/>
      <c r="AT156" s="363"/>
      <c r="AU156" s="363"/>
      <c r="AV156" s="363"/>
      <c r="AW156" s="363"/>
      <c r="AX156" s="363"/>
      <c r="AY156" s="363"/>
      <c r="AZ156" s="363"/>
      <c r="BA156" s="363"/>
      <c r="BB156" s="363"/>
      <c r="BC156" s="363"/>
      <c r="BD156" s="363"/>
      <c r="BE156" s="363"/>
      <c r="BF156" s="391"/>
      <c r="BG156" s="391"/>
      <c r="BH156" s="391"/>
      <c r="BI156" s="391"/>
      <c r="BJ156" s="391"/>
      <c r="BK156" s="391"/>
      <c r="BL156" s="363"/>
      <c r="BM156" s="363"/>
      <c r="BN156" s="337"/>
      <c r="BO156" s="337"/>
      <c r="BP156" s="337"/>
      <c r="BQ156" s="337"/>
      <c r="BR156" s="337"/>
      <c r="BS156" s="337"/>
      <c r="BT156" s="337"/>
      <c r="BU156" s="337"/>
      <c r="BV156" s="337"/>
      <c r="BW156" s="203"/>
      <c r="BX156" s="203"/>
      <c r="BY156" s="203"/>
      <c r="BZ156" s="203"/>
      <c r="CA156" s="203"/>
      <c r="CB156" s="203"/>
      <c r="CC156" s="203"/>
      <c r="CD156" s="203"/>
      <c r="CE156" s="203"/>
      <c r="CF156" s="203"/>
      <c r="CG156" s="203"/>
      <c r="CH156" s="203"/>
      <c r="CI156" s="203"/>
      <c r="CJ156" s="203"/>
      <c r="CK156" s="203"/>
      <c r="CL156" s="203"/>
      <c r="CM156" s="203"/>
      <c r="CN156" s="203"/>
      <c r="CO156" s="203"/>
      <c r="CP156" s="203"/>
      <c r="CQ156" s="203"/>
      <c r="CR156" s="203"/>
      <c r="CS156" s="203"/>
      <c r="CT156" s="203"/>
      <c r="CU156" s="203"/>
      <c r="CV156" s="203"/>
      <c r="CW156" s="203"/>
      <c r="CX156" s="203"/>
      <c r="CY156" s="203"/>
      <c r="CZ156" s="203"/>
      <c r="DA156" s="203"/>
      <c r="DB156" s="203"/>
      <c r="DC156" s="203"/>
      <c r="DD156" s="203"/>
      <c r="DE156" s="203"/>
      <c r="DF156" s="203"/>
      <c r="DG156" s="203"/>
      <c r="DH156" s="203"/>
      <c r="DI156" s="203"/>
      <c r="DJ156" s="203"/>
      <c r="DK156" s="203"/>
      <c r="DL156" s="203"/>
      <c r="DM156" s="203"/>
      <c r="DN156" s="203"/>
      <c r="DO156" s="203"/>
      <c r="DP156" s="203"/>
      <c r="DQ156" s="203"/>
      <c r="DR156" s="203"/>
      <c r="DS156" s="203"/>
      <c r="DT156" s="203"/>
      <c r="DV156" s="203"/>
      <c r="DW156" s="203"/>
      <c r="DX156" s="203"/>
      <c r="DY156" s="203"/>
      <c r="DZ156" s="203"/>
      <c r="EA156" s="203"/>
      <c r="EB156" s="203"/>
      <c r="EX156" s="363"/>
      <c r="EY156" s="363"/>
      <c r="EZ156" s="363"/>
      <c r="FA156" s="576"/>
      <c r="FB156" s="203"/>
      <c r="FC156" s="203"/>
      <c r="FD156" s="574"/>
    </row>
    <row r="157" spans="1:160">
      <c r="A157" s="203"/>
      <c r="B157" s="341" t="s">
        <v>24</v>
      </c>
      <c r="C157" s="203"/>
      <c r="D157" s="203"/>
      <c r="E157" s="203"/>
      <c r="F157" s="203"/>
      <c r="G157" s="203"/>
      <c r="H157" s="203"/>
      <c r="I157" s="203"/>
      <c r="J157" s="203"/>
      <c r="K157" s="203"/>
      <c r="L157" s="203"/>
      <c r="M157" s="203"/>
      <c r="N157" s="203"/>
      <c r="O157" s="337"/>
      <c r="P157" s="337"/>
      <c r="Q157" s="337"/>
      <c r="R157" s="337"/>
      <c r="S157" s="337"/>
      <c r="T157" s="337"/>
      <c r="U157" s="337"/>
      <c r="V157" s="337"/>
      <c r="W157" s="337"/>
      <c r="X157" s="337"/>
      <c r="Y157" s="337"/>
      <c r="Z157" s="337"/>
      <c r="AA157" s="337"/>
      <c r="AB157" s="337"/>
      <c r="AC157" s="337"/>
      <c r="AD157" s="337"/>
      <c r="AE157" s="337"/>
      <c r="AF157" s="337"/>
      <c r="AG157" s="337"/>
      <c r="AH157" s="337"/>
      <c r="AI157" s="337"/>
      <c r="AJ157" s="337"/>
      <c r="AK157" s="337"/>
      <c r="AL157" s="337"/>
      <c r="AM157" s="337"/>
      <c r="AN157" s="337"/>
      <c r="AO157" s="337"/>
      <c r="AP157" s="337"/>
      <c r="AQ157" s="376">
        <f t="shared" ref="AQ157:BG157" si="385">AQ133-AQ147</f>
        <v>1001.5349999999999</v>
      </c>
      <c r="AR157" s="376">
        <f t="shared" si="385"/>
        <v>925.96799999999985</v>
      </c>
      <c r="AS157" s="376">
        <f t="shared" si="385"/>
        <v>874.73900000000003</v>
      </c>
      <c r="AT157" s="376">
        <f t="shared" si="385"/>
        <v>791.57699999999977</v>
      </c>
      <c r="AU157" s="376">
        <f t="shared" si="385"/>
        <v>1165.413</v>
      </c>
      <c r="AV157" s="376">
        <f t="shared" si="385"/>
        <v>1000.183</v>
      </c>
      <c r="AW157" s="376">
        <f t="shared" si="385"/>
        <v>942.69999999999982</v>
      </c>
      <c r="AX157" s="376">
        <f t="shared" si="385"/>
        <v>517.56200000000013</v>
      </c>
      <c r="AY157" s="376">
        <f t="shared" si="385"/>
        <v>1520.6370000000002</v>
      </c>
      <c r="AZ157" s="376">
        <f t="shared" si="385"/>
        <v>1393.0540000000001</v>
      </c>
      <c r="BA157" s="376">
        <f t="shared" si="385"/>
        <v>998.94600000000014</v>
      </c>
      <c r="BB157" s="376">
        <f t="shared" si="385"/>
        <v>-946.38999999999987</v>
      </c>
      <c r="BC157" s="376">
        <f t="shared" si="385"/>
        <v>1127.2739999999999</v>
      </c>
      <c r="BD157" s="376">
        <f t="shared" si="385"/>
        <v>978</v>
      </c>
      <c r="BE157" s="376">
        <f t="shared" si="385"/>
        <v>621.97599999999966</v>
      </c>
      <c r="BF157" s="376">
        <f t="shared" si="385"/>
        <v>-77.045999999999822</v>
      </c>
      <c r="BG157" s="376">
        <f t="shared" si="385"/>
        <v>888.48799999999983</v>
      </c>
      <c r="BH157" s="376">
        <f t="shared" ref="BH157:BI157" si="386">BH133-BH147</f>
        <v>461.60199999999986</v>
      </c>
      <c r="BI157" s="376">
        <f t="shared" si="386"/>
        <v>423.44899999999961</v>
      </c>
      <c r="BJ157" s="376">
        <f t="shared" ref="BJ157:BK157" si="387">BJ133-BJ147</f>
        <v>-840.09700000000021</v>
      </c>
      <c r="BK157" s="376">
        <f t="shared" si="387"/>
        <v>1033.6950000000002</v>
      </c>
      <c r="BL157" s="376">
        <f t="shared" ref="BL157:BR157" si="388">BL133-BL147</f>
        <v>357.3739999999998</v>
      </c>
      <c r="BM157" s="376">
        <f t="shared" si="388"/>
        <v>-487.7510000000002</v>
      </c>
      <c r="BN157" s="376">
        <f t="shared" si="388"/>
        <v>-532.32400000000007</v>
      </c>
      <c r="BO157" s="376">
        <f t="shared" si="388"/>
        <v>1326.6039999999998</v>
      </c>
      <c r="BP157" s="376">
        <f t="shared" si="388"/>
        <v>915</v>
      </c>
      <c r="BQ157" s="376">
        <f t="shared" si="388"/>
        <v>790</v>
      </c>
      <c r="BR157" s="376">
        <f t="shared" si="388"/>
        <v>1102.9331991546824</v>
      </c>
      <c r="BS157" s="376"/>
      <c r="BT157" s="376"/>
      <c r="BU157" s="376"/>
      <c r="BV157" s="376"/>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V157" s="203"/>
      <c r="DW157" s="203"/>
      <c r="DX157" s="203"/>
      <c r="DY157" s="203"/>
      <c r="DZ157" s="203"/>
      <c r="EA157" s="203"/>
      <c r="EB157" s="203"/>
      <c r="EX157" s="376">
        <v>326.73771089999946</v>
      </c>
      <c r="EY157" s="376">
        <v>452.58001677499988</v>
      </c>
      <c r="EZ157" s="376">
        <v>505.9138233599997</v>
      </c>
      <c r="FA157" s="587">
        <v>-452.97087867587652</v>
      </c>
      <c r="FB157" s="203"/>
      <c r="FC157" s="203"/>
      <c r="FD157" s="574"/>
    </row>
    <row r="158" spans="1:160">
      <c r="A158" s="203"/>
      <c r="B158" s="341"/>
      <c r="C158" s="203"/>
      <c r="D158" s="203"/>
      <c r="E158" s="203"/>
      <c r="F158" s="203"/>
      <c r="G158" s="203"/>
      <c r="H158" s="203"/>
      <c r="I158" s="203"/>
      <c r="J158" s="203"/>
      <c r="K158" s="203"/>
      <c r="L158" s="203"/>
      <c r="M158" s="203"/>
      <c r="N158" s="203"/>
      <c r="O158" s="337"/>
      <c r="P158" s="337"/>
      <c r="Q158" s="337"/>
      <c r="R158" s="337"/>
      <c r="S158" s="337"/>
      <c r="T158" s="337"/>
      <c r="U158" s="337"/>
      <c r="V158" s="337"/>
      <c r="W158" s="337"/>
      <c r="X158" s="337"/>
      <c r="Y158" s="337"/>
      <c r="Z158" s="337"/>
      <c r="AA158" s="337"/>
      <c r="AB158" s="337"/>
      <c r="AC158" s="337"/>
      <c r="AD158" s="337"/>
      <c r="AE158" s="337"/>
      <c r="AF158" s="337"/>
      <c r="AG158" s="337"/>
      <c r="AH158" s="337"/>
      <c r="AI158" s="337"/>
      <c r="AJ158" s="337"/>
      <c r="AK158" s="337"/>
      <c r="AL158" s="337"/>
      <c r="AM158" s="337"/>
      <c r="AN158" s="337"/>
      <c r="AO158" s="337"/>
      <c r="AP158" s="337"/>
      <c r="AQ158" s="376"/>
      <c r="AR158" s="376"/>
      <c r="AS158" s="376"/>
      <c r="AT158" s="363">
        <f>SUM(AQ157:AT157)/SUM(AQ57:AT57)</f>
        <v>0.1849033190942718</v>
      </c>
      <c r="AU158" s="363"/>
      <c r="AV158" s="363"/>
      <c r="AW158" s="363"/>
      <c r="AX158" s="363"/>
      <c r="AY158" s="363"/>
      <c r="AZ158" s="363"/>
      <c r="BA158" s="363"/>
      <c r="BB158" s="363"/>
      <c r="BC158" s="363"/>
      <c r="BD158" s="363"/>
      <c r="BE158" s="363"/>
      <c r="BF158" s="363"/>
      <c r="BG158" s="363"/>
      <c r="BH158" s="363"/>
      <c r="BI158" s="363"/>
      <c r="BJ158" s="363"/>
      <c r="BK158" s="363"/>
      <c r="BL158" s="363"/>
      <c r="BM158" s="363"/>
      <c r="BN158" s="363"/>
      <c r="BO158" s="363"/>
      <c r="BP158" s="363"/>
      <c r="BQ158" s="363"/>
      <c r="BR158" s="363"/>
      <c r="BS158" s="363"/>
      <c r="BT158" s="363"/>
      <c r="BU158" s="363"/>
      <c r="BV158" s="363"/>
      <c r="BW158" s="203"/>
      <c r="BX158" s="203"/>
      <c r="BY158" s="203"/>
      <c r="BZ158" s="203"/>
      <c r="CA158" s="203"/>
      <c r="CB158" s="203"/>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V158" s="203"/>
      <c r="DW158" s="203"/>
      <c r="DX158" s="203"/>
      <c r="DY158" s="203"/>
      <c r="DZ158" s="203"/>
      <c r="EA158" s="203"/>
      <c r="EB158" s="203"/>
      <c r="EX158" s="363"/>
      <c r="EY158" s="363"/>
      <c r="EZ158" s="363"/>
      <c r="FA158" s="594"/>
      <c r="FB158" s="203"/>
      <c r="FC158" s="203"/>
      <c r="FD158" s="574"/>
    </row>
    <row r="159" spans="1:160">
      <c r="A159" s="203"/>
      <c r="B159" s="340"/>
      <c r="C159" s="203"/>
      <c r="D159" s="203"/>
      <c r="E159" s="203"/>
      <c r="F159" s="203"/>
      <c r="G159" s="203"/>
      <c r="H159" s="203"/>
      <c r="I159" s="203"/>
      <c r="J159" s="203"/>
      <c r="K159" s="203"/>
      <c r="L159" s="203"/>
      <c r="M159" s="203"/>
      <c r="N159" s="203"/>
      <c r="O159" s="337"/>
      <c r="P159" s="337"/>
      <c r="Q159" s="337"/>
      <c r="R159" s="337"/>
      <c r="S159" s="337"/>
      <c r="T159" s="337"/>
      <c r="U159" s="337"/>
      <c r="V159" s="337"/>
      <c r="W159" s="337"/>
      <c r="X159" s="337"/>
      <c r="Y159" s="337"/>
      <c r="Z159" s="337"/>
      <c r="AA159" s="337"/>
      <c r="AB159" s="337"/>
      <c r="AC159" s="337"/>
      <c r="AD159" s="337"/>
      <c r="AE159" s="337"/>
      <c r="AF159" s="337"/>
      <c r="AG159" s="337"/>
      <c r="AH159" s="337"/>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203"/>
      <c r="BO159" s="203"/>
      <c r="BP159" s="203"/>
      <c r="BQ159" s="203"/>
      <c r="BR159" s="203"/>
      <c r="BS159" s="203"/>
      <c r="BT159" s="203"/>
      <c r="BU159" s="203"/>
      <c r="BV159" s="203"/>
      <c r="BW159" s="203"/>
      <c r="BX159" s="203"/>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V159" s="203"/>
      <c r="DW159" s="203"/>
      <c r="DX159" s="203"/>
      <c r="DY159" s="203"/>
      <c r="DZ159" s="203"/>
      <c r="EA159" s="203"/>
      <c r="EB159" s="203"/>
      <c r="EX159" s="337"/>
      <c r="EY159" s="337"/>
      <c r="EZ159" s="337"/>
      <c r="FA159" s="574"/>
      <c r="FB159" s="203"/>
      <c r="FC159" s="203"/>
      <c r="FD159" s="574"/>
    </row>
    <row r="160" spans="1:160">
      <c r="A160" s="203"/>
      <c r="B160" s="341" t="s">
        <v>325</v>
      </c>
      <c r="C160" s="203"/>
      <c r="D160" s="203"/>
      <c r="E160" s="203"/>
      <c r="F160" s="203"/>
      <c r="G160" s="203"/>
      <c r="H160" s="203"/>
      <c r="I160" s="203"/>
      <c r="J160" s="203"/>
      <c r="K160" s="203"/>
      <c r="L160" s="203"/>
      <c r="M160" s="203"/>
      <c r="N160" s="203"/>
      <c r="O160" s="337"/>
      <c r="P160" s="337"/>
      <c r="Q160" s="337"/>
      <c r="R160" s="337"/>
      <c r="S160" s="337"/>
      <c r="T160" s="337"/>
      <c r="U160" s="337"/>
      <c r="V160" s="337"/>
      <c r="W160" s="337"/>
      <c r="X160" s="337"/>
      <c r="Y160" s="337"/>
      <c r="Z160" s="337"/>
      <c r="AA160" s="336">
        <f t="shared" ref="AA160:AP160" si="389">AA126-AA144-AA186-AA182</f>
        <v>610.09999999999991</v>
      </c>
      <c r="AB160" s="336">
        <f t="shared" si="389"/>
        <v>312.5</v>
      </c>
      <c r="AC160" s="336">
        <f t="shared" si="389"/>
        <v>343.2</v>
      </c>
      <c r="AD160" s="336">
        <f t="shared" si="389"/>
        <v>417.8</v>
      </c>
      <c r="AE160" s="336">
        <f t="shared" si="389"/>
        <v>401</v>
      </c>
      <c r="AF160" s="336">
        <f t="shared" si="389"/>
        <v>79.70100000000005</v>
      </c>
      <c r="AG160" s="336">
        <f t="shared" si="389"/>
        <v>7.6999999999999531</v>
      </c>
      <c r="AH160" s="336">
        <f t="shared" si="389"/>
        <v>550.91399999999999</v>
      </c>
      <c r="AI160" s="336">
        <f t="shared" si="389"/>
        <v>745.40000000000009</v>
      </c>
      <c r="AJ160" s="336">
        <f t="shared" si="389"/>
        <v>321.31200000000001</v>
      </c>
      <c r="AK160" s="336">
        <f t="shared" si="389"/>
        <v>31.400000000000055</v>
      </c>
      <c r="AL160" s="336">
        <f t="shared" si="389"/>
        <v>-15.369000000000057</v>
      </c>
      <c r="AM160" s="336">
        <f t="shared" si="389"/>
        <v>802.90099999999995</v>
      </c>
      <c r="AN160" s="336">
        <f t="shared" si="389"/>
        <v>772.72299999999996</v>
      </c>
      <c r="AO160" s="336">
        <f t="shared" si="389"/>
        <v>391.9020000000001</v>
      </c>
      <c r="AP160" s="336">
        <f t="shared" si="389"/>
        <v>44.542999999999978</v>
      </c>
      <c r="AQ160" s="336">
        <f t="shared" ref="AQ160:BG160" si="390">AQ133-AQ147-AQ186-AQ182</f>
        <v>593.53499999999985</v>
      </c>
      <c r="AR160" s="336">
        <f t="shared" si="390"/>
        <v>594.96799999999985</v>
      </c>
      <c r="AS160" s="336">
        <f t="shared" si="390"/>
        <v>497.08900000000006</v>
      </c>
      <c r="AT160" s="336">
        <f t="shared" si="390"/>
        <v>478.57699999999977</v>
      </c>
      <c r="AU160" s="336">
        <f t="shared" si="390"/>
        <v>793.75</v>
      </c>
      <c r="AV160" s="336">
        <f t="shared" si="390"/>
        <v>580.38400000000001</v>
      </c>
      <c r="AW160" s="336">
        <f t="shared" si="390"/>
        <v>502.50099999999981</v>
      </c>
      <c r="AX160" s="336">
        <f t="shared" si="390"/>
        <v>69.840000000000146</v>
      </c>
      <c r="AY160" s="336">
        <f t="shared" si="390"/>
        <v>1225.663</v>
      </c>
      <c r="AZ160" s="336">
        <f t="shared" si="390"/>
        <v>880.05100000000004</v>
      </c>
      <c r="BA160" s="336">
        <f t="shared" si="390"/>
        <v>494.2560000000002</v>
      </c>
      <c r="BB160" s="336">
        <f t="shared" si="390"/>
        <v>-1520.3899999999999</v>
      </c>
      <c r="BC160" s="336">
        <f t="shared" si="390"/>
        <v>509.27399999999989</v>
      </c>
      <c r="BD160" s="336">
        <f t="shared" si="390"/>
        <v>411</v>
      </c>
      <c r="BE160" s="336">
        <f t="shared" si="390"/>
        <v>-16.639000000000408</v>
      </c>
      <c r="BF160" s="336">
        <f t="shared" si="390"/>
        <v>-595.61599999999987</v>
      </c>
      <c r="BG160" s="336">
        <f t="shared" si="390"/>
        <v>347.77699999999982</v>
      </c>
      <c r="BH160" s="336">
        <f t="shared" ref="BH160:BI160" si="391">BH133-BH147-BH186-BH182</f>
        <v>-183.35800000000017</v>
      </c>
      <c r="BI160" s="336">
        <f t="shared" si="391"/>
        <v>-367.78500000000037</v>
      </c>
      <c r="BJ160" s="336">
        <f t="shared" ref="BJ160" si="392">BJ133-BJ147-BJ186-BJ182</f>
        <v>-1673.7090000000003</v>
      </c>
      <c r="BK160" s="336">
        <f>BK133-BK147-BK186-BK182</f>
        <v>432.01400000000024</v>
      </c>
      <c r="BL160" s="336">
        <f>BL133-BL147-BL186-BL182</f>
        <v>-490.48300000000023</v>
      </c>
      <c r="BM160" s="336">
        <f>BM133-BM147-BM186-BM182</f>
        <v>-1390.1520000000003</v>
      </c>
      <c r="BN160" s="336">
        <f>BN133-BN147-BN186-BN182</f>
        <v>-1416.19</v>
      </c>
      <c r="BO160" s="336">
        <f t="shared" ref="BO160:BR160" si="393">BO133-BO147-BO186-BO182</f>
        <v>438.51999999999975</v>
      </c>
      <c r="BP160" s="336">
        <f t="shared" si="393"/>
        <v>-96.200000000000045</v>
      </c>
      <c r="BQ160" s="336">
        <f t="shared" si="393"/>
        <v>-227.8</v>
      </c>
      <c r="BR160" s="336">
        <f t="shared" ca="1" si="393"/>
        <v>655.79087023820875</v>
      </c>
      <c r="BS160" s="336"/>
      <c r="BT160" s="336"/>
      <c r="BU160" s="336"/>
      <c r="BV160" s="336"/>
      <c r="BW160" s="203"/>
      <c r="BX160" s="203"/>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V160" s="203"/>
      <c r="DW160" s="203"/>
      <c r="DX160" s="203"/>
      <c r="DY160" s="203"/>
      <c r="DZ160" s="203"/>
      <c r="EA160" s="203"/>
      <c r="EB160" s="203"/>
      <c r="EX160" s="336">
        <v>-813.28332215200044</v>
      </c>
      <c r="EY160" s="336">
        <v>-352.8287545435</v>
      </c>
      <c r="EZ160" s="336">
        <v>-644.94215429600024</v>
      </c>
      <c r="FA160" s="577">
        <v>-1260.664091558896</v>
      </c>
      <c r="FB160" s="203"/>
      <c r="FC160" s="203"/>
      <c r="FD160" s="574"/>
    </row>
    <row r="161" spans="1:160">
      <c r="A161" s="203"/>
      <c r="B161" s="340" t="s">
        <v>2985</v>
      </c>
      <c r="C161" s="203"/>
      <c r="D161" s="203"/>
      <c r="E161" s="203"/>
      <c r="F161" s="203"/>
      <c r="G161" s="203"/>
      <c r="H161" s="203"/>
      <c r="I161" s="203"/>
      <c r="J161" s="203"/>
      <c r="K161" s="203"/>
      <c r="L161" s="203"/>
      <c r="M161" s="203"/>
      <c r="N161" s="203"/>
      <c r="O161" s="337"/>
      <c r="P161" s="337"/>
      <c r="Q161" s="337"/>
      <c r="R161" s="337"/>
      <c r="S161" s="337"/>
      <c r="T161" s="337"/>
      <c r="U161" s="337"/>
      <c r="V161" s="337"/>
      <c r="W161" s="337"/>
      <c r="X161" s="337"/>
      <c r="Y161" s="337"/>
      <c r="Z161" s="337"/>
      <c r="AA161" s="336"/>
      <c r="AB161" s="336"/>
      <c r="AC161" s="336"/>
      <c r="AD161" s="336"/>
      <c r="AE161" s="336"/>
      <c r="AF161" s="336"/>
      <c r="AG161" s="336"/>
      <c r="AH161" s="336"/>
      <c r="AI161" s="336"/>
      <c r="AJ161" s="336"/>
      <c r="AK161" s="336"/>
      <c r="AL161" s="336"/>
      <c r="AM161" s="336"/>
      <c r="AN161" s="336"/>
      <c r="AO161" s="336"/>
      <c r="AP161" s="336"/>
      <c r="AQ161" s="336"/>
      <c r="AR161" s="336"/>
      <c r="AS161" s="336"/>
      <c r="AT161" s="336"/>
      <c r="AU161" s="336">
        <f t="shared" ref="AU161:BJ161" si="394">-AU171-AU160-AU162</f>
        <v>-793.75</v>
      </c>
      <c r="AV161" s="336">
        <f t="shared" si="394"/>
        <v>-580.38400000000001</v>
      </c>
      <c r="AW161" s="336">
        <f t="shared" si="394"/>
        <v>-502.50099999999981</v>
      </c>
      <c r="AX161" s="336">
        <f t="shared" si="394"/>
        <v>-69.840000000000146</v>
      </c>
      <c r="AY161" s="336">
        <f t="shared" si="394"/>
        <v>-1225.663</v>
      </c>
      <c r="AZ161" s="336">
        <f t="shared" si="394"/>
        <v>-880.05100000000004</v>
      </c>
      <c r="BA161" s="336">
        <f t="shared" si="394"/>
        <v>-494.2560000000002</v>
      </c>
      <c r="BB161" s="336">
        <f t="shared" si="394"/>
        <v>1520.3899999999999</v>
      </c>
      <c r="BC161" s="336">
        <f t="shared" si="394"/>
        <v>-509.27399999999989</v>
      </c>
      <c r="BD161" s="336">
        <f t="shared" si="394"/>
        <v>1790.6972799999999</v>
      </c>
      <c r="BE161" s="336">
        <f t="shared" si="394"/>
        <v>16.639000000000408</v>
      </c>
      <c r="BF161" s="336">
        <f t="shared" si="394"/>
        <v>595.61599999999987</v>
      </c>
      <c r="BG161" s="336">
        <f t="shared" si="394"/>
        <v>-511.84500000000003</v>
      </c>
      <c r="BH161" s="336">
        <f t="shared" si="394"/>
        <v>-372.39067999999997</v>
      </c>
      <c r="BI161" s="336">
        <f t="shared" si="394"/>
        <v>-2092.7840000000001</v>
      </c>
      <c r="BJ161" s="336">
        <f t="shared" si="394"/>
        <v>-900.44599999999855</v>
      </c>
      <c r="BK161" s="336">
        <f>-BK171-BK160-BK162</f>
        <v>-1960.9160000000002</v>
      </c>
      <c r="BL161" s="336">
        <f>-BL171-BL160-BL162</f>
        <v>-944.70919999999978</v>
      </c>
      <c r="BM161" s="336">
        <f>-BM171-BM160-BM162</f>
        <v>823.88500000000045</v>
      </c>
      <c r="BN161" s="336">
        <f>-BN171-BN160-BN162</f>
        <v>109.95099999999866</v>
      </c>
      <c r="BO161" s="336">
        <f>-BO171-BO160-BO162</f>
        <v>427.21300000000042</v>
      </c>
      <c r="BP161" s="352">
        <v>20</v>
      </c>
      <c r="BQ161" s="352">
        <v>20</v>
      </c>
      <c r="BR161" s="336">
        <f>Master!X214-BO161-BP161-BQ161</f>
        <v>-268.37091803820829</v>
      </c>
      <c r="BS161" s="336"/>
      <c r="BT161" s="336"/>
      <c r="BU161" s="336"/>
      <c r="BV161" s="336"/>
      <c r="BW161" s="336"/>
      <c r="BX161" s="203"/>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V161" s="203"/>
      <c r="DW161" s="203"/>
      <c r="DX161" s="203"/>
      <c r="DY161" s="203"/>
      <c r="DZ161" s="203"/>
      <c r="EA161" s="203"/>
      <c r="EB161" s="203"/>
      <c r="EX161" s="336"/>
      <c r="EY161" s="344">
        <v>100</v>
      </c>
      <c r="EZ161" s="344">
        <v>100</v>
      </c>
      <c r="FA161" s="577">
        <v>647.98825778025889</v>
      </c>
      <c r="FB161" s="203"/>
      <c r="FC161" s="203"/>
      <c r="FD161" s="574"/>
    </row>
    <row r="162" spans="1:160">
      <c r="A162" s="203"/>
      <c r="B162" s="340" t="s">
        <v>816</v>
      </c>
      <c r="C162" s="203"/>
      <c r="D162" s="203"/>
      <c r="E162" s="203"/>
      <c r="F162" s="203"/>
      <c r="G162" s="203"/>
      <c r="H162" s="203"/>
      <c r="I162" s="203"/>
      <c r="J162" s="203"/>
      <c r="K162" s="203"/>
      <c r="L162" s="203"/>
      <c r="M162" s="203"/>
      <c r="N162" s="203"/>
      <c r="O162" s="337"/>
      <c r="P162" s="337"/>
      <c r="Q162" s="337"/>
      <c r="R162" s="337"/>
      <c r="S162" s="337"/>
      <c r="T162" s="337"/>
      <c r="U162" s="337"/>
      <c r="V162" s="337"/>
      <c r="W162" s="337"/>
      <c r="X162" s="337"/>
      <c r="Y162" s="337"/>
      <c r="Z162" s="337"/>
      <c r="AA162" s="336"/>
      <c r="AB162" s="336"/>
      <c r="AC162" s="336"/>
      <c r="AD162" s="336"/>
      <c r="AE162" s="336"/>
      <c r="AF162" s="336"/>
      <c r="AG162" s="336"/>
      <c r="AH162" s="336"/>
      <c r="AI162" s="336"/>
      <c r="AJ162" s="336">
        <f>Master!O338</f>
        <v>1168.58952</v>
      </c>
      <c r="AK162" s="336"/>
      <c r="AL162" s="336"/>
      <c r="AM162" s="336"/>
      <c r="AN162" s="336"/>
      <c r="AO162" s="336"/>
      <c r="AP162" s="336"/>
      <c r="AQ162" s="336"/>
      <c r="AR162" s="336"/>
      <c r="AS162" s="336"/>
      <c r="AT162" s="336"/>
      <c r="AU162" s="336"/>
      <c r="AV162" s="336"/>
      <c r="AW162" s="336"/>
      <c r="AX162" s="336"/>
      <c r="AY162" s="336"/>
      <c r="AZ162" s="336"/>
      <c r="BA162" s="336"/>
      <c r="BB162" s="336"/>
      <c r="BC162" s="336"/>
      <c r="BD162" s="336">
        <f>Master!U97</f>
        <v>-2201.6972799999999</v>
      </c>
      <c r="BE162" s="336"/>
      <c r="BF162" s="336"/>
      <c r="BG162" s="336"/>
      <c r="BH162" s="336">
        <f>Master!V97</f>
        <v>-2418.08232</v>
      </c>
      <c r="BI162" s="336"/>
      <c r="BJ162" s="336"/>
      <c r="BK162" s="336"/>
      <c r="BL162" s="336">
        <f>Master!W97</f>
        <v>-2538.5477999999998</v>
      </c>
      <c r="BM162" s="336"/>
      <c r="BN162" s="336"/>
      <c r="BO162" s="336"/>
      <c r="BP162" s="336">
        <f>Master!X97</f>
        <v>-2618.4265249999999</v>
      </c>
      <c r="BQ162" s="336"/>
      <c r="BR162" s="336"/>
      <c r="BS162" s="336"/>
      <c r="BT162" s="336"/>
      <c r="BU162" s="336"/>
      <c r="BV162" s="336"/>
      <c r="BW162" s="203"/>
      <c r="BX162" s="203"/>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c r="DK162" s="203"/>
      <c r="DL162" s="203"/>
      <c r="DM162" s="203"/>
      <c r="DN162" s="203"/>
      <c r="DO162" s="203"/>
      <c r="DP162" s="203"/>
      <c r="DQ162" s="203"/>
      <c r="DR162" s="203"/>
      <c r="DS162" s="203"/>
      <c r="DT162" s="203"/>
      <c r="DV162" s="203"/>
      <c r="DW162" s="203"/>
      <c r="DX162" s="203"/>
      <c r="DY162" s="203"/>
      <c r="DZ162" s="203"/>
      <c r="EA162" s="203"/>
      <c r="EB162" s="203"/>
      <c r="EX162" s="336"/>
      <c r="EY162" s="336">
        <v>2538.5477999999998</v>
      </c>
      <c r="EZ162" s="336"/>
      <c r="FA162" s="577"/>
      <c r="FB162" s="203"/>
      <c r="FC162" s="203"/>
      <c r="FD162" s="574"/>
    </row>
    <row r="163" spans="1:160">
      <c r="A163" s="203"/>
      <c r="B163" s="340"/>
      <c r="C163" s="203"/>
      <c r="D163" s="203"/>
      <c r="E163" s="203"/>
      <c r="F163" s="203"/>
      <c r="G163" s="203"/>
      <c r="H163" s="203"/>
      <c r="I163" s="203"/>
      <c r="J163" s="203"/>
      <c r="K163" s="203"/>
      <c r="L163" s="203"/>
      <c r="M163" s="203"/>
      <c r="N163" s="203"/>
      <c r="O163" s="337"/>
      <c r="P163" s="337"/>
      <c r="Q163" s="337"/>
      <c r="R163" s="337"/>
      <c r="S163" s="337"/>
      <c r="T163" s="337"/>
      <c r="U163" s="337"/>
      <c r="V163" s="337"/>
      <c r="W163" s="337"/>
      <c r="X163" s="337"/>
      <c r="Y163" s="337"/>
      <c r="Z163" s="337"/>
      <c r="AA163" s="337"/>
      <c r="AB163" s="337"/>
      <c r="AC163" s="337"/>
      <c r="AD163" s="337"/>
      <c r="AE163" s="337"/>
      <c r="AF163" s="337"/>
      <c r="AG163" s="337"/>
      <c r="AH163" s="337"/>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203"/>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V163" s="203"/>
      <c r="DW163" s="203"/>
      <c r="DX163" s="203"/>
      <c r="DY163" s="203"/>
      <c r="DZ163" s="203"/>
      <c r="EA163" s="203"/>
      <c r="EB163" s="203"/>
      <c r="EX163" s="337"/>
      <c r="EY163" s="337"/>
      <c r="EZ163" s="337"/>
      <c r="FA163" s="576"/>
      <c r="FB163" s="203"/>
      <c r="FC163" s="203"/>
      <c r="FD163" s="574"/>
    </row>
    <row r="164" spans="1:160">
      <c r="A164" s="203"/>
      <c r="B164" s="340" t="s">
        <v>91</v>
      </c>
      <c r="C164" s="203"/>
      <c r="D164" s="203"/>
      <c r="E164" s="203"/>
      <c r="F164" s="203"/>
      <c r="G164" s="203"/>
      <c r="H164" s="203"/>
      <c r="I164" s="203"/>
      <c r="J164" s="203"/>
      <c r="K164" s="203"/>
      <c r="L164" s="203"/>
      <c r="M164" s="203"/>
      <c r="N164" s="203"/>
      <c r="O164" s="337"/>
      <c r="P164" s="337"/>
      <c r="Q164" s="337"/>
      <c r="R164" s="337"/>
      <c r="S164" s="337"/>
      <c r="T164" s="337"/>
      <c r="U164" s="337"/>
      <c r="V164" s="337"/>
      <c r="W164" s="337"/>
      <c r="X164" s="337"/>
      <c r="Y164" s="337"/>
      <c r="Z164" s="337"/>
      <c r="AA164" s="337"/>
      <c r="AB164" s="337"/>
      <c r="AC164" s="337"/>
      <c r="AD164" s="337"/>
      <c r="AE164" s="337"/>
      <c r="AF164" s="336">
        <v>3053.0210000000002</v>
      </c>
      <c r="AG164" s="336">
        <v>3159</v>
      </c>
      <c r="AH164" s="337"/>
      <c r="AI164" s="336">
        <v>3899.3319999999999</v>
      </c>
      <c r="AJ164" s="336">
        <v>4331.8969999999999</v>
      </c>
      <c r="AK164" s="336">
        <v>3804</v>
      </c>
      <c r="AL164" s="336">
        <f>AL166-AL165</f>
        <v>1336.0039999999999</v>
      </c>
      <c r="AM164" s="336"/>
      <c r="AN164" s="336"/>
      <c r="AO164" s="336">
        <v>3864</v>
      </c>
      <c r="AP164" s="336">
        <v>4058.6</v>
      </c>
      <c r="AQ164" s="336"/>
      <c r="AR164" s="336"/>
      <c r="AS164" s="336"/>
      <c r="AT164" s="336"/>
      <c r="AU164" s="336"/>
      <c r="AV164" s="336"/>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6"/>
      <c r="BR164" s="336"/>
      <c r="BS164" s="336"/>
      <c r="BT164" s="336"/>
      <c r="BU164" s="336"/>
      <c r="BV164" s="336"/>
      <c r="BW164" s="203"/>
      <c r="BX164" s="203"/>
      <c r="BY164" s="203"/>
      <c r="BZ164" s="203"/>
      <c r="CA164" s="203"/>
      <c r="CB164" s="203"/>
      <c r="CC164" s="203"/>
      <c r="CD164" s="203"/>
      <c r="CE164" s="203"/>
      <c r="CF164" s="203"/>
      <c r="CG164" s="203"/>
      <c r="CH164" s="203"/>
      <c r="CI164" s="203"/>
      <c r="CJ164" s="203"/>
      <c r="CK164" s="203"/>
      <c r="CL164" s="203"/>
      <c r="CM164" s="203"/>
      <c r="CN164" s="203"/>
      <c r="CO164" s="203"/>
      <c r="CP164" s="203"/>
      <c r="CQ164" s="203"/>
      <c r="CR164" s="203"/>
      <c r="CS164" s="203"/>
      <c r="CT164" s="203"/>
      <c r="CU164" s="203"/>
      <c r="CV164" s="203"/>
      <c r="CW164" s="203"/>
      <c r="CX164" s="203"/>
      <c r="CY164" s="203"/>
      <c r="CZ164" s="203"/>
      <c r="DA164" s="203"/>
      <c r="DB164" s="203"/>
      <c r="DC164" s="203"/>
      <c r="DD164" s="203"/>
      <c r="DE164" s="203"/>
      <c r="DF164" s="203"/>
      <c r="DG164" s="203"/>
      <c r="DH164" s="203"/>
      <c r="DI164" s="203"/>
      <c r="DJ164" s="203"/>
      <c r="DK164" s="203"/>
      <c r="DL164" s="203"/>
      <c r="DM164" s="203"/>
      <c r="DN164" s="203"/>
      <c r="DO164" s="203"/>
      <c r="DP164" s="203"/>
      <c r="DQ164" s="203"/>
      <c r="DR164" s="203"/>
      <c r="DS164" s="203"/>
      <c r="DT164" s="203"/>
      <c r="DV164" s="203"/>
      <c r="DW164" s="203"/>
      <c r="DX164" s="203"/>
      <c r="DY164" s="203"/>
      <c r="DZ164" s="203"/>
      <c r="EA164" s="203"/>
      <c r="EB164" s="203"/>
      <c r="EX164" s="336"/>
      <c r="EY164" s="336"/>
      <c r="EZ164" s="336"/>
      <c r="FA164" s="577"/>
      <c r="FB164" s="203"/>
      <c r="FC164" s="203"/>
      <c r="FD164" s="574"/>
    </row>
    <row r="165" spans="1:160">
      <c r="A165" s="203"/>
      <c r="B165" s="340" t="s">
        <v>815</v>
      </c>
      <c r="C165" s="203"/>
      <c r="D165" s="203"/>
      <c r="E165" s="203"/>
      <c r="F165" s="203"/>
      <c r="G165" s="203"/>
      <c r="H165" s="203"/>
      <c r="I165" s="203"/>
      <c r="J165" s="203"/>
      <c r="K165" s="203"/>
      <c r="L165" s="203"/>
      <c r="M165" s="203"/>
      <c r="N165" s="203"/>
      <c r="O165" s="337"/>
      <c r="P165" s="337"/>
      <c r="Q165" s="337"/>
      <c r="R165" s="337"/>
      <c r="S165" s="337"/>
      <c r="T165" s="337"/>
      <c r="U165" s="337"/>
      <c r="V165" s="337"/>
      <c r="W165" s="337"/>
      <c r="X165" s="337"/>
      <c r="Y165" s="337"/>
      <c r="Z165" s="337"/>
      <c r="AA165" s="337"/>
      <c r="AB165" s="337"/>
      <c r="AC165" s="337"/>
      <c r="AD165" s="337"/>
      <c r="AE165" s="337"/>
      <c r="AF165" s="336">
        <f>AF164-AF166</f>
        <v>4478.0210000000006</v>
      </c>
      <c r="AG165" s="336">
        <f>AG164-AG166</f>
        <v>3799</v>
      </c>
      <c r="AH165" s="337"/>
      <c r="AI165" s="336">
        <f>AI164-AI166</f>
        <v>4183.491</v>
      </c>
      <c r="AJ165" s="336">
        <f>AJ164-AJ166</f>
        <v>2857.5429999999997</v>
      </c>
      <c r="AK165" s="336">
        <f>AK164-AK166</f>
        <v>1673.7539999999999</v>
      </c>
      <c r="AL165" s="336">
        <v>1153.9960000000001</v>
      </c>
      <c r="AM165" s="336"/>
      <c r="AN165" s="336"/>
      <c r="AO165" s="336">
        <f>AO164-AO166</f>
        <v>3049.6</v>
      </c>
      <c r="AP165" s="336">
        <f>AP164-AP166</f>
        <v>3116.7</v>
      </c>
      <c r="AQ165" s="336"/>
      <c r="AR165" s="336"/>
      <c r="AS165" s="336"/>
      <c r="AT165" s="336"/>
      <c r="AU165" s="336"/>
      <c r="AV165" s="336"/>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6"/>
      <c r="BR165" s="336"/>
      <c r="BS165" s="336"/>
      <c r="BT165" s="336"/>
      <c r="BU165" s="336"/>
      <c r="BV165" s="336"/>
      <c r="BW165" s="203"/>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V165" s="203"/>
      <c r="DW165" s="203"/>
      <c r="DX165" s="203"/>
      <c r="DY165" s="203"/>
      <c r="DZ165" s="203"/>
      <c r="EA165" s="203"/>
      <c r="EB165" s="203"/>
      <c r="EX165" s="336"/>
      <c r="EY165" s="336"/>
      <c r="EZ165" s="336"/>
      <c r="FA165" s="577"/>
      <c r="FB165" s="203"/>
      <c r="FC165" s="203"/>
      <c r="FD165" s="574"/>
    </row>
    <row r="166" spans="1:160">
      <c r="A166" s="203"/>
      <c r="B166" s="340" t="s">
        <v>44</v>
      </c>
      <c r="C166" s="203"/>
      <c r="D166" s="203"/>
      <c r="E166" s="203"/>
      <c r="F166" s="203"/>
      <c r="G166" s="203"/>
      <c r="H166" s="203"/>
      <c r="I166" s="203"/>
      <c r="J166" s="203"/>
      <c r="K166" s="203"/>
      <c r="L166" s="203"/>
      <c r="M166" s="203"/>
      <c r="N166" s="203">
        <v>420</v>
      </c>
      <c r="O166" s="203">
        <v>146</v>
      </c>
      <c r="P166" s="203">
        <v>-143</v>
      </c>
      <c r="Q166" s="203">
        <v>310</v>
      </c>
      <c r="R166" s="203">
        <v>574</v>
      </c>
      <c r="S166" s="203">
        <v>-79</v>
      </c>
      <c r="T166" s="203">
        <v>-408</v>
      </c>
      <c r="U166" s="203">
        <v>-610</v>
      </c>
      <c r="V166" s="203">
        <v>340</v>
      </c>
      <c r="W166" s="203">
        <v>-951</v>
      </c>
      <c r="X166" s="203"/>
      <c r="Y166" s="203">
        <v>-1226</v>
      </c>
      <c r="Z166" s="351">
        <v>-403</v>
      </c>
      <c r="AA166" s="203">
        <v>-755</v>
      </c>
      <c r="AB166" s="203">
        <v>-1609</v>
      </c>
      <c r="AC166" s="203">
        <v>-1555</v>
      </c>
      <c r="AD166" s="351">
        <v>-1098</v>
      </c>
      <c r="AE166" s="203">
        <v>-1309</v>
      </c>
      <c r="AF166" s="203">
        <v>-1425</v>
      </c>
      <c r="AG166" s="203">
        <v>-640</v>
      </c>
      <c r="AH166" s="336">
        <v>428.90300000000002</v>
      </c>
      <c r="AI166" s="336">
        <v>-284.15899999999999</v>
      </c>
      <c r="AJ166" s="336">
        <v>1474.354</v>
      </c>
      <c r="AK166" s="336">
        <v>2130.2460000000001</v>
      </c>
      <c r="AL166" s="336">
        <v>2490</v>
      </c>
      <c r="AM166" s="336">
        <v>741</v>
      </c>
      <c r="AN166" s="336">
        <v>1573.4860000000001</v>
      </c>
      <c r="AO166" s="336">
        <v>814.4</v>
      </c>
      <c r="AP166" s="336">
        <v>941.9</v>
      </c>
      <c r="AQ166" s="336">
        <v>-176.8</v>
      </c>
      <c r="AR166" s="336">
        <v>1008.9</v>
      </c>
      <c r="AS166" s="336">
        <v>687.5</v>
      </c>
      <c r="AT166" s="336">
        <v>572</v>
      </c>
      <c r="AU166" s="336"/>
      <c r="AV166" s="336"/>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6"/>
      <c r="BR166" s="336"/>
      <c r="BS166" s="336"/>
      <c r="BT166" s="336"/>
      <c r="BU166" s="336"/>
      <c r="BV166" s="336"/>
      <c r="BW166" s="203"/>
      <c r="BX166" s="203"/>
      <c r="BY166" s="203"/>
      <c r="BZ166" s="203"/>
      <c r="CA166" s="203"/>
      <c r="CB166" s="203"/>
      <c r="CC166" s="203"/>
      <c r="CD166" s="203"/>
      <c r="CE166" s="203"/>
      <c r="CF166" s="203"/>
      <c r="CG166" s="203"/>
      <c r="CH166" s="203"/>
      <c r="CI166" s="203"/>
      <c r="CJ166" s="203"/>
      <c r="CK166" s="203"/>
      <c r="CL166" s="203"/>
      <c r="CM166" s="203"/>
      <c r="CN166" s="203"/>
      <c r="CO166" s="203"/>
      <c r="CP166" s="203"/>
      <c r="CQ166" s="203"/>
      <c r="CR166" s="203"/>
      <c r="CS166" s="203"/>
      <c r="CT166" s="203"/>
      <c r="CU166" s="203"/>
      <c r="CV166" s="203"/>
      <c r="CW166" s="203"/>
      <c r="CX166" s="203"/>
      <c r="CY166" s="203"/>
      <c r="CZ166" s="203"/>
      <c r="DA166" s="203"/>
      <c r="DB166" s="203"/>
      <c r="DC166" s="203"/>
      <c r="DD166" s="203"/>
      <c r="DE166" s="203"/>
      <c r="DF166" s="203"/>
      <c r="DG166" s="203"/>
      <c r="DH166" s="203"/>
      <c r="DI166" s="203"/>
      <c r="DJ166" s="203"/>
      <c r="DK166" s="203"/>
      <c r="DL166" s="203"/>
      <c r="DM166" s="203"/>
      <c r="DN166" s="203"/>
      <c r="DO166" s="203"/>
      <c r="DP166" s="203"/>
      <c r="DQ166" s="203"/>
      <c r="DR166" s="203"/>
      <c r="DS166" s="203"/>
      <c r="DT166" s="203"/>
      <c r="DV166" s="203"/>
      <c r="DW166" s="203"/>
      <c r="DX166" s="203"/>
      <c r="DY166" s="203"/>
      <c r="DZ166" s="203"/>
      <c r="EA166" s="203"/>
      <c r="EB166" s="203"/>
      <c r="EX166" s="336"/>
      <c r="EY166" s="336"/>
      <c r="EZ166" s="336"/>
      <c r="FA166" s="577"/>
      <c r="FB166" s="203"/>
      <c r="FC166" s="203"/>
      <c r="FD166" s="574"/>
    </row>
    <row r="167" spans="1:160">
      <c r="A167" s="203"/>
      <c r="B167" s="203" t="s">
        <v>688</v>
      </c>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f t="shared" ref="AA167:AT167" si="395">AA166-Z166</f>
        <v>-352</v>
      </c>
      <c r="AB167" s="203">
        <f t="shared" si="395"/>
        <v>-854</v>
      </c>
      <c r="AC167" s="203">
        <f t="shared" si="395"/>
        <v>54</v>
      </c>
      <c r="AD167" s="203">
        <f t="shared" si="395"/>
        <v>457</v>
      </c>
      <c r="AE167" s="203">
        <f t="shared" si="395"/>
        <v>-211</v>
      </c>
      <c r="AF167" s="203">
        <f t="shared" si="395"/>
        <v>-116</v>
      </c>
      <c r="AG167" s="203">
        <f t="shared" si="395"/>
        <v>785</v>
      </c>
      <c r="AH167" s="336">
        <f t="shared" si="395"/>
        <v>1068.903</v>
      </c>
      <c r="AI167" s="336">
        <f t="shared" si="395"/>
        <v>-713.06200000000001</v>
      </c>
      <c r="AJ167" s="336">
        <f t="shared" si="395"/>
        <v>1758.5129999999999</v>
      </c>
      <c r="AK167" s="336">
        <f t="shared" si="395"/>
        <v>655.89200000000005</v>
      </c>
      <c r="AL167" s="336">
        <f t="shared" si="395"/>
        <v>359.75399999999991</v>
      </c>
      <c r="AM167" s="336">
        <f t="shared" si="395"/>
        <v>-1749</v>
      </c>
      <c r="AN167" s="336">
        <f t="shared" si="395"/>
        <v>832.4860000000001</v>
      </c>
      <c r="AO167" s="336">
        <f t="shared" si="395"/>
        <v>-759.08600000000013</v>
      </c>
      <c r="AP167" s="336">
        <f t="shared" si="395"/>
        <v>127.5</v>
      </c>
      <c r="AQ167" s="336">
        <f t="shared" si="395"/>
        <v>-1118.7</v>
      </c>
      <c r="AR167" s="336">
        <f t="shared" si="395"/>
        <v>1185.7</v>
      </c>
      <c r="AS167" s="336">
        <f t="shared" si="395"/>
        <v>-321.39999999999998</v>
      </c>
      <c r="AT167" s="336">
        <f t="shared" si="395"/>
        <v>-115.5</v>
      </c>
      <c r="AU167" s="336"/>
      <c r="AV167" s="336"/>
      <c r="AW167" s="336"/>
      <c r="AX167" s="336"/>
      <c r="AY167" s="336"/>
      <c r="AZ167" s="336"/>
      <c r="BA167" s="336"/>
      <c r="BB167" s="336"/>
      <c r="BC167" s="339"/>
      <c r="BD167" s="339"/>
      <c r="BE167" s="336"/>
      <c r="BF167" s="336"/>
      <c r="BG167" s="336"/>
      <c r="BH167" s="336"/>
      <c r="BI167" s="336"/>
      <c r="BJ167" s="336"/>
      <c r="BK167" s="336"/>
      <c r="BL167" s="336"/>
      <c r="BM167" s="336"/>
      <c r="BN167" s="336"/>
      <c r="BO167" s="336"/>
      <c r="BP167" s="336"/>
      <c r="BQ167" s="336"/>
      <c r="BR167" s="336"/>
      <c r="BS167" s="336"/>
      <c r="BT167" s="336"/>
      <c r="BU167" s="336"/>
      <c r="BV167" s="336"/>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V167" s="203"/>
      <c r="DW167" s="203"/>
      <c r="DX167" s="203"/>
      <c r="DY167" s="203"/>
      <c r="DZ167" s="203"/>
      <c r="EA167" s="203"/>
      <c r="EB167" s="203"/>
      <c r="EX167" s="336"/>
      <c r="EY167" s="336"/>
      <c r="EZ167" s="336"/>
      <c r="FA167" s="577"/>
      <c r="FB167" s="203"/>
      <c r="FC167" s="203"/>
      <c r="FD167" s="574"/>
    </row>
    <row r="168" spans="1:160">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336"/>
      <c r="AI168" s="336"/>
      <c r="AJ168" s="336"/>
      <c r="AK168" s="336"/>
      <c r="AL168" s="336"/>
      <c r="AM168" s="336"/>
      <c r="AN168" s="336"/>
      <c r="AO168" s="336"/>
      <c r="AP168" s="336"/>
      <c r="AQ168" s="336"/>
      <c r="AR168" s="336"/>
      <c r="AS168" s="336"/>
      <c r="AT168" s="336"/>
      <c r="AU168" s="336"/>
      <c r="AV168" s="336"/>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6"/>
      <c r="BR168" s="336"/>
      <c r="BS168" s="336"/>
      <c r="BT168" s="336"/>
      <c r="BU168" s="336"/>
      <c r="BV168" s="336"/>
      <c r="BW168" s="203"/>
      <c r="BX168" s="203"/>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V168" s="203"/>
      <c r="DW168" s="203"/>
      <c r="DX168" s="203"/>
      <c r="DY168" s="203"/>
      <c r="DZ168" s="203"/>
      <c r="EA168" s="203"/>
      <c r="EB168" s="203"/>
      <c r="EX168" s="336"/>
      <c r="EY168" s="336"/>
      <c r="EZ168" s="336"/>
      <c r="FA168" s="577"/>
      <c r="FB168" s="203"/>
      <c r="FC168" s="203"/>
      <c r="FD168" s="574"/>
    </row>
    <row r="169" spans="1:160">
      <c r="A169" s="203"/>
      <c r="B169" s="366" t="s">
        <v>1090</v>
      </c>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336"/>
      <c r="AI169" s="336"/>
      <c r="AJ169" s="336">
        <v>1425</v>
      </c>
      <c r="AK169" s="336">
        <v>1100</v>
      </c>
      <c r="AL169" s="336">
        <v>900</v>
      </c>
      <c r="AM169" s="336">
        <v>0</v>
      </c>
      <c r="AN169" s="336"/>
      <c r="AO169" s="336"/>
      <c r="AP169" s="336"/>
      <c r="AQ169" s="336"/>
      <c r="AR169" s="336"/>
      <c r="AS169" s="336"/>
      <c r="AT169" s="336"/>
      <c r="AU169" s="336"/>
      <c r="AV169" s="336"/>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6"/>
      <c r="BR169" s="336"/>
      <c r="BS169" s="336"/>
      <c r="BT169" s="336"/>
      <c r="BU169" s="336"/>
      <c r="BV169" s="336"/>
      <c r="BW169" s="203"/>
      <c r="BX169" s="203"/>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V169" s="203"/>
      <c r="DW169" s="203"/>
      <c r="DX169" s="203"/>
      <c r="DY169" s="203"/>
      <c r="DZ169" s="203"/>
      <c r="EA169" s="203"/>
      <c r="EB169" s="203"/>
      <c r="EX169" s="336"/>
      <c r="EY169" s="336"/>
      <c r="EZ169" s="336"/>
      <c r="FA169" s="577"/>
      <c r="FB169" s="203"/>
      <c r="FC169" s="203"/>
      <c r="FD169" s="574"/>
    </row>
    <row r="170" spans="1:160">
      <c r="A170" s="203"/>
      <c r="B170" s="439" t="s">
        <v>1091</v>
      </c>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376"/>
      <c r="AI170" s="376"/>
      <c r="AJ170" s="376">
        <f>AJ166-AJ169</f>
        <v>49.354000000000042</v>
      </c>
      <c r="AK170" s="376">
        <f>AK166-AK169</f>
        <v>1030.2460000000001</v>
      </c>
      <c r="AL170" s="376">
        <f>AL166-AL169</f>
        <v>1590</v>
      </c>
      <c r="AM170" s="376">
        <f>AM166-AM169</f>
        <v>741</v>
      </c>
      <c r="AN170" s="376"/>
      <c r="AO170" s="376"/>
      <c r="AP170" s="376">
        <f>AP166</f>
        <v>941.9</v>
      </c>
      <c r="AQ170" s="376">
        <f>AQ166</f>
        <v>-176.8</v>
      </c>
      <c r="AR170" s="376">
        <f>AR166</f>
        <v>1008.9</v>
      </c>
      <c r="AS170" s="376">
        <f>AS166</f>
        <v>687.5</v>
      </c>
      <c r="AT170" s="376">
        <f>AT166</f>
        <v>572</v>
      </c>
      <c r="AU170" s="378">
        <v>11.586</v>
      </c>
      <c r="AV170" s="378">
        <v>4538.05</v>
      </c>
      <c r="AW170" s="378">
        <v>4153.9470000000001</v>
      </c>
      <c r="AX170" s="378">
        <v>4799.7389999999996</v>
      </c>
      <c r="AY170" s="378">
        <v>3720.0320000000002</v>
      </c>
      <c r="AZ170" s="378">
        <v>5396.9</v>
      </c>
      <c r="BA170" s="378">
        <v>4909</v>
      </c>
      <c r="BB170" s="378">
        <v>3572</v>
      </c>
      <c r="BC170" s="378">
        <v>2717</v>
      </c>
      <c r="BD170" s="378">
        <v>4014</v>
      </c>
      <c r="BE170" s="378">
        <v>4282.9549999999999</v>
      </c>
      <c r="BF170" s="378">
        <v>4670</v>
      </c>
      <c r="BG170" s="378">
        <v>4834.0680000000002</v>
      </c>
      <c r="BH170" s="378">
        <v>7807.8990000000003</v>
      </c>
      <c r="BI170" s="378">
        <v>10268.468000000001</v>
      </c>
      <c r="BJ170" s="378">
        <v>12842.623</v>
      </c>
      <c r="BK170" s="378">
        <v>14371.525</v>
      </c>
      <c r="BL170" s="378">
        <v>18345.264999999999</v>
      </c>
      <c r="BM170" s="378">
        <v>18911.531999999999</v>
      </c>
      <c r="BN170" s="378">
        <v>20217.771000000001</v>
      </c>
      <c r="BO170" s="378">
        <v>19352.038</v>
      </c>
      <c r="BP170" s="376">
        <f>BO170-BP160-BP162-BP161</f>
        <v>22046.664525</v>
      </c>
      <c r="BQ170" s="376">
        <f t="shared" ref="BQ170:BR170" si="396">BP170-BQ160-BQ162-BQ161</f>
        <v>22254.464524999999</v>
      </c>
      <c r="BR170" s="376">
        <f t="shared" ca="1" si="396"/>
        <v>21867.044572799998</v>
      </c>
      <c r="BS170" s="376"/>
      <c r="BT170" s="376"/>
      <c r="BU170" s="376"/>
      <c r="BV170" s="376"/>
      <c r="BW170" s="376">
        <f ca="1">Valuation!Q11</f>
        <v>21977.452653119999</v>
      </c>
      <c r="BX170" s="203"/>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V170" s="203"/>
      <c r="DW170" s="203"/>
      <c r="DX170" s="203"/>
      <c r="DY170" s="203"/>
      <c r="DZ170" s="203"/>
      <c r="EA170" s="203"/>
      <c r="EB170" s="203"/>
      <c r="EX170" s="336">
        <v>12029.339677847998</v>
      </c>
      <c r="EY170" s="336">
        <v>17162.9015545435</v>
      </c>
      <c r="EZ170" s="376">
        <v>18890.207154296</v>
      </c>
      <c r="FA170" s="587">
        <v>19524.207833778633</v>
      </c>
      <c r="FB170" s="203"/>
      <c r="FC170" s="203"/>
      <c r="FD170" s="574"/>
    </row>
    <row r="171" spans="1:160">
      <c r="A171" s="203"/>
      <c r="B171" s="366" t="s">
        <v>85</v>
      </c>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336"/>
      <c r="AI171" s="336"/>
      <c r="AJ171" s="336"/>
      <c r="AK171" s="336"/>
      <c r="AL171" s="336"/>
      <c r="AM171" s="336"/>
      <c r="AN171" s="336"/>
      <c r="AO171" s="336"/>
      <c r="AP171" s="336"/>
      <c r="AQ171" s="336"/>
      <c r="AR171" s="336"/>
      <c r="AS171" s="336"/>
      <c r="AT171" s="336"/>
      <c r="AU171" s="336"/>
      <c r="AV171" s="336"/>
      <c r="AW171" s="336"/>
      <c r="AX171" s="336"/>
      <c r="AY171" s="336"/>
      <c r="AZ171" s="336"/>
      <c r="BA171" s="336"/>
      <c r="BB171" s="336"/>
      <c r="BC171" s="336"/>
      <c r="BD171" s="336"/>
      <c r="BE171" s="336"/>
      <c r="BF171" s="336"/>
      <c r="BG171" s="336">
        <f t="shared" ref="BG171:BJ171" si="397">BG170-BF170</f>
        <v>164.06800000000021</v>
      </c>
      <c r="BH171" s="336">
        <f t="shared" si="397"/>
        <v>2973.8310000000001</v>
      </c>
      <c r="BI171" s="336">
        <f t="shared" si="397"/>
        <v>2460.5690000000004</v>
      </c>
      <c r="BJ171" s="336">
        <f t="shared" si="397"/>
        <v>2574.1549999999988</v>
      </c>
      <c r="BK171" s="336">
        <f t="shared" ref="BK171:BP171" si="398">BK170-BJ170</f>
        <v>1528.902</v>
      </c>
      <c r="BL171" s="336">
        <f t="shared" si="398"/>
        <v>3973.74</v>
      </c>
      <c r="BM171" s="336">
        <f t="shared" si="398"/>
        <v>566.26699999999983</v>
      </c>
      <c r="BN171" s="336">
        <f t="shared" si="398"/>
        <v>1306.2390000000014</v>
      </c>
      <c r="BO171" s="336">
        <f t="shared" si="398"/>
        <v>-865.73300000000017</v>
      </c>
      <c r="BP171" s="336">
        <f t="shared" si="398"/>
        <v>2694.6265249999997</v>
      </c>
      <c r="BQ171" s="336">
        <f t="shared" ref="BQ171:BR171" si="399">BQ170-BP170</f>
        <v>207.79999999999927</v>
      </c>
      <c r="BR171" s="336">
        <f t="shared" ca="1" si="399"/>
        <v>-387.41995220000172</v>
      </c>
      <c r="BS171" s="336"/>
      <c r="BT171" s="336"/>
      <c r="BU171" s="336"/>
      <c r="BV171" s="336"/>
      <c r="BW171" s="336"/>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V171" s="203"/>
      <c r="DW171" s="203"/>
      <c r="DX171" s="203"/>
      <c r="DY171" s="203"/>
      <c r="DZ171" s="203"/>
      <c r="EA171" s="203"/>
      <c r="EB171" s="203"/>
      <c r="EX171" s="336"/>
      <c r="EY171" s="336">
        <v>2791.3765545434999</v>
      </c>
      <c r="EZ171" s="336">
        <v>544.94215429600081</v>
      </c>
      <c r="FA171" s="577">
        <v>612.67583377863411</v>
      </c>
      <c r="FB171" s="203"/>
      <c r="FC171" s="203"/>
      <c r="FD171" s="574"/>
    </row>
    <row r="172" spans="1:160">
      <c r="A172" s="203"/>
      <c r="B172" s="439" t="s">
        <v>1092</v>
      </c>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376"/>
      <c r="AI172" s="376"/>
      <c r="AJ172" s="390">
        <f t="shared" ref="AJ172:AR172" si="400">AJ170/(AG126+AH126+AI126+AJ126)</f>
        <v>7.6354501850847169E-3</v>
      </c>
      <c r="AK172" s="390">
        <f t="shared" si="400"/>
        <v>0.1544782677734666</v>
      </c>
      <c r="AL172" s="390">
        <f t="shared" si="400"/>
        <v>0.22994626343829827</v>
      </c>
      <c r="AM172" s="390">
        <f t="shared" si="400"/>
        <v>0.10558924785116618</v>
      </c>
      <c r="AN172" s="390">
        <f t="shared" si="400"/>
        <v>0</v>
      </c>
      <c r="AO172" s="390">
        <f t="shared" si="400"/>
        <v>0</v>
      </c>
      <c r="AP172" s="390">
        <f t="shared" si="400"/>
        <v>0.12208320425962672</v>
      </c>
      <c r="AQ172" s="390">
        <f t="shared" si="400"/>
        <v>-2.1923980581404622E-2</v>
      </c>
      <c r="AR172" s="390">
        <f t="shared" si="400"/>
        <v>0.12032085561497326</v>
      </c>
      <c r="AS172" s="390">
        <f t="shared" ref="AS172:BK172" si="401">AS170/(AP133+AQ133+AR133+AS133)</f>
        <v>7.4622677891509379E-2</v>
      </c>
      <c r="AT172" s="390">
        <f t="shared" si="401"/>
        <v>6.1196485438767038E-2</v>
      </c>
      <c r="AU172" s="390">
        <f t="shared" si="401"/>
        <v>1.2165286618184721E-3</v>
      </c>
      <c r="AV172" s="390">
        <f t="shared" si="401"/>
        <v>0.46490269216466262</v>
      </c>
      <c r="AW172" s="390">
        <f t="shared" si="401"/>
        <v>0.41848095519647849</v>
      </c>
      <c r="AX172" s="390">
        <f t="shared" si="401"/>
        <v>0.47238173354036578</v>
      </c>
      <c r="AY172" s="390">
        <f t="shared" si="401"/>
        <v>0.35849009510988061</v>
      </c>
      <c r="AZ172" s="390">
        <f t="shared" si="401"/>
        <v>0.51474735089051415</v>
      </c>
      <c r="BA172" s="390">
        <f t="shared" si="401"/>
        <v>0.4551614933191212</v>
      </c>
      <c r="BB172" s="390">
        <f t="shared" si="401"/>
        <v>0.32363075289451104</v>
      </c>
      <c r="BC172" s="390">
        <f t="shared" si="401"/>
        <v>0.24100527852120512</v>
      </c>
      <c r="BD172" s="390">
        <f t="shared" si="401"/>
        <v>0.34709497760312158</v>
      </c>
      <c r="BE172" s="390">
        <f t="shared" si="401"/>
        <v>0.36305889872389768</v>
      </c>
      <c r="BF172" s="390">
        <f t="shared" si="401"/>
        <v>0.38541602275918757</v>
      </c>
      <c r="BG172" s="390">
        <f t="shared" si="401"/>
        <v>0.39166715144990166</v>
      </c>
      <c r="BH172" s="390">
        <f t="shared" si="401"/>
        <v>0.6202215001039012</v>
      </c>
      <c r="BI172" s="390">
        <f t="shared" si="401"/>
        <v>0.80592059359766566</v>
      </c>
      <c r="BJ172" s="390">
        <f t="shared" si="401"/>
        <v>1.0057642642712019</v>
      </c>
      <c r="BK172" s="390">
        <f t="shared" si="401"/>
        <v>1.1219666980659098</v>
      </c>
      <c r="BL172" s="390">
        <f t="shared" ref="BL172:BO172" si="402">BL170/(BI133+BJ133+BK133+BL133)</f>
        <v>1.4288704616980235</v>
      </c>
      <c r="BM172" s="390">
        <f t="shared" si="402"/>
        <v>1.4572867334231265</v>
      </c>
      <c r="BN172" s="390">
        <f t="shared" si="402"/>
        <v>1.5178513593925045</v>
      </c>
      <c r="BO172" s="390">
        <f t="shared" si="402"/>
        <v>1.4092757573367656</v>
      </c>
      <c r="BP172" s="390">
        <f>BP170/(BM133+BN133+BO133+BP133)</f>
        <v>1.5570196243815739</v>
      </c>
      <c r="BQ172" s="390">
        <f>BQ170/(BN133+BO133+BP133+BQ133)</f>
        <v>1.5197732014275491</v>
      </c>
      <c r="BR172" s="390">
        <f ca="1">BR170/(BO133+BP133+BQ133+BR133)</f>
        <v>1.4526863607087144</v>
      </c>
      <c r="BS172" s="390"/>
      <c r="BT172" s="390"/>
      <c r="BU172" s="390"/>
      <c r="BV172" s="390"/>
      <c r="BW172" s="203"/>
      <c r="BX172" s="203"/>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V172" s="203"/>
      <c r="DW172" s="203"/>
      <c r="DX172" s="203"/>
      <c r="DY172" s="203"/>
      <c r="DZ172" s="203"/>
      <c r="EA172" s="203"/>
      <c r="EB172" s="203"/>
      <c r="EX172" s="339">
        <v>0.94842705264353921</v>
      </c>
      <c r="EY172" s="339">
        <v>1.3422862624173943</v>
      </c>
      <c r="EZ172" s="339">
        <v>1.4485808711961408</v>
      </c>
      <c r="FA172" s="593">
        <v>1.487219127371606</v>
      </c>
      <c r="FB172" s="203"/>
      <c r="FC172" s="203"/>
      <c r="FD172" s="574"/>
    </row>
    <row r="173" spans="1:160">
      <c r="A173" s="203"/>
      <c r="B173" s="366" t="s">
        <v>142</v>
      </c>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336"/>
      <c r="AI173" s="336"/>
      <c r="AJ173" s="336"/>
      <c r="AK173" s="336">
        <f>AK170-AJ170</f>
        <v>980.89200000000005</v>
      </c>
      <c r="AL173" s="336">
        <f>AL170-AK170</f>
        <v>559.75399999999991</v>
      </c>
      <c r="AM173" s="336"/>
      <c r="AN173" s="336"/>
      <c r="AO173" s="336"/>
      <c r="AP173" s="336"/>
      <c r="AQ173" s="336"/>
      <c r="AR173" s="336"/>
      <c r="AS173" s="336"/>
      <c r="AT173" s="336"/>
      <c r="AU173" s="349">
        <f t="shared" ref="AU173:BL173" si="403">AU172-AT172</f>
        <v>-5.9979956776948569E-2</v>
      </c>
      <c r="AV173" s="349">
        <f t="shared" si="403"/>
        <v>0.46368616350284414</v>
      </c>
      <c r="AW173" s="349">
        <f t="shared" si="403"/>
        <v>-4.6421736968184135E-2</v>
      </c>
      <c r="AX173" s="349">
        <f t="shared" si="403"/>
        <v>5.390077834388729E-2</v>
      </c>
      <c r="AY173" s="349">
        <f t="shared" si="403"/>
        <v>-0.11389163843048516</v>
      </c>
      <c r="AZ173" s="349">
        <f t="shared" si="403"/>
        <v>0.15625725578063354</v>
      </c>
      <c r="BA173" s="349">
        <f t="shared" si="403"/>
        <v>-5.9585857571392953E-2</v>
      </c>
      <c r="BB173" s="349">
        <f t="shared" si="403"/>
        <v>-0.13153074042461016</v>
      </c>
      <c r="BC173" s="349">
        <f t="shared" si="403"/>
        <v>-8.2625474373305918E-2</v>
      </c>
      <c r="BD173" s="349">
        <f t="shared" si="403"/>
        <v>0.10608969908191646</v>
      </c>
      <c r="BE173" s="349">
        <f t="shared" si="403"/>
        <v>1.5963921120776103E-2</v>
      </c>
      <c r="BF173" s="349">
        <f t="shared" si="403"/>
        <v>2.2357124035289888E-2</v>
      </c>
      <c r="BG173" s="349">
        <f t="shared" si="403"/>
        <v>6.2511286907140917E-3</v>
      </c>
      <c r="BH173" s="349">
        <f t="shared" si="403"/>
        <v>0.22855434865399954</v>
      </c>
      <c r="BI173" s="349">
        <f t="shared" si="403"/>
        <v>0.18569909349376446</v>
      </c>
      <c r="BJ173" s="349">
        <f t="shared" si="403"/>
        <v>0.19984367067353626</v>
      </c>
      <c r="BK173" s="349">
        <f t="shared" si="403"/>
        <v>0.11620243379470785</v>
      </c>
      <c r="BL173" s="349">
        <f t="shared" si="403"/>
        <v>0.30690376363211369</v>
      </c>
      <c r="BM173" s="349">
        <f>BM172-BL172</f>
        <v>2.8416271725103082E-2</v>
      </c>
      <c r="BN173" s="349">
        <f t="shared" ref="BN173" si="404">BN172-BM172</f>
        <v>6.056462596937795E-2</v>
      </c>
      <c r="BO173" s="349">
        <f>BO172-BN172</f>
        <v>-0.10857560205573891</v>
      </c>
      <c r="BP173" s="349">
        <f>BP172-BO172</f>
        <v>0.14774386704480835</v>
      </c>
      <c r="BQ173" s="349">
        <f t="shared" ref="BQ173" si="405">BQ172-BP172</f>
        <v>-3.7246422954024805E-2</v>
      </c>
      <c r="BR173" s="349">
        <f t="shared" ref="BR173" ca="1" si="406">BR172-BQ172</f>
        <v>-6.708684071883475E-2</v>
      </c>
      <c r="BS173" s="349"/>
      <c r="BT173" s="349"/>
      <c r="BU173" s="349"/>
      <c r="BV173" s="349"/>
      <c r="BW173" s="203"/>
      <c r="BX173" s="203"/>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V173" s="203"/>
      <c r="DW173" s="203"/>
      <c r="DX173" s="203"/>
      <c r="DY173" s="203"/>
      <c r="DZ173" s="203"/>
      <c r="EA173" s="203"/>
      <c r="EB173" s="203"/>
      <c r="EX173" s="336"/>
      <c r="EY173" s="336"/>
      <c r="EZ173" s="336"/>
      <c r="FA173" s="579">
        <v>2.9932393948479463E-2</v>
      </c>
      <c r="FB173" s="203"/>
      <c r="FC173" s="203"/>
      <c r="FD173" s="574"/>
    </row>
    <row r="174" spans="1:160">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337"/>
      <c r="AH174" s="337"/>
      <c r="AI174" s="337"/>
      <c r="AJ174" s="337"/>
      <c r="AK174" s="337"/>
      <c r="AL174" s="337"/>
      <c r="AM174" s="337"/>
      <c r="AN174" s="337"/>
      <c r="AO174" s="337"/>
      <c r="AP174" s="337"/>
      <c r="AQ174" s="337"/>
      <c r="AR174" s="337"/>
      <c r="AS174" s="337"/>
      <c r="AT174" s="337"/>
      <c r="AU174" s="337"/>
      <c r="AV174" s="337"/>
      <c r="AW174" s="337"/>
      <c r="AX174" s="337"/>
      <c r="AY174" s="337"/>
      <c r="AZ174" s="336"/>
      <c r="BA174" s="336"/>
      <c r="BB174" s="336"/>
      <c r="BC174" s="336"/>
      <c r="BD174" s="336"/>
      <c r="BE174" s="336"/>
      <c r="BF174" s="336"/>
      <c r="BG174" s="336"/>
      <c r="BH174" s="336"/>
      <c r="BI174" s="336"/>
      <c r="BJ174" s="336"/>
      <c r="BK174" s="336"/>
      <c r="BL174" s="336"/>
      <c r="BM174" s="336"/>
      <c r="BN174" s="336"/>
      <c r="BO174" s="336"/>
      <c r="BP174" s="336"/>
      <c r="BQ174" s="336"/>
      <c r="BR174" s="336"/>
      <c r="BS174" s="336"/>
      <c r="BT174" s="336"/>
      <c r="BU174" s="336"/>
      <c r="BV174" s="336"/>
      <c r="BW174" s="203"/>
      <c r="BX174" s="203"/>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V174" s="203"/>
      <c r="DW174" s="203"/>
      <c r="DX174" s="203"/>
      <c r="DY174" s="203"/>
      <c r="DZ174" s="203"/>
      <c r="EA174" s="203"/>
      <c r="EB174" s="203"/>
      <c r="EX174" s="337"/>
      <c r="EY174" s="337"/>
      <c r="EZ174" s="336"/>
      <c r="FA174" s="577"/>
      <c r="FB174" s="203"/>
      <c r="FC174" s="203"/>
      <c r="FD174" s="574"/>
    </row>
    <row r="175" spans="1:160">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337"/>
      <c r="AH175" s="337"/>
      <c r="AI175" s="337"/>
      <c r="AJ175" s="337"/>
      <c r="AK175" s="337"/>
      <c r="AL175" s="337"/>
      <c r="AM175" s="337"/>
      <c r="AN175" s="337"/>
      <c r="AO175" s="337"/>
      <c r="AP175" s="337"/>
      <c r="AQ175" s="337"/>
      <c r="AR175" s="337"/>
      <c r="AS175" s="337"/>
      <c r="AT175" s="337"/>
      <c r="AU175" s="336"/>
      <c r="AV175" s="336"/>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6"/>
      <c r="BR175" s="336"/>
      <c r="BS175" s="336"/>
      <c r="BT175" s="336"/>
      <c r="BU175" s="336"/>
      <c r="BV175" s="336"/>
      <c r="BW175" s="203"/>
      <c r="BX175" s="203"/>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V175" s="203"/>
      <c r="DW175" s="203"/>
      <c r="DX175" s="203"/>
      <c r="DY175" s="203"/>
      <c r="DZ175" s="203"/>
      <c r="EA175" s="203"/>
      <c r="EB175" s="203"/>
      <c r="EX175" s="337"/>
      <c r="EY175" s="337"/>
      <c r="EZ175" s="336"/>
      <c r="FA175" s="577"/>
      <c r="FB175" s="203"/>
      <c r="FC175" s="203"/>
      <c r="FD175" s="574"/>
    </row>
    <row r="176" spans="1:160">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337"/>
      <c r="AH176" s="337"/>
      <c r="AI176" s="337"/>
      <c r="AJ176" s="337"/>
      <c r="AK176" s="337"/>
      <c r="AL176" s="337"/>
      <c r="AM176" s="337"/>
      <c r="AN176" s="337"/>
      <c r="AO176" s="337"/>
      <c r="AP176" s="337"/>
      <c r="AQ176" s="337"/>
      <c r="AR176" s="337"/>
      <c r="AS176" s="337"/>
      <c r="AT176" s="337"/>
      <c r="AU176" s="336"/>
      <c r="AV176" s="336"/>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6"/>
      <c r="BR176" s="336"/>
      <c r="BS176" s="336"/>
      <c r="BT176" s="336"/>
      <c r="BU176" s="336"/>
      <c r="BV176" s="336"/>
      <c r="BW176" s="203"/>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V176" s="203"/>
      <c r="DW176" s="203"/>
      <c r="DX176" s="203"/>
      <c r="DY176" s="203"/>
      <c r="DZ176" s="203"/>
      <c r="EA176" s="203"/>
      <c r="EB176" s="203"/>
      <c r="EX176" s="337"/>
      <c r="EY176" s="337"/>
      <c r="EZ176" s="336"/>
      <c r="FA176" s="577"/>
      <c r="FB176" s="203"/>
      <c r="FC176" s="203"/>
      <c r="FD176" s="574"/>
    </row>
    <row r="177" spans="1:160">
      <c r="A177" s="203"/>
      <c r="B177" s="203" t="s">
        <v>16</v>
      </c>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336">
        <f t="shared" ref="AQ177:BN177" si="407">AQ133</f>
        <v>2373.5349999999999</v>
      </c>
      <c r="AR177" s="336">
        <f t="shared" si="407"/>
        <v>2374.9679999999998</v>
      </c>
      <c r="AS177" s="336">
        <f t="shared" si="407"/>
        <v>2317.739</v>
      </c>
      <c r="AT177" s="336">
        <f t="shared" si="407"/>
        <v>2280.6999999999998</v>
      </c>
      <c r="AU177" s="336">
        <f t="shared" si="407"/>
        <v>2550.413</v>
      </c>
      <c r="AV177" s="336">
        <f t="shared" si="407"/>
        <v>2612.4380000000001</v>
      </c>
      <c r="AW177" s="336">
        <f t="shared" si="407"/>
        <v>2482.6999999999998</v>
      </c>
      <c r="AX177" s="336">
        <f t="shared" si="407"/>
        <v>2515.17</v>
      </c>
      <c r="AY177" s="336">
        <f t="shared" si="407"/>
        <v>2766.6370000000002</v>
      </c>
      <c r="AZ177" s="336">
        <f t="shared" si="407"/>
        <v>2720.0540000000001</v>
      </c>
      <c r="BA177" s="336">
        <f t="shared" si="407"/>
        <v>2783.3220000000001</v>
      </c>
      <c r="BB177" s="336">
        <f t="shared" si="407"/>
        <v>2767.2570000000001</v>
      </c>
      <c r="BC177" s="336">
        <f t="shared" si="407"/>
        <v>3002.9789999999998</v>
      </c>
      <c r="BD177" s="336">
        <f t="shared" si="407"/>
        <v>3011</v>
      </c>
      <c r="BE177" s="336">
        <f t="shared" si="407"/>
        <v>3015.6239999999998</v>
      </c>
      <c r="BF177" s="336">
        <f t="shared" si="407"/>
        <v>3087.174</v>
      </c>
      <c r="BG177" s="336">
        <f t="shared" si="407"/>
        <v>3228.4879999999998</v>
      </c>
      <c r="BH177" s="336">
        <f t="shared" si="407"/>
        <v>3257.6019999999999</v>
      </c>
      <c r="BI177" s="336">
        <f t="shared" si="407"/>
        <v>3168.0259999999998</v>
      </c>
      <c r="BJ177" s="336">
        <f t="shared" si="407"/>
        <v>3114.9029999999998</v>
      </c>
      <c r="BK177" s="336">
        <f t="shared" si="407"/>
        <v>3268.6950000000002</v>
      </c>
      <c r="BL177" s="336">
        <f t="shared" si="407"/>
        <v>3287.3739999999998</v>
      </c>
      <c r="BM177" s="336">
        <f t="shared" si="407"/>
        <v>3306.2489999999998</v>
      </c>
      <c r="BN177" s="336">
        <f t="shared" si="407"/>
        <v>3457.6759999999999</v>
      </c>
      <c r="BO177" s="336">
        <f t="shared" ref="BO177:BR177" si="408">BO133</f>
        <v>3680.6039999999998</v>
      </c>
      <c r="BP177" s="336">
        <f t="shared" si="408"/>
        <v>3715</v>
      </c>
      <c r="BQ177" s="336">
        <f t="shared" si="408"/>
        <v>3790</v>
      </c>
      <c r="BR177" s="336">
        <f t="shared" si="408"/>
        <v>3867.2285757335812</v>
      </c>
      <c r="BS177" s="336"/>
      <c r="BT177" s="336"/>
      <c r="BU177" s="336"/>
      <c r="BV177" s="336"/>
      <c r="BW177" s="203"/>
      <c r="BX177" s="203"/>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V177" s="203"/>
      <c r="DW177" s="203"/>
      <c r="DX177" s="203"/>
      <c r="DY177" s="203"/>
      <c r="DZ177" s="203"/>
      <c r="EA177" s="203"/>
      <c r="EB177" s="203"/>
      <c r="EX177" s="337"/>
      <c r="EY177" s="337"/>
      <c r="EZ177" s="336">
        <v>3369.51992552</v>
      </c>
      <c r="FA177" s="577">
        <v>3265.6787251928654</v>
      </c>
      <c r="FB177" s="203"/>
      <c r="FC177" s="203"/>
      <c r="FD177" s="574"/>
    </row>
    <row r="178" spans="1:160">
      <c r="A178" s="203"/>
      <c r="B178" s="203" t="s">
        <v>536</v>
      </c>
      <c r="C178" s="203"/>
      <c r="D178" s="203"/>
      <c r="E178" s="203"/>
      <c r="F178" s="203"/>
      <c r="G178" s="203"/>
      <c r="H178" s="203"/>
      <c r="I178" s="203"/>
      <c r="J178" s="203"/>
      <c r="K178" s="203"/>
      <c r="L178" s="203"/>
      <c r="M178" s="203"/>
      <c r="N178" s="203"/>
      <c r="O178" s="203"/>
      <c r="P178" s="203"/>
      <c r="Q178" s="203"/>
      <c r="R178" s="203"/>
      <c r="S178" s="203"/>
      <c r="T178" s="203"/>
      <c r="U178" s="203"/>
      <c r="V178" s="203"/>
      <c r="W178" s="203">
        <v>366.4</v>
      </c>
      <c r="X178" s="203">
        <v>379.5</v>
      </c>
      <c r="Y178" s="203">
        <v>391.2</v>
      </c>
      <c r="Z178" s="203">
        <v>409.7</v>
      </c>
      <c r="AA178" s="203">
        <v>414.2</v>
      </c>
      <c r="AB178" s="203">
        <v>437.2</v>
      </c>
      <c r="AC178" s="203">
        <v>424.6</v>
      </c>
      <c r="AD178" s="203">
        <v>455.8</v>
      </c>
      <c r="AE178" s="203">
        <v>409</v>
      </c>
      <c r="AF178" s="203">
        <v>459</v>
      </c>
      <c r="AG178" s="203">
        <v>504</v>
      </c>
      <c r="AH178" s="336">
        <v>580.452</v>
      </c>
      <c r="AI178" s="336">
        <v>477</v>
      </c>
      <c r="AJ178" s="336">
        <v>517.55499999999995</v>
      </c>
      <c r="AK178" s="336">
        <v>545.83900000000006</v>
      </c>
      <c r="AL178" s="336">
        <v>560</v>
      </c>
      <c r="AM178" s="336">
        <v>540.6</v>
      </c>
      <c r="AN178" s="336">
        <v>557.452</v>
      </c>
      <c r="AO178" s="336">
        <v>637.20000000000005</v>
      </c>
      <c r="AP178" s="336">
        <v>749.7</v>
      </c>
      <c r="AQ178" s="336">
        <f>1570-AR178</f>
        <v>778</v>
      </c>
      <c r="AR178" s="336">
        <v>792</v>
      </c>
      <c r="AS178" s="336">
        <v>800.30200000000002</v>
      </c>
      <c r="AT178" s="336">
        <v>917</v>
      </c>
      <c r="AU178" s="336">
        <f>1929.121-AV178</f>
        <v>954.93500000000006</v>
      </c>
      <c r="AV178" s="336">
        <v>974.18600000000004</v>
      </c>
      <c r="AW178" s="336">
        <v>1056.3050000000001</v>
      </c>
      <c r="AX178" s="336">
        <v>1129.6469999999999</v>
      </c>
      <c r="AY178" s="336">
        <v>1117.049</v>
      </c>
      <c r="AZ178" s="336">
        <f>3470.5-AY178-BA178</f>
        <v>1160.5509999999999</v>
      </c>
      <c r="BA178" s="336">
        <v>1192.9000000000001</v>
      </c>
      <c r="BB178" s="336">
        <v>1237</v>
      </c>
      <c r="BC178" s="336">
        <v>1261</v>
      </c>
      <c r="BD178" s="336">
        <v>1268</v>
      </c>
      <c r="BE178" s="336">
        <v>1424.576</v>
      </c>
      <c r="BF178" s="336">
        <v>1410.46</v>
      </c>
      <c r="BG178" s="343">
        <v>1439.7190000000001</v>
      </c>
      <c r="BH178" s="343">
        <v>1536.777</v>
      </c>
      <c r="BI178" s="343">
        <v>1593.904</v>
      </c>
      <c r="BJ178" s="343">
        <v>1669.818</v>
      </c>
      <c r="BK178" s="343">
        <v>1834.701</v>
      </c>
      <c r="BL178" s="343">
        <v>1611.501</v>
      </c>
      <c r="BM178" s="343">
        <v>1843.5060000000001</v>
      </c>
      <c r="BN178" s="343">
        <v>1909.5060000000001</v>
      </c>
      <c r="BO178" s="343">
        <v>1997.7360000000001</v>
      </c>
      <c r="BP178" s="352">
        <v>1955</v>
      </c>
      <c r="BQ178" s="352">
        <v>1955</v>
      </c>
      <c r="BR178" s="336">
        <f>Master!X19+Master!X20-BO178-BP178-BQ178</f>
        <v>2427.5806347226453</v>
      </c>
      <c r="BS178" s="336"/>
      <c r="BT178" s="336"/>
      <c r="BU178" s="336"/>
      <c r="BV178" s="336"/>
      <c r="BW178" s="203"/>
      <c r="BX178" s="203"/>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V178" s="203"/>
      <c r="DW178" s="203"/>
      <c r="DX178" s="203"/>
      <c r="DY178" s="203"/>
      <c r="DZ178" s="203"/>
      <c r="EA178" s="203"/>
      <c r="EB178" s="203"/>
      <c r="EX178" s="344">
        <v>1700</v>
      </c>
      <c r="EY178" s="344">
        <v>1850</v>
      </c>
      <c r="EZ178" s="344">
        <v>1700</v>
      </c>
      <c r="FA178" s="577">
        <v>1884.8940679353921</v>
      </c>
      <c r="FB178" s="203"/>
      <c r="FC178" s="203"/>
      <c r="FD178" s="574"/>
    </row>
    <row r="179" spans="1:160">
      <c r="A179" s="203"/>
      <c r="B179" s="437" t="s">
        <v>8</v>
      </c>
      <c r="C179" s="437"/>
      <c r="D179" s="437"/>
      <c r="E179" s="437"/>
      <c r="F179" s="437"/>
      <c r="G179" s="437"/>
      <c r="H179" s="437"/>
      <c r="I179" s="437"/>
      <c r="J179" s="437"/>
      <c r="K179" s="437"/>
      <c r="L179" s="437"/>
      <c r="M179" s="437"/>
      <c r="N179" s="437"/>
      <c r="O179" s="437"/>
      <c r="P179" s="437"/>
      <c r="Q179" s="437"/>
      <c r="R179" s="437"/>
      <c r="S179" s="437"/>
      <c r="T179" s="437"/>
      <c r="U179" s="437"/>
      <c r="V179" s="437"/>
      <c r="W179" s="437">
        <f t="shared" ref="W179:AP179" si="409">W126-W178</f>
        <v>669.6</v>
      </c>
      <c r="X179" s="437">
        <f t="shared" si="409"/>
        <v>682.5</v>
      </c>
      <c r="Y179" s="437">
        <f t="shared" si="409"/>
        <v>672.8</v>
      </c>
      <c r="Z179" s="437">
        <f t="shared" si="409"/>
        <v>778.3</v>
      </c>
      <c r="AA179" s="437">
        <f t="shared" si="409"/>
        <v>779.8</v>
      </c>
      <c r="AB179" s="437">
        <f t="shared" si="409"/>
        <v>757.8</v>
      </c>
      <c r="AC179" s="437">
        <f t="shared" si="409"/>
        <v>778.4</v>
      </c>
      <c r="AD179" s="437">
        <f t="shared" si="409"/>
        <v>794.2</v>
      </c>
      <c r="AE179" s="437">
        <f t="shared" si="409"/>
        <v>1055</v>
      </c>
      <c r="AF179" s="438">
        <f t="shared" si="409"/>
        <v>927.89200000000005</v>
      </c>
      <c r="AG179" s="438">
        <f t="shared" si="409"/>
        <v>891.3</v>
      </c>
      <c r="AH179" s="438">
        <f t="shared" si="409"/>
        <v>1016.617</v>
      </c>
      <c r="AI179" s="438">
        <f t="shared" si="409"/>
        <v>1291.4000000000001</v>
      </c>
      <c r="AJ179" s="438">
        <f t="shared" si="409"/>
        <v>1185.473</v>
      </c>
      <c r="AK179" s="438">
        <f t="shared" si="409"/>
        <v>1054.8609999999999</v>
      </c>
      <c r="AL179" s="438">
        <f t="shared" si="409"/>
        <v>1282.5309999999999</v>
      </c>
      <c r="AM179" s="438">
        <f t="shared" si="409"/>
        <v>1330.9009999999998</v>
      </c>
      <c r="AN179" s="438">
        <f t="shared" si="409"/>
        <v>1309.232</v>
      </c>
      <c r="AO179" s="438">
        <f t="shared" si="409"/>
        <v>1300.902</v>
      </c>
      <c r="AP179" s="438">
        <f t="shared" si="409"/>
        <v>1289.2429999999999</v>
      </c>
      <c r="AQ179" s="438">
        <f>AQ177-AQ178</f>
        <v>1595.5349999999999</v>
      </c>
      <c r="AR179" s="438">
        <f t="shared" ref="AR179:BR179" si="410">AR177-AR178</f>
        <v>1582.9679999999998</v>
      </c>
      <c r="AS179" s="438">
        <f t="shared" si="410"/>
        <v>1517.4369999999999</v>
      </c>
      <c r="AT179" s="438">
        <f t="shared" si="410"/>
        <v>1363.6999999999998</v>
      </c>
      <c r="AU179" s="438">
        <f t="shared" si="410"/>
        <v>1595.4780000000001</v>
      </c>
      <c r="AV179" s="438">
        <f t="shared" si="410"/>
        <v>1638.252</v>
      </c>
      <c r="AW179" s="438">
        <f t="shared" si="410"/>
        <v>1426.3949999999998</v>
      </c>
      <c r="AX179" s="438">
        <f t="shared" si="410"/>
        <v>1385.5230000000001</v>
      </c>
      <c r="AY179" s="438">
        <f t="shared" si="410"/>
        <v>1649.5880000000002</v>
      </c>
      <c r="AZ179" s="438">
        <f t="shared" si="410"/>
        <v>1559.5030000000002</v>
      </c>
      <c r="BA179" s="438">
        <f t="shared" si="410"/>
        <v>1590.422</v>
      </c>
      <c r="BB179" s="438">
        <f t="shared" si="410"/>
        <v>1530.2570000000001</v>
      </c>
      <c r="BC179" s="438">
        <f t="shared" si="410"/>
        <v>1741.9789999999998</v>
      </c>
      <c r="BD179" s="438">
        <f t="shared" si="410"/>
        <v>1743</v>
      </c>
      <c r="BE179" s="438">
        <f t="shared" si="410"/>
        <v>1591.0479999999998</v>
      </c>
      <c r="BF179" s="438">
        <f t="shared" si="410"/>
        <v>1676.7139999999999</v>
      </c>
      <c r="BG179" s="438">
        <f t="shared" si="410"/>
        <v>1788.7689999999998</v>
      </c>
      <c r="BH179" s="438">
        <f t="shared" si="410"/>
        <v>1720.8249999999998</v>
      </c>
      <c r="BI179" s="438">
        <f t="shared" si="410"/>
        <v>1574.1219999999998</v>
      </c>
      <c r="BJ179" s="438">
        <f t="shared" si="410"/>
        <v>1445.0849999999998</v>
      </c>
      <c r="BK179" s="438">
        <f t="shared" si="410"/>
        <v>1433.9940000000001</v>
      </c>
      <c r="BL179" s="438">
        <f t="shared" si="410"/>
        <v>1675.8729999999998</v>
      </c>
      <c r="BM179" s="438">
        <f t="shared" si="410"/>
        <v>1462.7429999999997</v>
      </c>
      <c r="BN179" s="438">
        <f t="shared" si="410"/>
        <v>1548.1699999999998</v>
      </c>
      <c r="BO179" s="438">
        <f t="shared" si="410"/>
        <v>1682.8679999999997</v>
      </c>
      <c r="BP179" s="438">
        <f t="shared" si="410"/>
        <v>1760</v>
      </c>
      <c r="BQ179" s="438">
        <f t="shared" si="410"/>
        <v>1835</v>
      </c>
      <c r="BR179" s="438">
        <f t="shared" si="410"/>
        <v>1439.6479410109359</v>
      </c>
      <c r="BS179" s="336"/>
      <c r="BT179" s="336"/>
      <c r="BU179" s="336"/>
      <c r="BV179" s="336"/>
      <c r="BW179" s="203"/>
      <c r="BX179" s="203"/>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V179" s="203"/>
      <c r="DW179" s="203"/>
      <c r="DX179" s="203"/>
      <c r="DY179" s="203"/>
      <c r="DZ179" s="203"/>
      <c r="EA179" s="203"/>
      <c r="EB179" s="203"/>
      <c r="EX179" s="336">
        <v>1442.9322608999996</v>
      </c>
      <c r="EY179" s="336">
        <v>1384.6959043949996</v>
      </c>
      <c r="EZ179" s="438">
        <v>1669.51992552</v>
      </c>
      <c r="FA179" s="595">
        <v>1380.7846572574733</v>
      </c>
      <c r="FB179" s="203"/>
      <c r="FC179" s="203"/>
      <c r="FD179" s="574"/>
    </row>
    <row r="180" spans="1:160">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337"/>
      <c r="BG180" s="337"/>
      <c r="BH180" s="337"/>
      <c r="BI180" s="337"/>
      <c r="BJ180" s="337"/>
      <c r="BK180" s="337"/>
      <c r="BL180" s="337"/>
      <c r="BM180" s="203"/>
      <c r="BN180" s="203"/>
      <c r="BO180" s="203"/>
      <c r="BP180" s="203"/>
      <c r="BQ180" s="203"/>
      <c r="BR180" s="203"/>
      <c r="BS180" s="203"/>
      <c r="BT180" s="203"/>
      <c r="BU180" s="203"/>
      <c r="BV180" s="203"/>
      <c r="BW180" s="203"/>
      <c r="BX180" s="203"/>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V180" s="203"/>
      <c r="DW180" s="203"/>
      <c r="DX180" s="203"/>
      <c r="DY180" s="203"/>
      <c r="DZ180" s="203"/>
      <c r="EA180" s="203"/>
      <c r="EB180" s="203"/>
      <c r="EX180" s="203"/>
      <c r="EY180" s="203"/>
      <c r="EZ180" s="203"/>
      <c r="FA180" s="574"/>
      <c r="FB180" s="203"/>
      <c r="FC180" s="203"/>
      <c r="FD180" s="574"/>
    </row>
    <row r="181" spans="1:160">
      <c r="A181" s="203"/>
      <c r="B181" s="203" t="s">
        <v>11</v>
      </c>
      <c r="C181" s="203"/>
      <c r="D181" s="203"/>
      <c r="E181" s="203"/>
      <c r="F181" s="203"/>
      <c r="G181" s="203"/>
      <c r="H181" s="203"/>
      <c r="I181" s="203"/>
      <c r="J181" s="203"/>
      <c r="K181" s="203"/>
      <c r="L181" s="203"/>
      <c r="M181" s="203"/>
      <c r="N181" s="203"/>
      <c r="O181" s="203"/>
      <c r="P181" s="203"/>
      <c r="Q181" s="203"/>
      <c r="R181" s="203"/>
      <c r="S181" s="203"/>
      <c r="T181" s="203"/>
      <c r="U181" s="203"/>
      <c r="V181" s="203"/>
      <c r="W181" s="203">
        <v>9.6999999999999993</v>
      </c>
      <c r="X181" s="203">
        <v>22.8</v>
      </c>
      <c r="Y181" s="203">
        <v>31</v>
      </c>
      <c r="Z181" s="203">
        <v>47</v>
      </c>
      <c r="AA181" s="203">
        <v>15</v>
      </c>
      <c r="AB181" s="203">
        <v>53.3</v>
      </c>
      <c r="AC181" s="203">
        <v>7.9</v>
      </c>
      <c r="AD181" s="203">
        <v>-28</v>
      </c>
      <c r="AE181" s="336">
        <v>55.9</v>
      </c>
      <c r="AF181" s="336">
        <v>67</v>
      </c>
      <c r="AG181" s="336">
        <v>105.9</v>
      </c>
      <c r="AH181" s="336">
        <v>82.6</v>
      </c>
      <c r="AI181" s="336">
        <v>19</v>
      </c>
      <c r="AJ181" s="336">
        <v>8.5399999999999991</v>
      </c>
      <c r="AK181" s="336">
        <v>9</v>
      </c>
      <c r="AL181" s="336">
        <v>9.8000000000000007</v>
      </c>
      <c r="AM181" s="336">
        <v>13.3</v>
      </c>
      <c r="AN181" s="336">
        <v>22.091000000000001</v>
      </c>
      <c r="AO181" s="336">
        <v>25.8</v>
      </c>
      <c r="AP181" s="336">
        <v>33.5</v>
      </c>
      <c r="AQ181" s="336">
        <v>17.5</v>
      </c>
      <c r="AR181" s="336">
        <f>2.2+99</f>
        <v>101.2</v>
      </c>
      <c r="AS181" s="336">
        <v>10</v>
      </c>
      <c r="AT181" s="336">
        <v>18</v>
      </c>
      <c r="AU181" s="336">
        <f>4.637-2.998</f>
        <v>1.6389999999999993</v>
      </c>
      <c r="AV181" s="336">
        <f>2.998+79</f>
        <v>81.998000000000005</v>
      </c>
      <c r="AW181" s="336">
        <v>20.9</v>
      </c>
      <c r="AX181" s="336">
        <v>22.120999999999999</v>
      </c>
      <c r="AY181" s="336">
        <v>8.7609999999999992</v>
      </c>
      <c r="AZ181" s="336">
        <f>60.1-AY181-BA181</f>
        <v>31.727999999999998</v>
      </c>
      <c r="BA181" s="336">
        <f>23.437-3.826</f>
        <v>19.611000000000001</v>
      </c>
      <c r="BB181" s="336">
        <v>28</v>
      </c>
      <c r="BC181" s="336">
        <v>12</v>
      </c>
      <c r="BD181" s="336">
        <v>16</v>
      </c>
      <c r="BE181" s="336">
        <f>16.454-4.836</f>
        <v>11.618</v>
      </c>
      <c r="BF181" s="336">
        <v>-0.48</v>
      </c>
      <c r="BG181" s="343">
        <f>-24.164</f>
        <v>-24.164000000000001</v>
      </c>
      <c r="BH181" s="343">
        <v>2.1000000000000001E-2</v>
      </c>
      <c r="BI181" s="343">
        <v>70.132000000000005</v>
      </c>
      <c r="BJ181" s="343">
        <v>-29.314</v>
      </c>
      <c r="BK181" s="343">
        <v>13.795999999999999</v>
      </c>
      <c r="BL181" s="343">
        <v>93.65</v>
      </c>
      <c r="BM181" s="343">
        <v>19.396999999999998</v>
      </c>
      <c r="BN181" s="343">
        <v>24.978000000000002</v>
      </c>
      <c r="BO181" s="343">
        <v>20.238</v>
      </c>
      <c r="BP181" s="352">
        <v>0</v>
      </c>
      <c r="BQ181" s="352">
        <v>0</v>
      </c>
      <c r="BR181" s="336">
        <f>Master!X26-BQ181-BP181-BO181</f>
        <v>-20.238</v>
      </c>
      <c r="BS181" s="336"/>
      <c r="BT181" s="336"/>
      <c r="BU181" s="336"/>
      <c r="BV181" s="336"/>
      <c r="BW181" s="203"/>
      <c r="BX181" s="203"/>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V181" s="203"/>
      <c r="DW181" s="203"/>
      <c r="DX181" s="203"/>
      <c r="DY181" s="203"/>
      <c r="DZ181" s="203"/>
      <c r="EA181" s="203"/>
      <c r="EB181" s="203"/>
      <c r="EX181" s="344">
        <v>0</v>
      </c>
      <c r="EY181" s="344">
        <v>0</v>
      </c>
      <c r="EZ181" s="344">
        <v>0</v>
      </c>
      <c r="FA181" s="577">
        <v>23.157000000000004</v>
      </c>
      <c r="FB181" s="203"/>
      <c r="FC181" s="203"/>
      <c r="FD181" s="574"/>
    </row>
    <row r="182" spans="1:160">
      <c r="A182" s="203"/>
      <c r="B182" s="203" t="s">
        <v>538</v>
      </c>
      <c r="C182" s="203"/>
      <c r="D182" s="203"/>
      <c r="E182" s="203"/>
      <c r="F182" s="203"/>
      <c r="G182" s="203"/>
      <c r="H182" s="203"/>
      <c r="I182" s="203"/>
      <c r="J182" s="203"/>
      <c r="K182" s="203"/>
      <c r="L182" s="203"/>
      <c r="M182" s="203"/>
      <c r="N182" s="203"/>
      <c r="O182" s="203"/>
      <c r="P182" s="203"/>
      <c r="Q182" s="203"/>
      <c r="R182" s="203"/>
      <c r="S182" s="203"/>
      <c r="T182" s="203"/>
      <c r="U182" s="203"/>
      <c r="V182" s="203"/>
      <c r="W182" s="203">
        <v>-2.6</v>
      </c>
      <c r="X182" s="203">
        <v>19.8</v>
      </c>
      <c r="Y182" s="203">
        <v>-21.4</v>
      </c>
      <c r="Z182" s="203">
        <v>-28.9</v>
      </c>
      <c r="AA182" s="203">
        <v>-7.8</v>
      </c>
      <c r="AB182" s="203">
        <v>-10.6</v>
      </c>
      <c r="AC182" s="203">
        <v>-1.9</v>
      </c>
      <c r="AD182" s="203">
        <v>57.2</v>
      </c>
      <c r="AE182" s="203">
        <v>29</v>
      </c>
      <c r="AF182" s="203">
        <v>1.1910000000000001</v>
      </c>
      <c r="AG182" s="203">
        <v>53.6</v>
      </c>
      <c r="AH182" s="336">
        <v>-3.0579999999999998</v>
      </c>
      <c r="AI182" s="336">
        <v>-69</v>
      </c>
      <c r="AJ182" s="336">
        <v>113.062</v>
      </c>
      <c r="AK182" s="336">
        <v>24.6</v>
      </c>
      <c r="AL182" s="336">
        <v>44</v>
      </c>
      <c r="AM182" s="336">
        <v>-47.1</v>
      </c>
      <c r="AN182" s="336">
        <v>39.984000000000002</v>
      </c>
      <c r="AO182" s="336">
        <v>23.2</v>
      </c>
      <c r="AP182" s="336">
        <v>-18.5</v>
      </c>
      <c r="AQ182" s="336">
        <v>69</v>
      </c>
      <c r="AR182" s="336">
        <v>-43</v>
      </c>
      <c r="AS182" s="336">
        <v>46</v>
      </c>
      <c r="AT182" s="336">
        <v>12</v>
      </c>
      <c r="AU182" s="336">
        <f>79.028-AV182</f>
        <v>26.048000000000009</v>
      </c>
      <c r="AV182" s="336">
        <v>52.98</v>
      </c>
      <c r="AW182" s="336">
        <v>156.19900000000001</v>
      </c>
      <c r="AX182" s="336">
        <v>177.29599999999999</v>
      </c>
      <c r="AY182" s="336">
        <v>-135.49299999999999</v>
      </c>
      <c r="AZ182" s="336">
        <f>192.3-BA182-AY182</f>
        <v>172.00300000000001</v>
      </c>
      <c r="BA182" s="336">
        <v>155.79</v>
      </c>
      <c r="BB182" s="336">
        <v>264</v>
      </c>
      <c r="BC182" s="336">
        <v>196</v>
      </c>
      <c r="BD182" s="336">
        <v>129</v>
      </c>
      <c r="BE182" s="336">
        <v>285.05100000000004</v>
      </c>
      <c r="BF182" s="336">
        <v>86.03</v>
      </c>
      <c r="BG182" s="343">
        <f>177.315-44.008-45.269</f>
        <v>88.037999999999982</v>
      </c>
      <c r="BH182" s="343">
        <v>129.08600000000001</v>
      </c>
      <c r="BI182" s="343">
        <v>416.762</v>
      </c>
      <c r="BJ182" s="343">
        <v>561.65</v>
      </c>
      <c r="BK182" s="343">
        <v>239.06299999999999</v>
      </c>
      <c r="BL182" s="343">
        <v>452.85700000000003</v>
      </c>
      <c r="BM182" s="343">
        <v>653.94100000000003</v>
      </c>
      <c r="BN182" s="343">
        <v>588.45899999999995</v>
      </c>
      <c r="BO182" s="343">
        <v>538.78899999999999</v>
      </c>
      <c r="BP182" s="352">
        <v>720</v>
      </c>
      <c r="BQ182" s="352">
        <v>700</v>
      </c>
      <c r="BR182" s="336">
        <f ca="1">-Master!X24-BQ182-BP182-BO182</f>
        <v>-31.68679055258076</v>
      </c>
      <c r="BS182" s="336"/>
      <c r="BT182" s="336">
        <f>8000*10%</f>
        <v>800</v>
      </c>
      <c r="BU182" s="336"/>
      <c r="BV182" s="336"/>
      <c r="BW182" s="203"/>
      <c r="BX182" s="203"/>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V182" s="203"/>
      <c r="DW182" s="203"/>
      <c r="DX182" s="203"/>
      <c r="DY182" s="203"/>
      <c r="DZ182" s="203"/>
      <c r="EA182" s="203"/>
      <c r="EB182" s="203"/>
      <c r="EX182" s="344">
        <v>575</v>
      </c>
      <c r="EY182" s="344">
        <v>300</v>
      </c>
      <c r="EZ182" s="344">
        <v>500</v>
      </c>
      <c r="FA182" s="577">
        <v>558.60257845391732</v>
      </c>
      <c r="FB182" s="203"/>
      <c r="FC182" s="203"/>
      <c r="FD182" s="574"/>
    </row>
    <row r="183" spans="1:160">
      <c r="A183" s="203"/>
      <c r="B183" s="203" t="s">
        <v>540</v>
      </c>
      <c r="C183" s="203"/>
      <c r="D183" s="203"/>
      <c r="E183" s="203"/>
      <c r="F183" s="203"/>
      <c r="G183" s="203"/>
      <c r="H183" s="203"/>
      <c r="I183" s="203"/>
      <c r="J183" s="203"/>
      <c r="K183" s="203"/>
      <c r="L183" s="203"/>
      <c r="M183" s="203"/>
      <c r="N183" s="203"/>
      <c r="O183" s="203"/>
      <c r="P183" s="203"/>
      <c r="Q183" s="203"/>
      <c r="R183" s="203"/>
      <c r="S183" s="203"/>
      <c r="T183" s="203"/>
      <c r="U183" s="203"/>
      <c r="V183" s="203"/>
      <c r="W183" s="203">
        <v>14.3</v>
      </c>
      <c r="X183" s="203">
        <v>6.1</v>
      </c>
      <c r="Y183" s="203">
        <v>-2.5</v>
      </c>
      <c r="Z183" s="203">
        <v>-3</v>
      </c>
      <c r="AA183" s="203">
        <v>7.6</v>
      </c>
      <c r="AB183" s="203">
        <v>-3.5</v>
      </c>
      <c r="AC183" s="203">
        <v>-0.7</v>
      </c>
      <c r="AD183" s="203">
        <v>0</v>
      </c>
      <c r="AE183" s="203">
        <v>0</v>
      </c>
      <c r="AF183" s="203">
        <v>0</v>
      </c>
      <c r="AG183" s="203">
        <v>0</v>
      </c>
      <c r="AH183" s="203">
        <v>0</v>
      </c>
      <c r="AI183" s="203">
        <v>0</v>
      </c>
      <c r="AJ183" s="203">
        <v>0</v>
      </c>
      <c r="AK183" s="203">
        <v>0</v>
      </c>
      <c r="AL183" s="203">
        <v>0</v>
      </c>
      <c r="AM183" s="203">
        <v>0</v>
      </c>
      <c r="AN183" s="203">
        <v>0</v>
      </c>
      <c r="AO183" s="203">
        <v>0</v>
      </c>
      <c r="AP183" s="203">
        <v>0</v>
      </c>
      <c r="AQ183" s="203">
        <v>0</v>
      </c>
      <c r="AR183" s="203">
        <v>0</v>
      </c>
      <c r="AS183" s="203">
        <v>0</v>
      </c>
      <c r="AT183" s="203">
        <v>0</v>
      </c>
      <c r="AU183" s="203">
        <v>0</v>
      </c>
      <c r="AV183" s="203">
        <v>0</v>
      </c>
      <c r="AW183" s="203">
        <v>0</v>
      </c>
      <c r="AX183" s="203">
        <v>0</v>
      </c>
      <c r="AY183" s="203">
        <v>0</v>
      </c>
      <c r="AZ183" s="203">
        <v>0</v>
      </c>
      <c r="BA183" s="203">
        <v>0</v>
      </c>
      <c r="BB183" s="203">
        <v>0</v>
      </c>
      <c r="BC183" s="203">
        <v>0</v>
      </c>
      <c r="BD183" s="203">
        <v>0</v>
      </c>
      <c r="BE183" s="203">
        <v>0</v>
      </c>
      <c r="BF183" s="203">
        <v>0</v>
      </c>
      <c r="BG183" s="351">
        <v>0</v>
      </c>
      <c r="BH183" s="351">
        <v>0</v>
      </c>
      <c r="BI183" s="351">
        <v>0</v>
      </c>
      <c r="BJ183" s="351">
        <v>0</v>
      </c>
      <c r="BK183" s="351">
        <v>0</v>
      </c>
      <c r="BL183" s="351">
        <v>0</v>
      </c>
      <c r="BM183" s="351">
        <v>0</v>
      </c>
      <c r="BN183" s="351">
        <v>0</v>
      </c>
      <c r="BO183" s="351">
        <v>0</v>
      </c>
      <c r="BP183" s="344">
        <v>0</v>
      </c>
      <c r="BQ183" s="344">
        <v>0</v>
      </c>
      <c r="BR183" s="336">
        <f>Master!X27-BQ183-BP183-BO183</f>
        <v>0</v>
      </c>
      <c r="BS183" s="336"/>
      <c r="BT183" s="336">
        <f>BT182/4</f>
        <v>200</v>
      </c>
      <c r="BU183" s="336"/>
      <c r="BV183" s="336"/>
      <c r="BW183" s="203"/>
      <c r="BX183" s="203"/>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V183" s="203"/>
      <c r="DW183" s="203"/>
      <c r="DX183" s="203"/>
      <c r="DY183" s="203"/>
      <c r="DZ183" s="203"/>
      <c r="EA183" s="203"/>
      <c r="EB183" s="203"/>
      <c r="EX183" s="344">
        <v>0</v>
      </c>
      <c r="EY183" s="344">
        <v>0</v>
      </c>
      <c r="EZ183" s="344">
        <v>0</v>
      </c>
      <c r="FA183" s="577">
        <v>0</v>
      </c>
      <c r="FB183" s="203"/>
      <c r="FC183" s="203"/>
      <c r="FD183" s="574"/>
    </row>
    <row r="184" spans="1:160">
      <c r="A184" s="203"/>
      <c r="B184" s="437" t="s">
        <v>13</v>
      </c>
      <c r="C184" s="437"/>
      <c r="D184" s="437"/>
      <c r="E184" s="437"/>
      <c r="F184" s="437"/>
      <c r="G184" s="437"/>
      <c r="H184" s="437"/>
      <c r="I184" s="437"/>
      <c r="J184" s="437"/>
      <c r="K184" s="437"/>
      <c r="L184" s="437"/>
      <c r="M184" s="437"/>
      <c r="N184" s="437"/>
      <c r="O184" s="437"/>
      <c r="P184" s="437"/>
      <c r="Q184" s="437"/>
      <c r="R184" s="437"/>
      <c r="S184" s="437"/>
      <c r="T184" s="437"/>
      <c r="U184" s="437"/>
      <c r="V184" s="437"/>
      <c r="W184" s="437">
        <f t="shared" ref="W184:AY184" si="411">W179+W181-W182+W183</f>
        <v>696.2</v>
      </c>
      <c r="X184" s="438">
        <f t="shared" si="411"/>
        <v>691.6</v>
      </c>
      <c r="Y184" s="438">
        <f t="shared" si="411"/>
        <v>722.69999999999993</v>
      </c>
      <c r="Z184" s="438">
        <f t="shared" si="411"/>
        <v>851.19999999999993</v>
      </c>
      <c r="AA184" s="438">
        <f t="shared" si="411"/>
        <v>810.19999999999993</v>
      </c>
      <c r="AB184" s="438">
        <f t="shared" si="411"/>
        <v>818.19999999999993</v>
      </c>
      <c r="AC184" s="438">
        <f t="shared" si="411"/>
        <v>787.49999999999989</v>
      </c>
      <c r="AD184" s="437">
        <f t="shared" si="411"/>
        <v>709</v>
      </c>
      <c r="AE184" s="438">
        <f t="shared" si="411"/>
        <v>1081.9000000000001</v>
      </c>
      <c r="AF184" s="438">
        <f t="shared" si="411"/>
        <v>993.70100000000002</v>
      </c>
      <c r="AG184" s="438">
        <f t="shared" si="411"/>
        <v>943.59999999999991</v>
      </c>
      <c r="AH184" s="438">
        <f t="shared" si="411"/>
        <v>1102.2749999999999</v>
      </c>
      <c r="AI184" s="438">
        <f t="shared" si="411"/>
        <v>1379.4</v>
      </c>
      <c r="AJ184" s="438">
        <f t="shared" si="411"/>
        <v>1080.951</v>
      </c>
      <c r="AK184" s="438">
        <f t="shared" si="411"/>
        <v>1039.261</v>
      </c>
      <c r="AL184" s="438">
        <f t="shared" si="411"/>
        <v>1248.3309999999999</v>
      </c>
      <c r="AM184" s="438">
        <f t="shared" si="411"/>
        <v>1391.3009999999997</v>
      </c>
      <c r="AN184" s="438">
        <f t="shared" si="411"/>
        <v>1291.3389999999999</v>
      </c>
      <c r="AO184" s="438">
        <f t="shared" si="411"/>
        <v>1303.502</v>
      </c>
      <c r="AP184" s="438">
        <f t="shared" si="411"/>
        <v>1341.2429999999999</v>
      </c>
      <c r="AQ184" s="438">
        <f t="shared" si="411"/>
        <v>1544.0349999999999</v>
      </c>
      <c r="AR184" s="438">
        <f t="shared" si="411"/>
        <v>1727.1679999999999</v>
      </c>
      <c r="AS184" s="438">
        <f t="shared" si="411"/>
        <v>1481.4369999999999</v>
      </c>
      <c r="AT184" s="438">
        <f t="shared" si="411"/>
        <v>1369.6999999999998</v>
      </c>
      <c r="AU184" s="438">
        <f t="shared" si="411"/>
        <v>1571.069</v>
      </c>
      <c r="AV184" s="438">
        <f t="shared" si="411"/>
        <v>1667.27</v>
      </c>
      <c r="AW184" s="438">
        <f t="shared" si="411"/>
        <v>1291.0959999999998</v>
      </c>
      <c r="AX184" s="438">
        <f t="shared" si="411"/>
        <v>1230.3480000000002</v>
      </c>
      <c r="AY184" s="438">
        <f t="shared" si="411"/>
        <v>1793.8420000000001</v>
      </c>
      <c r="AZ184" s="438">
        <v>1420</v>
      </c>
      <c r="BA184" s="438">
        <f t="shared" ref="BA184:BH184" si="412">BA179+BA181-BA182+BA183</f>
        <v>1454.2430000000002</v>
      </c>
      <c r="BB184" s="438">
        <f t="shared" si="412"/>
        <v>1294.2570000000001</v>
      </c>
      <c r="BC184" s="438">
        <f t="shared" si="412"/>
        <v>1557.9789999999998</v>
      </c>
      <c r="BD184" s="438">
        <f t="shared" si="412"/>
        <v>1630</v>
      </c>
      <c r="BE184" s="438">
        <f t="shared" si="412"/>
        <v>1317.6149999999998</v>
      </c>
      <c r="BF184" s="438">
        <f t="shared" si="412"/>
        <v>1590.204</v>
      </c>
      <c r="BG184" s="438">
        <f t="shared" si="412"/>
        <v>1676.5669999999998</v>
      </c>
      <c r="BH184" s="438">
        <f t="shared" si="412"/>
        <v>1591.7599999999998</v>
      </c>
      <c r="BI184" s="438">
        <f t="shared" ref="BI184:BL184" si="413">BI179+BI181-BI182+BI183</f>
        <v>1227.492</v>
      </c>
      <c r="BJ184" s="438">
        <f t="shared" si="413"/>
        <v>854.12099999999975</v>
      </c>
      <c r="BK184" s="438">
        <f t="shared" si="413"/>
        <v>1208.7270000000003</v>
      </c>
      <c r="BL184" s="438">
        <f t="shared" si="413"/>
        <v>1316.6659999999999</v>
      </c>
      <c r="BM184" s="438">
        <f t="shared" ref="BM184:BN184" si="414">BM179+BM181-BM182+BM183</f>
        <v>828.19899999999961</v>
      </c>
      <c r="BN184" s="438">
        <f t="shared" si="414"/>
        <v>984.68899999999996</v>
      </c>
      <c r="BO184" s="438">
        <f t="shared" ref="BO184:BR184" si="415">BO179+BO181-BO182+BO183</f>
        <v>1164.3169999999998</v>
      </c>
      <c r="BP184" s="438">
        <f t="shared" si="415"/>
        <v>1040</v>
      </c>
      <c r="BQ184" s="438">
        <f t="shared" si="415"/>
        <v>1135</v>
      </c>
      <c r="BR184" s="438">
        <f t="shared" ca="1" si="415"/>
        <v>1451.0967315635166</v>
      </c>
      <c r="BS184" s="336"/>
      <c r="BT184" s="336"/>
      <c r="BU184" s="336"/>
      <c r="BV184" s="336"/>
      <c r="BW184" s="203"/>
      <c r="BX184" s="203"/>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V184" s="203"/>
      <c r="DW184" s="203"/>
      <c r="DX184" s="203"/>
      <c r="DY184" s="203"/>
      <c r="DZ184" s="203"/>
      <c r="EA184" s="203"/>
      <c r="EB184" s="203"/>
      <c r="EX184" s="336">
        <v>2017.9322608999996</v>
      </c>
      <c r="EY184" s="336">
        <v>1684.6959043949996</v>
      </c>
      <c r="EZ184" s="438">
        <v>1169.51992552</v>
      </c>
      <c r="FA184" s="595">
        <v>845.33907880355594</v>
      </c>
      <c r="FB184" s="203"/>
      <c r="FC184" s="203"/>
      <c r="FD184" s="574"/>
    </row>
    <row r="185" spans="1:160">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337"/>
      <c r="BG185" s="337"/>
      <c r="BH185" s="337"/>
      <c r="BI185" s="337"/>
      <c r="BJ185" s="337"/>
      <c r="BK185" s="337"/>
      <c r="BL185" s="337"/>
      <c r="BM185" s="203"/>
      <c r="BN185" s="203"/>
      <c r="BO185" s="337"/>
      <c r="BP185" s="337"/>
      <c r="BQ185" s="337"/>
      <c r="BR185" s="337"/>
      <c r="BS185" s="337"/>
      <c r="BT185" s="337"/>
      <c r="BU185" s="337"/>
      <c r="BV185" s="337"/>
      <c r="BW185" s="203"/>
      <c r="BX185" s="203"/>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V185" s="203"/>
      <c r="DW185" s="203"/>
      <c r="DX185" s="203"/>
      <c r="DY185" s="203"/>
      <c r="DZ185" s="203"/>
      <c r="EA185" s="203"/>
      <c r="EB185" s="203"/>
      <c r="EX185" s="203"/>
      <c r="EY185" s="203"/>
      <c r="EZ185" s="203"/>
      <c r="FA185" s="576"/>
      <c r="FB185" s="203"/>
      <c r="FC185" s="203"/>
      <c r="FD185" s="574"/>
    </row>
    <row r="186" spans="1:160">
      <c r="A186" s="203"/>
      <c r="B186" s="203" t="s">
        <v>539</v>
      </c>
      <c r="C186" s="203"/>
      <c r="D186" s="203"/>
      <c r="E186" s="203"/>
      <c r="F186" s="203"/>
      <c r="G186" s="203"/>
      <c r="H186" s="203"/>
      <c r="I186" s="203"/>
      <c r="J186" s="203"/>
      <c r="K186" s="203"/>
      <c r="L186" s="203"/>
      <c r="M186" s="203"/>
      <c r="N186" s="203"/>
      <c r="O186" s="203"/>
      <c r="P186" s="203"/>
      <c r="Q186" s="203"/>
      <c r="R186" s="203"/>
      <c r="S186" s="203"/>
      <c r="T186" s="203"/>
      <c r="U186" s="203"/>
      <c r="V186" s="203"/>
      <c r="W186" s="203">
        <v>145</v>
      </c>
      <c r="X186" s="203">
        <v>139.9</v>
      </c>
      <c r="Y186" s="203">
        <v>149</v>
      </c>
      <c r="Z186" s="203">
        <v>456</v>
      </c>
      <c r="AA186" s="203">
        <v>202.7</v>
      </c>
      <c r="AB186" s="203">
        <v>200.1</v>
      </c>
      <c r="AC186" s="203">
        <v>186.7</v>
      </c>
      <c r="AD186" s="203">
        <v>196</v>
      </c>
      <c r="AE186" s="203">
        <v>273</v>
      </c>
      <c r="AF186" s="203">
        <v>266</v>
      </c>
      <c r="AG186" s="203">
        <v>244</v>
      </c>
      <c r="AH186" s="336">
        <v>175.21299999999999</v>
      </c>
      <c r="AI186" s="336">
        <v>286</v>
      </c>
      <c r="AJ186" s="336">
        <v>205.654</v>
      </c>
      <c r="AK186" s="336">
        <v>191.7</v>
      </c>
      <c r="AL186" s="336">
        <v>161.9</v>
      </c>
      <c r="AM186" s="336">
        <v>266.7</v>
      </c>
      <c r="AN186" s="336">
        <v>242.977</v>
      </c>
      <c r="AO186" s="336">
        <v>270</v>
      </c>
      <c r="AP186" s="336">
        <v>233.9</v>
      </c>
      <c r="AQ186" s="336">
        <f>713-AR186</f>
        <v>339</v>
      </c>
      <c r="AR186" s="336">
        <v>374</v>
      </c>
      <c r="AS186" s="336">
        <v>331.65</v>
      </c>
      <c r="AT186" s="336">
        <v>301</v>
      </c>
      <c r="AU186" s="336">
        <f>712.434-AV186</f>
        <v>345.61499999999995</v>
      </c>
      <c r="AV186" s="336">
        <v>366.81900000000002</v>
      </c>
      <c r="AW186" s="336">
        <v>284</v>
      </c>
      <c r="AX186" s="336">
        <v>270.42599999999999</v>
      </c>
      <c r="AY186" s="336">
        <v>430.46699999999998</v>
      </c>
      <c r="AZ186" s="336">
        <v>341</v>
      </c>
      <c r="BA186" s="336">
        <v>348.9</v>
      </c>
      <c r="BB186" s="336">
        <v>310</v>
      </c>
      <c r="BC186" s="336">
        <v>422</v>
      </c>
      <c r="BD186" s="336">
        <v>438</v>
      </c>
      <c r="BE186" s="336">
        <v>353.56400000000002</v>
      </c>
      <c r="BF186" s="336">
        <v>432.54</v>
      </c>
      <c r="BG186" s="343">
        <v>452.673</v>
      </c>
      <c r="BH186" s="343">
        <v>515.87400000000002</v>
      </c>
      <c r="BI186" s="343">
        <v>374.47199999999998</v>
      </c>
      <c r="BJ186" s="343">
        <v>271.96199999999999</v>
      </c>
      <c r="BK186" s="343">
        <v>362.61799999999999</v>
      </c>
      <c r="BL186" s="343">
        <v>395</v>
      </c>
      <c r="BM186" s="343">
        <v>248.46</v>
      </c>
      <c r="BN186" s="343">
        <v>295.40699999999998</v>
      </c>
      <c r="BO186" s="343">
        <v>349.29500000000002</v>
      </c>
      <c r="BP186" s="336">
        <f t="shared" ref="BP186:BQ186" si="416">BP187*BP184</f>
        <v>291.20000000000005</v>
      </c>
      <c r="BQ186" s="336">
        <f t="shared" si="416"/>
        <v>317.8</v>
      </c>
      <c r="BR186" s="336">
        <f ca="1">-Master!X31-BQ186-BP186-BO186</f>
        <v>478.82911946905443</v>
      </c>
      <c r="BS186" s="336"/>
      <c r="BT186" s="336"/>
      <c r="BU186" s="336"/>
      <c r="BV186" s="336"/>
      <c r="BW186" s="203"/>
      <c r="BX186" s="203"/>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V186" s="203"/>
      <c r="DW186" s="203"/>
      <c r="DX186" s="203"/>
      <c r="DY186" s="203"/>
      <c r="DZ186" s="203"/>
      <c r="EA186" s="203"/>
      <c r="EB186" s="203"/>
      <c r="EX186" s="336">
        <v>565.02103305199989</v>
      </c>
      <c r="EY186" s="336">
        <v>505.40877131849987</v>
      </c>
      <c r="EZ186" s="336">
        <v>350.85597765599999</v>
      </c>
      <c r="FA186" s="577">
        <v>249.09063442910195</v>
      </c>
      <c r="FB186" s="203"/>
      <c r="FC186" s="203"/>
      <c r="FD186" s="574"/>
    </row>
    <row r="187" spans="1:160">
      <c r="A187" s="203"/>
      <c r="B187" s="203" t="s">
        <v>1084</v>
      </c>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337">
        <f t="shared" ref="AA187:BH187" si="417">AA186/AA184</f>
        <v>0.25018513947173537</v>
      </c>
      <c r="AB187" s="337">
        <f t="shared" si="417"/>
        <v>0.24456123197262283</v>
      </c>
      <c r="AC187" s="337">
        <f t="shared" si="417"/>
        <v>0.23707936507936511</v>
      </c>
      <c r="AD187" s="337">
        <f t="shared" si="417"/>
        <v>0.27644569816643161</v>
      </c>
      <c r="AE187" s="337">
        <f t="shared" si="417"/>
        <v>0.2523338571032443</v>
      </c>
      <c r="AF187" s="337">
        <f t="shared" si="417"/>
        <v>0.2676861550909177</v>
      </c>
      <c r="AG187" s="337">
        <f t="shared" si="417"/>
        <v>0.25858414582450195</v>
      </c>
      <c r="AH187" s="337">
        <f t="shared" si="417"/>
        <v>0.15895579596743101</v>
      </c>
      <c r="AI187" s="337">
        <f t="shared" si="417"/>
        <v>0.20733652312599679</v>
      </c>
      <c r="AJ187" s="337">
        <f t="shared" si="417"/>
        <v>0.19025284217323449</v>
      </c>
      <c r="AK187" s="337">
        <f t="shared" si="417"/>
        <v>0.18445799467121349</v>
      </c>
      <c r="AL187" s="337">
        <f t="shared" si="417"/>
        <v>0.12969316631566469</v>
      </c>
      <c r="AM187" s="337">
        <f t="shared" si="417"/>
        <v>0.19169108625667633</v>
      </c>
      <c r="AN187" s="337">
        <f t="shared" si="417"/>
        <v>0.18815895748521497</v>
      </c>
      <c r="AO187" s="337">
        <f t="shared" si="417"/>
        <v>0.20713431970184934</v>
      </c>
      <c r="AP187" s="337">
        <f t="shared" si="417"/>
        <v>0.17439047212175574</v>
      </c>
      <c r="AQ187" s="337">
        <f t="shared" si="417"/>
        <v>0.21955460854190484</v>
      </c>
      <c r="AR187" s="337">
        <f t="shared" si="417"/>
        <v>0.21653944491792346</v>
      </c>
      <c r="AS187" s="337">
        <f t="shared" si="417"/>
        <v>0.22387047171091312</v>
      </c>
      <c r="AT187" s="337">
        <f t="shared" si="417"/>
        <v>0.21975615098196688</v>
      </c>
      <c r="AU187" s="337">
        <f t="shared" si="417"/>
        <v>0.21998715524270415</v>
      </c>
      <c r="AV187" s="337">
        <f t="shared" si="417"/>
        <v>0.22001175574442053</v>
      </c>
      <c r="AW187" s="337">
        <f t="shared" si="417"/>
        <v>0.21996815109023654</v>
      </c>
      <c r="AX187" s="337">
        <f t="shared" si="417"/>
        <v>0.21979635030089043</v>
      </c>
      <c r="AY187" s="337">
        <f t="shared" si="417"/>
        <v>0.2399692949546281</v>
      </c>
      <c r="AZ187" s="337">
        <f t="shared" si="417"/>
        <v>0.24014084507042255</v>
      </c>
      <c r="BA187" s="337">
        <f t="shared" si="417"/>
        <v>0.23991863808180608</v>
      </c>
      <c r="BB187" s="337">
        <f t="shared" si="417"/>
        <v>0.23951966263269195</v>
      </c>
      <c r="BC187" s="337">
        <f t="shared" si="417"/>
        <v>0.27086372794498514</v>
      </c>
      <c r="BD187" s="337">
        <f t="shared" si="417"/>
        <v>0.26871165644171779</v>
      </c>
      <c r="BE187" s="337">
        <f t="shared" si="417"/>
        <v>0.26833635014780499</v>
      </c>
      <c r="BF187" s="337">
        <f t="shared" si="417"/>
        <v>0.27200283737180891</v>
      </c>
      <c r="BG187" s="337">
        <f t="shared" si="417"/>
        <v>0.26999994631887664</v>
      </c>
      <c r="BH187" s="337">
        <f t="shared" si="417"/>
        <v>0.32409031512288289</v>
      </c>
      <c r="BI187" s="337">
        <f t="shared" ref="BI187:BJ187" si="418">BI186/BI184</f>
        <v>0.30507082734551427</v>
      </c>
      <c r="BJ187" s="337">
        <f t="shared" si="418"/>
        <v>0.31841155995462012</v>
      </c>
      <c r="BK187" s="337">
        <f>BK186/BK184</f>
        <v>0.29999991726833264</v>
      </c>
      <c r="BL187" s="337">
        <f>BL186/BL184</f>
        <v>0.30000015189881113</v>
      </c>
      <c r="BM187" s="337">
        <f>BM186/BM184</f>
        <v>0.30000036223178261</v>
      </c>
      <c r="BN187" s="337">
        <f>BN186/BN184</f>
        <v>0.30000030466472155</v>
      </c>
      <c r="BO187" s="337">
        <f>BO186/BO184</f>
        <v>0.29999991411273741</v>
      </c>
      <c r="BP187" s="386">
        <v>0.28000000000000003</v>
      </c>
      <c r="BQ187" s="386">
        <v>0.28000000000000003</v>
      </c>
      <c r="BR187" s="338">
        <f ca="1">BR186/BR184</f>
        <v>0.32997739506526852</v>
      </c>
      <c r="BS187" s="338"/>
      <c r="BT187" s="338"/>
      <c r="BU187" s="338"/>
      <c r="BV187" s="338"/>
      <c r="BW187" s="203"/>
      <c r="BX187" s="203"/>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V187" s="203"/>
      <c r="DW187" s="203"/>
      <c r="DX187" s="203"/>
      <c r="DY187" s="203"/>
      <c r="DZ187" s="203"/>
      <c r="EA187" s="203"/>
      <c r="EB187" s="203"/>
      <c r="EX187" s="388">
        <v>0.28000000000000003</v>
      </c>
      <c r="EY187" s="388">
        <v>0.3</v>
      </c>
      <c r="EZ187" s="388">
        <v>0.3</v>
      </c>
      <c r="FA187" s="578">
        <v>0.29466357426850587</v>
      </c>
      <c r="FB187" s="203"/>
      <c r="FC187" s="203"/>
      <c r="FD187" s="574"/>
    </row>
    <row r="188" spans="1:160">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337"/>
      <c r="BG188" s="337"/>
      <c r="BH188" s="337"/>
      <c r="BI188" s="337"/>
      <c r="BJ188" s="337"/>
      <c r="BK188" s="337"/>
      <c r="BL188" s="337"/>
      <c r="BM188" s="337"/>
      <c r="BN188" s="337"/>
      <c r="BO188" s="337"/>
      <c r="BP188" s="337"/>
      <c r="BQ188" s="337"/>
      <c r="BR188" s="337"/>
      <c r="BS188" s="337"/>
      <c r="BT188" s="337"/>
      <c r="BU188" s="337"/>
      <c r="BV188" s="337"/>
      <c r="BW188" s="203"/>
      <c r="BX188" s="203"/>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V188" s="203"/>
      <c r="DW188" s="203"/>
      <c r="DX188" s="203"/>
      <c r="DY188" s="203"/>
      <c r="DZ188" s="203"/>
      <c r="EA188" s="203"/>
      <c r="EB188" s="203"/>
      <c r="EX188" s="203"/>
      <c r="EY188" s="203"/>
      <c r="EZ188" s="203"/>
      <c r="FA188" s="576"/>
      <c r="FB188" s="203"/>
      <c r="FC188" s="203"/>
      <c r="FD188" s="574"/>
    </row>
    <row r="189" spans="1:160">
      <c r="A189" s="203"/>
      <c r="B189" s="203" t="s">
        <v>537</v>
      </c>
      <c r="C189" s="203"/>
      <c r="D189" s="203"/>
      <c r="E189" s="203"/>
      <c r="F189" s="203"/>
      <c r="G189" s="203"/>
      <c r="H189" s="203"/>
      <c r="I189" s="203"/>
      <c r="J189" s="203"/>
      <c r="K189" s="203"/>
      <c r="L189" s="203"/>
      <c r="M189" s="203"/>
      <c r="N189" s="203"/>
      <c r="O189" s="203"/>
      <c r="P189" s="203"/>
      <c r="Q189" s="203"/>
      <c r="R189" s="203"/>
      <c r="S189" s="203"/>
      <c r="T189" s="203"/>
      <c r="U189" s="203"/>
      <c r="V189" s="203"/>
      <c r="W189" s="203">
        <v>-21.6</v>
      </c>
      <c r="X189" s="203">
        <v>-32.4</v>
      </c>
      <c r="Y189" s="203">
        <v>-8.3000000000000007</v>
      </c>
      <c r="Z189" s="203">
        <v>-68</v>
      </c>
      <c r="AA189" s="203">
        <v>-26.2</v>
      </c>
      <c r="AB189" s="203">
        <v>-38.5</v>
      </c>
      <c r="AC189" s="203">
        <v>-23</v>
      </c>
      <c r="AD189" s="203">
        <v>23</v>
      </c>
      <c r="AE189" s="336">
        <v>-33.700000000000003</v>
      </c>
      <c r="AF189" s="203">
        <v>-60</v>
      </c>
      <c r="AG189" s="203">
        <v>-11</v>
      </c>
      <c r="AH189" s="336">
        <v>-56.5</v>
      </c>
      <c r="AI189" s="336">
        <v>-72</v>
      </c>
      <c r="AJ189" s="336">
        <v>-51.798999999999999</v>
      </c>
      <c r="AK189" s="336">
        <v>-59</v>
      </c>
      <c r="AL189" s="336">
        <v>-90</v>
      </c>
      <c r="AM189" s="336">
        <v>-67.400000000000006</v>
      </c>
      <c r="AN189" s="336">
        <v>-12.6</v>
      </c>
      <c r="AO189" s="336">
        <v>-55.8</v>
      </c>
      <c r="AP189" s="336">
        <v>-37</v>
      </c>
      <c r="AQ189" s="336">
        <v>-48</v>
      </c>
      <c r="AR189" s="336">
        <v>-34</v>
      </c>
      <c r="AS189" s="336">
        <v>-39.6</v>
      </c>
      <c r="AT189" s="336">
        <v>-51</v>
      </c>
      <c r="AU189" s="336">
        <f>-70.446-AV189</f>
        <v>-44.554000000000002</v>
      </c>
      <c r="AV189" s="336">
        <v>-25.891999999999999</v>
      </c>
      <c r="AW189" s="336">
        <v>-12.9</v>
      </c>
      <c r="AX189" s="336">
        <v>-72.412999999999997</v>
      </c>
      <c r="AY189" s="336">
        <v>-42.972999999999999</v>
      </c>
      <c r="AZ189" s="336">
        <f>-106.4-BA189-AY189</f>
        <v>-29.927000000000007</v>
      </c>
      <c r="BA189" s="336">
        <v>-33.5</v>
      </c>
      <c r="BB189" s="336">
        <v>-42</v>
      </c>
      <c r="BC189" s="336">
        <v>-32</v>
      </c>
      <c r="BD189" s="336">
        <f>-53</f>
        <v>-53</v>
      </c>
      <c r="BE189" s="336">
        <v>-36.621000000000002</v>
      </c>
      <c r="BF189" s="336">
        <v>-39.276000000000003</v>
      </c>
      <c r="BG189" s="343">
        <v>-53.978000000000002</v>
      </c>
      <c r="BH189" s="343">
        <v>-59.320999999999998</v>
      </c>
      <c r="BI189" s="343">
        <v>-30.018000000000001</v>
      </c>
      <c r="BJ189" s="343">
        <v>-25.094000000000001</v>
      </c>
      <c r="BK189" s="343">
        <v>-49.494</v>
      </c>
      <c r="BL189" s="343">
        <v>-53.862000000000002</v>
      </c>
      <c r="BM189" s="343">
        <v>-48.415999999999997</v>
      </c>
      <c r="BN189" s="343">
        <v>-41.360999999999997</v>
      </c>
      <c r="BO189" s="343">
        <v>-13.743</v>
      </c>
      <c r="BP189" s="352">
        <v>-42</v>
      </c>
      <c r="BQ189" s="352">
        <v>-42</v>
      </c>
      <c r="BR189" s="336">
        <f>Master!X32-BQ189-BP189-BO189</f>
        <v>-72.757000000000005</v>
      </c>
      <c r="BS189" s="336"/>
      <c r="BT189" s="336"/>
      <c r="BU189" s="336"/>
      <c r="BV189" s="336"/>
      <c r="BW189" s="203"/>
      <c r="BX189" s="203"/>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V189" s="203"/>
      <c r="DW189" s="203"/>
      <c r="DX189" s="203"/>
      <c r="DY189" s="203"/>
      <c r="DZ189" s="203"/>
      <c r="EA189" s="203"/>
      <c r="EB189" s="203"/>
      <c r="EX189" s="344">
        <v>-60</v>
      </c>
      <c r="EY189" s="344">
        <v>-60</v>
      </c>
      <c r="EZ189" s="344">
        <v>-60</v>
      </c>
      <c r="FA189" s="577">
        <v>-52.722000000000001</v>
      </c>
      <c r="FB189" s="203"/>
      <c r="FC189" s="203"/>
      <c r="FD189" s="574"/>
    </row>
    <row r="190" spans="1:160">
      <c r="A190" s="203"/>
      <c r="B190" s="203" t="s">
        <v>17</v>
      </c>
      <c r="C190" s="203"/>
      <c r="D190" s="203"/>
      <c r="E190" s="203"/>
      <c r="F190" s="203"/>
      <c r="G190" s="203"/>
      <c r="H190" s="203"/>
      <c r="I190" s="203"/>
      <c r="J190" s="203"/>
      <c r="K190" s="203"/>
      <c r="L190" s="203"/>
      <c r="M190" s="203"/>
      <c r="N190" s="203"/>
      <c r="O190" s="203"/>
      <c r="P190" s="203"/>
      <c r="Q190" s="203"/>
      <c r="R190" s="203"/>
      <c r="S190" s="203"/>
      <c r="T190" s="203"/>
      <c r="U190" s="203"/>
      <c r="V190" s="203"/>
      <c r="W190" s="203">
        <f t="shared" ref="W190:BG190" si="419">W184-W186+W189</f>
        <v>529.6</v>
      </c>
      <c r="X190" s="336">
        <f t="shared" si="419"/>
        <v>519.30000000000007</v>
      </c>
      <c r="Y190" s="336">
        <f t="shared" si="419"/>
        <v>565.4</v>
      </c>
      <c r="Z190" s="336">
        <f t="shared" si="419"/>
        <v>327.19999999999993</v>
      </c>
      <c r="AA190" s="336">
        <f t="shared" si="419"/>
        <v>581.29999999999995</v>
      </c>
      <c r="AB190" s="336">
        <f t="shared" si="419"/>
        <v>579.59999999999991</v>
      </c>
      <c r="AC190" s="336">
        <f t="shared" si="419"/>
        <v>577.79999999999995</v>
      </c>
      <c r="AD190" s="203">
        <f t="shared" si="419"/>
        <v>536</v>
      </c>
      <c r="AE190" s="336">
        <f t="shared" si="419"/>
        <v>775.2</v>
      </c>
      <c r="AF190" s="336">
        <f t="shared" si="419"/>
        <v>667.70100000000002</v>
      </c>
      <c r="AG190" s="336">
        <f t="shared" si="419"/>
        <v>688.59999999999991</v>
      </c>
      <c r="AH190" s="336">
        <f t="shared" si="419"/>
        <v>870.5619999999999</v>
      </c>
      <c r="AI190" s="336">
        <f t="shared" si="419"/>
        <v>1021.4000000000001</v>
      </c>
      <c r="AJ190" s="336">
        <f t="shared" si="419"/>
        <v>823.49800000000005</v>
      </c>
      <c r="AK190" s="336">
        <f t="shared" si="419"/>
        <v>788.56099999999992</v>
      </c>
      <c r="AL190" s="336">
        <f t="shared" si="419"/>
        <v>996.43099999999981</v>
      </c>
      <c r="AM190" s="336">
        <f t="shared" si="419"/>
        <v>1057.2009999999996</v>
      </c>
      <c r="AN190" s="336">
        <f t="shared" si="419"/>
        <v>1035.7619999999999</v>
      </c>
      <c r="AO190" s="336">
        <f t="shared" si="419"/>
        <v>977.702</v>
      </c>
      <c r="AP190" s="336">
        <f t="shared" si="419"/>
        <v>1070.3429999999998</v>
      </c>
      <c r="AQ190" s="336">
        <f t="shared" si="419"/>
        <v>1157.0349999999999</v>
      </c>
      <c r="AR190" s="336">
        <f t="shared" si="419"/>
        <v>1319.1679999999999</v>
      </c>
      <c r="AS190" s="336">
        <f t="shared" si="419"/>
        <v>1110.1869999999999</v>
      </c>
      <c r="AT190" s="336">
        <f t="shared" si="419"/>
        <v>1017.6999999999998</v>
      </c>
      <c r="AU190" s="336">
        <f t="shared" si="419"/>
        <v>1180.8999999999999</v>
      </c>
      <c r="AV190" s="336">
        <f t="shared" si="419"/>
        <v>1274.559</v>
      </c>
      <c r="AW190" s="336">
        <f t="shared" si="419"/>
        <v>994.1959999999998</v>
      </c>
      <c r="AX190" s="336">
        <f t="shared" si="419"/>
        <v>887.50900000000024</v>
      </c>
      <c r="AY190" s="336">
        <f t="shared" si="419"/>
        <v>1320.402</v>
      </c>
      <c r="AZ190" s="336">
        <f t="shared" si="419"/>
        <v>1049.0730000000001</v>
      </c>
      <c r="BA190" s="336">
        <f t="shared" si="419"/>
        <v>1071.8430000000003</v>
      </c>
      <c r="BB190" s="336">
        <f t="shared" si="419"/>
        <v>942.25700000000006</v>
      </c>
      <c r="BC190" s="336">
        <f t="shared" si="419"/>
        <v>1103.9789999999998</v>
      </c>
      <c r="BD190" s="336">
        <f t="shared" si="419"/>
        <v>1139</v>
      </c>
      <c r="BE190" s="336">
        <f t="shared" si="419"/>
        <v>927.42999999999972</v>
      </c>
      <c r="BF190" s="336">
        <f t="shared" si="419"/>
        <v>1118.3879999999999</v>
      </c>
      <c r="BG190" s="336">
        <f t="shared" si="419"/>
        <v>1169.9159999999997</v>
      </c>
      <c r="BH190" s="336">
        <f t="shared" ref="BH190:BI190" si="420">BH184-BH186+BH189</f>
        <v>1016.5649999999997</v>
      </c>
      <c r="BI190" s="336">
        <f t="shared" si="420"/>
        <v>823.00199999999995</v>
      </c>
      <c r="BJ190" s="336">
        <f t="shared" ref="BJ190" si="421">BJ184-BJ186+BJ189</f>
        <v>557.06499999999971</v>
      </c>
      <c r="BK190" s="336">
        <f>BK184-BK186+BK189</f>
        <v>796.61500000000035</v>
      </c>
      <c r="BL190" s="336">
        <f>BL184-BL186+BL189</f>
        <v>867.80399999999997</v>
      </c>
      <c r="BM190" s="336">
        <f>BM184-BM186+BM189</f>
        <v>531.32299999999964</v>
      </c>
      <c r="BN190" s="336">
        <f>BN184-BN186+BN189</f>
        <v>647.92099999999994</v>
      </c>
      <c r="BO190" s="336">
        <f ca="1">BO184-BR186+BR189</f>
        <v>612.73088053094534</v>
      </c>
      <c r="BP190" s="336">
        <f>BP184-BW186+BW189</f>
        <v>1040</v>
      </c>
      <c r="BQ190" s="336">
        <f>BQ184-BX186+BX189</f>
        <v>1135</v>
      </c>
      <c r="BR190" s="336">
        <f ca="1">BR184-BY186+BY189</f>
        <v>1451.0967315635166</v>
      </c>
      <c r="BS190" s="336"/>
      <c r="BT190" s="336"/>
      <c r="BU190" s="336"/>
      <c r="BV190" s="336"/>
      <c r="BW190" s="203"/>
      <c r="BX190" s="203"/>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V190" s="203"/>
      <c r="DW190" s="203"/>
      <c r="DX190" s="203"/>
      <c r="DY190" s="203"/>
      <c r="DZ190" s="203"/>
      <c r="EA190" s="203"/>
      <c r="EB190" s="203"/>
      <c r="EX190" s="336">
        <v>1392.9112278479997</v>
      </c>
      <c r="EY190" s="336">
        <v>1119.2871330764997</v>
      </c>
      <c r="EZ190" s="336">
        <v>758.66394786399997</v>
      </c>
      <c r="FA190" s="577">
        <v>543.52644437445406</v>
      </c>
      <c r="FB190" s="203"/>
      <c r="FC190" s="203"/>
      <c r="FD190" s="574"/>
    </row>
    <row r="191" spans="1:160">
      <c r="A191" s="203"/>
      <c r="B191" s="203" t="s">
        <v>676</v>
      </c>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336"/>
      <c r="Y191" s="336"/>
      <c r="Z191" s="336"/>
      <c r="AA191" s="336">
        <f t="shared" ref="AA191:BG191" si="422">AA190-AA181</f>
        <v>566.29999999999995</v>
      </c>
      <c r="AB191" s="336">
        <f t="shared" si="422"/>
        <v>526.29999999999995</v>
      </c>
      <c r="AC191" s="336">
        <f t="shared" si="422"/>
        <v>569.9</v>
      </c>
      <c r="AD191" s="203">
        <f t="shared" si="422"/>
        <v>564</v>
      </c>
      <c r="AE191" s="336">
        <f t="shared" si="422"/>
        <v>719.30000000000007</v>
      </c>
      <c r="AF191" s="336">
        <f t="shared" si="422"/>
        <v>600.70100000000002</v>
      </c>
      <c r="AG191" s="336">
        <f t="shared" si="422"/>
        <v>582.69999999999993</v>
      </c>
      <c r="AH191" s="336">
        <f t="shared" si="422"/>
        <v>787.96199999999988</v>
      </c>
      <c r="AI191" s="336">
        <f t="shared" si="422"/>
        <v>1002.4000000000001</v>
      </c>
      <c r="AJ191" s="336">
        <f t="shared" si="422"/>
        <v>814.95800000000008</v>
      </c>
      <c r="AK191" s="336">
        <f t="shared" si="422"/>
        <v>779.56099999999992</v>
      </c>
      <c r="AL191" s="336">
        <f t="shared" si="422"/>
        <v>986.63099999999986</v>
      </c>
      <c r="AM191" s="336">
        <f t="shared" si="422"/>
        <v>1043.9009999999996</v>
      </c>
      <c r="AN191" s="336">
        <f t="shared" si="422"/>
        <v>1013.6709999999999</v>
      </c>
      <c r="AO191" s="336">
        <f t="shared" si="422"/>
        <v>951.90200000000004</v>
      </c>
      <c r="AP191" s="336">
        <f t="shared" si="422"/>
        <v>1036.8429999999998</v>
      </c>
      <c r="AQ191" s="336">
        <f t="shared" si="422"/>
        <v>1139.5349999999999</v>
      </c>
      <c r="AR191" s="336">
        <f t="shared" si="422"/>
        <v>1217.9679999999998</v>
      </c>
      <c r="AS191" s="336">
        <f t="shared" si="422"/>
        <v>1100.1869999999999</v>
      </c>
      <c r="AT191" s="336">
        <f t="shared" si="422"/>
        <v>999.69999999999982</v>
      </c>
      <c r="AU191" s="336">
        <f t="shared" si="422"/>
        <v>1179.261</v>
      </c>
      <c r="AV191" s="336">
        <f t="shared" si="422"/>
        <v>1192.5609999999999</v>
      </c>
      <c r="AW191" s="336">
        <f t="shared" si="422"/>
        <v>973.29599999999982</v>
      </c>
      <c r="AX191" s="336">
        <f t="shared" si="422"/>
        <v>865.38800000000026</v>
      </c>
      <c r="AY191" s="336">
        <f t="shared" si="422"/>
        <v>1311.6410000000001</v>
      </c>
      <c r="AZ191" s="336">
        <f t="shared" si="422"/>
        <v>1017.3450000000001</v>
      </c>
      <c r="BA191" s="336">
        <f t="shared" si="422"/>
        <v>1052.2320000000002</v>
      </c>
      <c r="BB191" s="336">
        <f t="shared" si="422"/>
        <v>914.25700000000006</v>
      </c>
      <c r="BC191" s="336">
        <f t="shared" si="422"/>
        <v>1091.9789999999998</v>
      </c>
      <c r="BD191" s="336">
        <f t="shared" si="422"/>
        <v>1123</v>
      </c>
      <c r="BE191" s="336">
        <f t="shared" si="422"/>
        <v>915.81199999999967</v>
      </c>
      <c r="BF191" s="336">
        <f t="shared" si="422"/>
        <v>1118.8679999999999</v>
      </c>
      <c r="BG191" s="336">
        <f t="shared" si="422"/>
        <v>1194.0799999999997</v>
      </c>
      <c r="BH191" s="336">
        <f t="shared" ref="BH191:BI191" si="423">BH190-BH181</f>
        <v>1016.5439999999998</v>
      </c>
      <c r="BI191" s="336">
        <f t="shared" si="423"/>
        <v>752.86999999999989</v>
      </c>
      <c r="BJ191" s="336">
        <f t="shared" ref="BJ191:BM191" si="424">BJ190-BJ181</f>
        <v>586.37899999999968</v>
      </c>
      <c r="BK191" s="336">
        <f t="shared" si="424"/>
        <v>782.8190000000003</v>
      </c>
      <c r="BL191" s="336">
        <f t="shared" si="424"/>
        <v>774.154</v>
      </c>
      <c r="BM191" s="336">
        <f t="shared" si="424"/>
        <v>511.92599999999965</v>
      </c>
      <c r="BN191" s="336">
        <f t="shared" ref="BN191" si="425">BN190-BN181</f>
        <v>622.94299999999998</v>
      </c>
      <c r="BO191" s="336">
        <f ca="1">BO190-BR181</f>
        <v>632.9688805309454</v>
      </c>
      <c r="BP191" s="336">
        <f>BP190-BW181</f>
        <v>1040</v>
      </c>
      <c r="BQ191" s="336">
        <f>BQ190-BX181</f>
        <v>1135</v>
      </c>
      <c r="BR191" s="336">
        <f ca="1">BR190-BY181</f>
        <v>1451.0967315635166</v>
      </c>
      <c r="BS191" s="336"/>
      <c r="BT191" s="336"/>
      <c r="BU191" s="336"/>
      <c r="BV191" s="336"/>
      <c r="BW191" s="203"/>
      <c r="BX191" s="203"/>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V191" s="203"/>
      <c r="DW191" s="203"/>
      <c r="DX191" s="203"/>
      <c r="DY191" s="203"/>
      <c r="DZ191" s="203"/>
      <c r="EA191" s="203"/>
      <c r="EB191" s="203"/>
      <c r="EX191" s="336">
        <v>1392.9112278479997</v>
      </c>
      <c r="EY191" s="336">
        <v>1119.2871330764997</v>
      </c>
      <c r="EZ191" s="336">
        <v>758.66394786399997</v>
      </c>
      <c r="FA191" s="577">
        <v>520.36944437445402</v>
      </c>
      <c r="FB191" s="203"/>
      <c r="FC191" s="203"/>
      <c r="FD191" s="574"/>
    </row>
    <row r="192" spans="1:160">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c r="BM192" s="203"/>
      <c r="BN192" s="203"/>
      <c r="BO192" s="203"/>
      <c r="BP192" s="203"/>
      <c r="BQ192" s="203"/>
      <c r="BR192" s="203"/>
      <c r="BS192" s="203"/>
      <c r="BT192" s="203"/>
      <c r="BU192" s="203"/>
      <c r="BV192" s="203"/>
      <c r="BW192" s="203"/>
      <c r="BX192" s="203"/>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V192" s="203"/>
      <c r="DW192" s="203"/>
      <c r="DX192" s="203"/>
      <c r="DY192" s="203"/>
      <c r="DZ192" s="203"/>
      <c r="EA192" s="203"/>
      <c r="EB192" s="203"/>
      <c r="EX192" s="203"/>
      <c r="EY192" s="203"/>
      <c r="EZ192" s="203"/>
      <c r="FA192" s="203"/>
      <c r="FB192" s="203"/>
      <c r="FC192" s="203"/>
      <c r="FD192" s="574"/>
    </row>
    <row r="193" spans="1:160">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V193" s="203"/>
      <c r="DW193" s="203"/>
      <c r="DX193" s="203"/>
      <c r="DY193" s="203"/>
      <c r="DZ193" s="203"/>
      <c r="EA193" s="203"/>
      <c r="EB193" s="203"/>
      <c r="EX193" s="203"/>
      <c r="EY193" s="203"/>
      <c r="EZ193" s="203"/>
      <c r="FA193" s="203"/>
      <c r="FB193" s="203"/>
      <c r="FC193" s="203"/>
      <c r="FD193" s="574"/>
    </row>
    <row r="194" spans="1:160">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339"/>
      <c r="BI194" s="339"/>
      <c r="BJ194" s="339"/>
      <c r="BK194" s="203"/>
      <c r="BL194" s="203"/>
      <c r="BM194" s="203"/>
      <c r="BN194" s="203"/>
      <c r="BO194" s="203"/>
      <c r="BP194" s="203"/>
      <c r="BQ194" s="203"/>
      <c r="BR194" s="203"/>
      <c r="BS194" s="203"/>
      <c r="BT194" s="203"/>
      <c r="BU194" s="203"/>
      <c r="BV194" s="203"/>
      <c r="BW194" s="203"/>
      <c r="BX194" s="203"/>
      <c r="BY194" s="203"/>
      <c r="BZ194" s="203"/>
      <c r="CA194" s="203"/>
      <c r="CB194" s="203"/>
      <c r="CC194" s="203"/>
      <c r="CD194" s="203"/>
      <c r="CE194" s="203"/>
      <c r="CF194" s="203"/>
      <c r="CG194" s="203"/>
      <c r="CH194" s="203"/>
      <c r="CI194" s="203"/>
      <c r="CJ194" s="203"/>
      <c r="CK194" s="203"/>
      <c r="CL194" s="203"/>
      <c r="CM194" s="203"/>
      <c r="CN194" s="203"/>
      <c r="CO194" s="203"/>
      <c r="CP194" s="203"/>
      <c r="CQ194" s="203"/>
      <c r="CR194" s="203"/>
      <c r="CS194" s="203"/>
      <c r="CT194" s="203"/>
      <c r="CU194" s="203"/>
      <c r="CV194" s="203"/>
      <c r="CW194" s="203"/>
      <c r="CX194" s="203"/>
      <c r="CY194" s="203"/>
      <c r="CZ194" s="203"/>
      <c r="DA194" s="203"/>
      <c r="DB194" s="203"/>
      <c r="DC194" s="203"/>
      <c r="DD194" s="203"/>
      <c r="DE194" s="203"/>
      <c r="DF194" s="203"/>
      <c r="DG194" s="203"/>
      <c r="DH194" s="203"/>
      <c r="DI194" s="203"/>
      <c r="DJ194" s="203"/>
      <c r="DK194" s="203"/>
      <c r="DL194" s="203"/>
      <c r="DM194" s="203"/>
      <c r="DN194" s="203"/>
      <c r="DO194" s="203"/>
      <c r="DP194" s="203"/>
      <c r="DQ194" s="203"/>
      <c r="DR194" s="203"/>
      <c r="DS194" s="203"/>
      <c r="DT194" s="203"/>
      <c r="DV194" s="203"/>
      <c r="DW194" s="203"/>
      <c r="DX194" s="203"/>
      <c r="DY194" s="203"/>
      <c r="DZ194" s="203"/>
      <c r="EA194" s="203"/>
      <c r="EB194" s="203"/>
      <c r="EX194" s="203"/>
      <c r="EY194" s="203"/>
      <c r="EZ194" s="203"/>
      <c r="FA194" s="203"/>
      <c r="FB194" s="203"/>
      <c r="FC194" s="203"/>
      <c r="FD194" s="574"/>
    </row>
    <row r="195" spans="1:160">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c r="BT195" s="203"/>
      <c r="BU195" s="203"/>
      <c r="BV195" s="203"/>
      <c r="BW195" s="203"/>
      <c r="BX195" s="203"/>
      <c r="BY195" s="203"/>
      <c r="BZ195" s="203"/>
      <c r="CA195" s="203"/>
      <c r="CB195" s="203"/>
      <c r="CC195" s="203"/>
      <c r="CD195" s="203"/>
      <c r="CE195" s="203"/>
      <c r="CF195" s="203"/>
      <c r="CG195" s="203"/>
      <c r="CH195" s="203"/>
      <c r="CI195" s="203"/>
      <c r="CJ195" s="203"/>
      <c r="CK195" s="203"/>
      <c r="CL195" s="203"/>
      <c r="CM195" s="203"/>
      <c r="CN195" s="203"/>
      <c r="CO195" s="203"/>
      <c r="CP195" s="203"/>
      <c r="CQ195" s="203"/>
      <c r="CR195" s="203"/>
      <c r="CS195" s="203"/>
      <c r="CT195" s="203"/>
      <c r="CU195" s="203"/>
      <c r="CV195" s="203"/>
      <c r="CW195" s="203"/>
      <c r="CX195" s="203"/>
      <c r="CY195" s="203"/>
      <c r="CZ195" s="203"/>
      <c r="DA195" s="203"/>
      <c r="DB195" s="203"/>
      <c r="DC195" s="203"/>
      <c r="DD195" s="203"/>
      <c r="DE195" s="203"/>
      <c r="DF195" s="203"/>
      <c r="DG195" s="203"/>
      <c r="DH195" s="203"/>
      <c r="DI195" s="203"/>
      <c r="DJ195" s="203"/>
      <c r="DK195" s="203"/>
      <c r="DL195" s="203"/>
      <c r="DM195" s="203"/>
      <c r="DN195" s="203"/>
      <c r="DO195" s="203"/>
      <c r="DP195" s="203"/>
      <c r="DQ195" s="203"/>
      <c r="DR195" s="203"/>
      <c r="DS195" s="203"/>
      <c r="DT195" s="203"/>
      <c r="DV195" s="203"/>
      <c r="DW195" s="203"/>
      <c r="DX195" s="203"/>
      <c r="DY195" s="203"/>
      <c r="DZ195" s="203"/>
      <c r="EA195" s="203"/>
      <c r="EB195" s="203"/>
      <c r="EX195" s="203"/>
      <c r="EY195" s="203"/>
      <c r="EZ195" s="203"/>
      <c r="FA195" s="203"/>
      <c r="FB195" s="203"/>
      <c r="FC195" s="203"/>
      <c r="FD195" s="574"/>
    </row>
    <row r="196" spans="1:160">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A196" s="203"/>
      <c r="CB196" s="203"/>
      <c r="CC196" s="203"/>
      <c r="CD196" s="203"/>
      <c r="CE196" s="203"/>
      <c r="CF196" s="203"/>
      <c r="CG196" s="203"/>
      <c r="CH196" s="203"/>
      <c r="CI196" s="203"/>
      <c r="CJ196" s="203"/>
      <c r="CK196" s="203"/>
      <c r="CL196" s="203"/>
      <c r="CM196" s="203"/>
      <c r="CN196" s="203"/>
      <c r="CO196" s="203"/>
      <c r="CP196" s="203"/>
      <c r="CQ196" s="203"/>
      <c r="CR196" s="203"/>
      <c r="CS196" s="203"/>
      <c r="CT196" s="203"/>
      <c r="CU196" s="203"/>
      <c r="CV196" s="203"/>
      <c r="CW196" s="203"/>
      <c r="CX196" s="203"/>
      <c r="CY196" s="203"/>
      <c r="CZ196" s="203"/>
      <c r="DA196" s="203"/>
      <c r="DB196" s="203"/>
      <c r="DC196" s="203"/>
      <c r="DD196" s="203"/>
      <c r="DE196" s="203"/>
      <c r="DF196" s="203"/>
      <c r="DG196" s="203"/>
      <c r="DH196" s="203"/>
      <c r="DI196" s="203"/>
      <c r="DJ196" s="203"/>
      <c r="DK196" s="203"/>
      <c r="DL196" s="203"/>
      <c r="DM196" s="203"/>
      <c r="DN196" s="203"/>
      <c r="DO196" s="203"/>
      <c r="DP196" s="203"/>
      <c r="DQ196" s="203"/>
      <c r="DR196" s="203"/>
      <c r="DS196" s="203"/>
      <c r="DT196" s="203"/>
      <c r="DV196" s="203"/>
      <c r="DW196" s="203"/>
      <c r="DX196" s="203"/>
      <c r="DY196" s="203"/>
      <c r="DZ196" s="203"/>
      <c r="EA196" s="203"/>
      <c r="EB196" s="203"/>
      <c r="EX196" s="203"/>
      <c r="EY196" s="203"/>
      <c r="EZ196" s="203"/>
      <c r="FA196" s="203"/>
      <c r="FB196" s="203"/>
      <c r="FC196" s="203"/>
      <c r="FD196" s="574"/>
    </row>
    <row r="197" spans="1:160">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c r="BT197" s="203"/>
      <c r="BU197" s="203"/>
      <c r="BV197" s="203"/>
      <c r="BW197" s="203"/>
      <c r="BX197" s="203"/>
      <c r="BY197" s="203"/>
      <c r="BZ197" s="203"/>
      <c r="CA197" s="203"/>
      <c r="CB197" s="203"/>
      <c r="CC197" s="203"/>
      <c r="CD197" s="203"/>
      <c r="CE197" s="203"/>
      <c r="CF197" s="203"/>
      <c r="CG197" s="203"/>
      <c r="CH197" s="203"/>
      <c r="CI197" s="203"/>
      <c r="CJ197" s="203"/>
      <c r="CK197" s="203"/>
      <c r="CL197" s="203"/>
      <c r="CM197" s="203"/>
      <c r="CN197" s="203"/>
      <c r="CO197" s="203"/>
      <c r="CP197" s="203"/>
      <c r="CQ197" s="203"/>
      <c r="CR197" s="203"/>
      <c r="CS197" s="203"/>
      <c r="CT197" s="203"/>
      <c r="CU197" s="203"/>
      <c r="CV197" s="203"/>
      <c r="CW197" s="203"/>
      <c r="CX197" s="203"/>
      <c r="CY197" s="203"/>
      <c r="CZ197" s="203"/>
      <c r="DA197" s="203"/>
      <c r="DB197" s="203"/>
      <c r="DC197" s="203"/>
      <c r="DD197" s="203"/>
      <c r="DE197" s="203"/>
      <c r="DF197" s="203"/>
      <c r="DG197" s="203"/>
      <c r="DH197" s="203"/>
      <c r="DI197" s="203"/>
      <c r="DJ197" s="203"/>
      <c r="DK197" s="203"/>
      <c r="DL197" s="203"/>
      <c r="DM197" s="203"/>
      <c r="DN197" s="203"/>
      <c r="DO197" s="203"/>
      <c r="DP197" s="203"/>
      <c r="DQ197" s="203"/>
      <c r="DR197" s="203"/>
      <c r="DS197" s="203"/>
      <c r="DT197" s="203"/>
      <c r="DV197" s="203"/>
      <c r="DW197" s="203"/>
      <c r="DX197" s="203"/>
      <c r="DY197" s="203"/>
      <c r="DZ197" s="203"/>
      <c r="EA197" s="203"/>
      <c r="EB197" s="203"/>
      <c r="EX197" s="203"/>
      <c r="EY197" s="203"/>
      <c r="EZ197" s="203"/>
      <c r="FA197" s="203"/>
      <c r="FB197" s="203"/>
      <c r="FC197" s="203"/>
      <c r="FD197" s="574"/>
    </row>
    <row r="198" spans="1:160">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A198" s="203"/>
      <c r="CB198" s="203"/>
      <c r="CC198" s="203"/>
      <c r="CD198" s="203"/>
      <c r="CE198" s="203"/>
      <c r="CF198" s="203"/>
      <c r="CG198" s="203"/>
      <c r="CH198" s="203"/>
      <c r="CI198" s="203"/>
      <c r="CJ198" s="203"/>
      <c r="CK198" s="203"/>
      <c r="CL198" s="203"/>
      <c r="CM198" s="203"/>
      <c r="CN198" s="203"/>
      <c r="CO198" s="203"/>
      <c r="CP198" s="203"/>
      <c r="CQ198" s="203"/>
      <c r="CR198" s="203"/>
      <c r="CS198" s="203"/>
      <c r="CT198" s="203"/>
      <c r="CU198" s="203"/>
      <c r="CV198" s="203"/>
      <c r="CW198" s="203"/>
      <c r="CX198" s="203"/>
      <c r="CY198" s="203"/>
      <c r="CZ198" s="203"/>
      <c r="DA198" s="203"/>
      <c r="DB198" s="203"/>
      <c r="DC198" s="203"/>
      <c r="DD198" s="203"/>
      <c r="DE198" s="203"/>
      <c r="DF198" s="203"/>
      <c r="DG198" s="203"/>
      <c r="DH198" s="203"/>
      <c r="DI198" s="203"/>
      <c r="DJ198" s="203"/>
      <c r="DK198" s="203"/>
      <c r="DL198" s="203"/>
      <c r="DM198" s="203"/>
      <c r="DN198" s="203"/>
      <c r="DO198" s="203"/>
      <c r="DP198" s="203"/>
      <c r="DQ198" s="203"/>
      <c r="DR198" s="203"/>
      <c r="DS198" s="203"/>
      <c r="DT198" s="203"/>
      <c r="DV198" s="203"/>
      <c r="DW198" s="203"/>
      <c r="DX198" s="203"/>
      <c r="DY198" s="203"/>
      <c r="DZ198" s="203"/>
      <c r="EA198" s="203"/>
      <c r="EB198" s="203"/>
      <c r="EX198" s="203"/>
      <c r="EY198" s="203"/>
      <c r="EZ198" s="203"/>
      <c r="FA198" s="203"/>
      <c r="FB198" s="203"/>
      <c r="FC198" s="203"/>
      <c r="FD198" s="574"/>
    </row>
    <row r="199" spans="1:160">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A199" s="203"/>
      <c r="CB199" s="203"/>
      <c r="CC199" s="203"/>
      <c r="CD199" s="203"/>
      <c r="CE199" s="203"/>
      <c r="CF199" s="203"/>
      <c r="CG199" s="203"/>
      <c r="CH199" s="203"/>
      <c r="CI199" s="203"/>
      <c r="CJ199" s="203"/>
      <c r="CK199" s="203"/>
      <c r="CL199" s="203"/>
      <c r="CM199" s="203"/>
      <c r="CN199" s="203"/>
      <c r="CO199" s="203"/>
      <c r="CP199" s="203"/>
      <c r="CQ199" s="203"/>
      <c r="CR199" s="203"/>
      <c r="CS199" s="203"/>
      <c r="CT199" s="203"/>
      <c r="CU199" s="203"/>
      <c r="CV199" s="203"/>
      <c r="CW199" s="203"/>
      <c r="CX199" s="203"/>
      <c r="CY199" s="203"/>
      <c r="CZ199" s="203"/>
      <c r="DA199" s="203"/>
      <c r="DB199" s="203"/>
      <c r="DC199" s="203"/>
      <c r="DD199" s="203"/>
      <c r="DE199" s="203"/>
      <c r="DF199" s="203"/>
      <c r="DG199" s="203"/>
      <c r="DH199" s="203"/>
      <c r="DI199" s="203"/>
      <c r="DJ199" s="203"/>
      <c r="DK199" s="203"/>
      <c r="DL199" s="203"/>
      <c r="DM199" s="203"/>
      <c r="DN199" s="203"/>
      <c r="DO199" s="203"/>
      <c r="DP199" s="203"/>
      <c r="DQ199" s="203"/>
      <c r="DR199" s="203"/>
      <c r="DS199" s="203"/>
      <c r="DT199" s="203"/>
      <c r="DV199" s="203"/>
      <c r="DW199" s="203"/>
      <c r="DX199" s="203"/>
      <c r="DY199" s="203"/>
      <c r="DZ199" s="203"/>
      <c r="EA199" s="203"/>
      <c r="EB199" s="203"/>
      <c r="EX199" s="203"/>
      <c r="EY199" s="203"/>
      <c r="EZ199" s="203"/>
      <c r="FA199" s="203"/>
      <c r="FB199" s="203"/>
      <c r="FC199" s="203"/>
      <c r="FD199" s="574"/>
    </row>
    <row r="200" spans="1:160">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3"/>
      <c r="BN200" s="203"/>
      <c r="BO200" s="203"/>
      <c r="BP200" s="203"/>
      <c r="BQ200" s="203"/>
      <c r="BR200" s="203"/>
      <c r="BS200" s="203"/>
      <c r="BT200" s="203"/>
      <c r="BU200" s="203"/>
      <c r="BV200" s="203"/>
      <c r="BW200" s="203"/>
      <c r="BX200" s="203"/>
      <c r="BY200" s="203"/>
      <c r="BZ200" s="203"/>
      <c r="CA200" s="203"/>
      <c r="CB200" s="203"/>
      <c r="CC200" s="203"/>
      <c r="CD200" s="203"/>
      <c r="CE200" s="203"/>
      <c r="CF200" s="203"/>
      <c r="CG200" s="203"/>
      <c r="CH200" s="203"/>
      <c r="CI200" s="203"/>
      <c r="CJ200" s="203"/>
      <c r="CK200" s="203"/>
      <c r="CL200" s="203"/>
      <c r="CM200" s="203"/>
      <c r="CN200" s="203"/>
      <c r="CO200" s="203"/>
      <c r="CP200" s="203"/>
      <c r="CQ200" s="203"/>
      <c r="CR200" s="203"/>
      <c r="CS200" s="203"/>
      <c r="CT200" s="203"/>
      <c r="CU200" s="203"/>
      <c r="CV200" s="203"/>
      <c r="CW200" s="203"/>
      <c r="CX200" s="203"/>
      <c r="CY200" s="203"/>
      <c r="CZ200" s="203"/>
      <c r="DA200" s="203"/>
      <c r="DB200" s="203"/>
      <c r="DC200" s="203"/>
      <c r="DD200" s="203"/>
      <c r="DE200" s="203"/>
      <c r="DF200" s="203"/>
      <c r="DG200" s="203"/>
      <c r="DH200" s="203"/>
      <c r="DI200" s="203"/>
      <c r="DJ200" s="203"/>
      <c r="DK200" s="203"/>
      <c r="DL200" s="203"/>
      <c r="DM200" s="203"/>
      <c r="DN200" s="203"/>
      <c r="DO200" s="203"/>
      <c r="DP200" s="203"/>
      <c r="DQ200" s="203"/>
      <c r="DR200" s="203"/>
      <c r="DS200" s="203"/>
      <c r="DT200" s="203"/>
      <c r="DV200" s="203"/>
      <c r="DW200" s="203"/>
      <c r="DX200" s="203"/>
      <c r="DY200" s="203"/>
      <c r="DZ200" s="203"/>
      <c r="EA200" s="203"/>
      <c r="EB200" s="203"/>
      <c r="EX200" s="203"/>
      <c r="EY200" s="203"/>
      <c r="EZ200" s="203"/>
      <c r="FA200" s="203"/>
      <c r="FB200" s="203"/>
      <c r="FC200" s="203"/>
      <c r="FD200" s="574"/>
    </row>
    <row r="201" spans="1:160">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s="203"/>
      <c r="BN201" s="203"/>
      <c r="BO201" s="203"/>
      <c r="BP201" s="203"/>
      <c r="BQ201" s="203"/>
      <c r="BR201" s="203"/>
      <c r="BS201" s="203"/>
      <c r="BT201" s="203"/>
      <c r="BU201" s="203"/>
      <c r="BV201" s="203"/>
      <c r="BW201" s="203"/>
      <c r="BX201" s="203"/>
      <c r="BY201" s="203"/>
      <c r="BZ201" s="203"/>
      <c r="CA201" s="203"/>
      <c r="CB201" s="203"/>
      <c r="CC201" s="203"/>
      <c r="CD201" s="203"/>
      <c r="CE201" s="203"/>
      <c r="CF201" s="203"/>
      <c r="CG201" s="203"/>
      <c r="CH201" s="203"/>
      <c r="CI201" s="203"/>
      <c r="CJ201" s="203"/>
      <c r="CK201" s="203"/>
      <c r="CL201" s="203"/>
      <c r="CM201" s="203"/>
      <c r="CN201" s="203"/>
      <c r="CO201" s="203"/>
      <c r="CP201" s="203"/>
      <c r="CQ201" s="203"/>
      <c r="CR201" s="203"/>
      <c r="CS201" s="203"/>
      <c r="CT201" s="203"/>
      <c r="CU201" s="203"/>
      <c r="CV201" s="203"/>
      <c r="CW201" s="203"/>
      <c r="CX201" s="203"/>
      <c r="CY201" s="203"/>
      <c r="CZ201" s="203"/>
      <c r="DA201" s="203"/>
      <c r="DB201" s="203"/>
      <c r="DC201" s="203"/>
      <c r="DD201" s="203"/>
      <c r="DE201" s="203"/>
      <c r="DF201" s="203"/>
      <c r="DG201" s="203"/>
      <c r="DH201" s="203"/>
      <c r="DI201" s="203"/>
      <c r="DJ201" s="203"/>
      <c r="DK201" s="203"/>
      <c r="DL201" s="203"/>
      <c r="DM201" s="203"/>
      <c r="DN201" s="203"/>
      <c r="DO201" s="203"/>
      <c r="DP201" s="203"/>
      <c r="DQ201" s="203"/>
      <c r="DR201" s="203"/>
      <c r="DS201" s="203"/>
      <c r="DT201" s="203"/>
      <c r="DV201" s="203"/>
      <c r="DW201" s="203"/>
      <c r="DX201" s="203"/>
      <c r="DY201" s="203"/>
      <c r="DZ201" s="203"/>
      <c r="EA201" s="203"/>
      <c r="EB201" s="203"/>
      <c r="EX201" s="203"/>
      <c r="EY201" s="203"/>
      <c r="EZ201" s="203"/>
      <c r="FA201" s="203"/>
      <c r="FB201" s="203"/>
      <c r="FC201" s="203"/>
      <c r="FD201" s="574"/>
    </row>
    <row r="202" spans="1:160">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A202" s="203"/>
      <c r="CB202" s="203"/>
      <c r="CC202" s="203"/>
      <c r="CD202" s="203"/>
      <c r="CE202" s="203"/>
      <c r="CF202" s="203"/>
      <c r="CG202" s="203"/>
      <c r="CH202" s="203"/>
      <c r="CI202" s="203"/>
      <c r="CJ202" s="203"/>
      <c r="CK202" s="203"/>
      <c r="CL202" s="203"/>
      <c r="CM202" s="203"/>
      <c r="CN202" s="203"/>
      <c r="CO202" s="203"/>
      <c r="CP202" s="203"/>
      <c r="CQ202" s="203"/>
      <c r="CR202" s="203"/>
      <c r="CS202" s="203"/>
      <c r="CT202" s="203"/>
      <c r="CU202" s="203"/>
      <c r="CV202" s="203"/>
      <c r="CW202" s="203"/>
      <c r="CX202" s="203"/>
      <c r="CY202" s="203"/>
      <c r="CZ202" s="203"/>
      <c r="DA202" s="203"/>
      <c r="DB202" s="203"/>
      <c r="DC202" s="203"/>
      <c r="DD202" s="203"/>
      <c r="DE202" s="203"/>
      <c r="DF202" s="203"/>
      <c r="DG202" s="203"/>
      <c r="DH202" s="203"/>
      <c r="DI202" s="203"/>
      <c r="DJ202" s="203"/>
      <c r="DK202" s="203"/>
      <c r="DL202" s="203"/>
      <c r="DM202" s="203"/>
      <c r="DN202" s="203"/>
      <c r="DO202" s="203"/>
      <c r="DP202" s="203"/>
      <c r="DQ202" s="203"/>
      <c r="DR202" s="203"/>
      <c r="DS202" s="203"/>
      <c r="DT202" s="203"/>
      <c r="DV202" s="203"/>
      <c r="DW202" s="203"/>
      <c r="DX202" s="203"/>
      <c r="DY202" s="203"/>
      <c r="DZ202" s="203"/>
      <c r="EA202" s="203"/>
      <c r="EB202" s="203"/>
      <c r="EX202" s="203"/>
      <c r="EY202" s="203"/>
      <c r="EZ202" s="203"/>
      <c r="FA202" s="203"/>
      <c r="FB202" s="203"/>
      <c r="FC202" s="203"/>
      <c r="FD202" s="203"/>
    </row>
    <row r="203" spans="1:160">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c r="BT203" s="203"/>
      <c r="BU203" s="203"/>
      <c r="BV203" s="203"/>
      <c r="BW203" s="203"/>
      <c r="BX203" s="203"/>
      <c r="BY203" s="203"/>
      <c r="BZ203" s="203"/>
      <c r="CA203" s="203"/>
      <c r="CB203" s="203"/>
      <c r="CC203" s="203"/>
      <c r="CD203" s="203"/>
      <c r="CE203" s="203"/>
      <c r="CF203" s="203"/>
      <c r="CG203" s="203"/>
      <c r="CH203" s="203"/>
      <c r="CI203" s="203"/>
      <c r="CJ203" s="203"/>
      <c r="CK203" s="203"/>
      <c r="CL203" s="203"/>
      <c r="CM203" s="203"/>
      <c r="CN203" s="203"/>
      <c r="CO203" s="203"/>
      <c r="CP203" s="203"/>
      <c r="CQ203" s="203"/>
      <c r="CR203" s="203"/>
      <c r="CS203" s="203"/>
      <c r="CT203" s="203"/>
      <c r="CU203" s="203"/>
      <c r="CV203" s="203"/>
      <c r="CW203" s="203"/>
      <c r="CX203" s="203"/>
      <c r="CY203" s="203"/>
      <c r="CZ203" s="203"/>
      <c r="DA203" s="203"/>
      <c r="DB203" s="203"/>
      <c r="DC203" s="203"/>
      <c r="DD203" s="203"/>
      <c r="DE203" s="203"/>
      <c r="DF203" s="203"/>
      <c r="DG203" s="203"/>
      <c r="DH203" s="203"/>
      <c r="DI203" s="203"/>
      <c r="DJ203" s="203"/>
      <c r="DK203" s="203"/>
      <c r="DL203" s="203"/>
      <c r="DM203" s="203"/>
      <c r="DN203" s="203"/>
      <c r="DO203" s="203"/>
      <c r="DP203" s="203"/>
      <c r="DQ203" s="203"/>
      <c r="DR203" s="203"/>
      <c r="DS203" s="203"/>
      <c r="DT203" s="203"/>
      <c r="DV203" s="203"/>
      <c r="DW203" s="203"/>
      <c r="DX203" s="203"/>
      <c r="DY203" s="203"/>
      <c r="DZ203" s="203"/>
      <c r="EA203" s="203"/>
      <c r="EB203" s="203"/>
      <c r="EX203" s="203"/>
      <c r="EY203" s="203"/>
      <c r="EZ203" s="203"/>
      <c r="FA203" s="203"/>
      <c r="FB203" s="203"/>
      <c r="FC203" s="203"/>
      <c r="FD203" s="203"/>
    </row>
    <row r="204" spans="1:160">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03"/>
      <c r="BQ204" s="203"/>
      <c r="BR204" s="203"/>
      <c r="BS204" s="203"/>
      <c r="BT204" s="203"/>
      <c r="BU204" s="203"/>
      <c r="BV204" s="203"/>
      <c r="BW204" s="203"/>
      <c r="BX204" s="203"/>
      <c r="BY204" s="203"/>
      <c r="BZ204" s="203"/>
      <c r="CA204" s="203"/>
      <c r="CB204" s="203"/>
      <c r="CC204" s="203"/>
      <c r="CD204" s="203"/>
      <c r="CE204" s="203"/>
      <c r="CF204" s="203"/>
      <c r="CG204" s="203"/>
      <c r="CH204" s="203"/>
      <c r="CI204" s="203"/>
      <c r="CJ204" s="203"/>
      <c r="CK204" s="203"/>
      <c r="CL204" s="203"/>
      <c r="CM204" s="203"/>
      <c r="CN204" s="203"/>
      <c r="CO204" s="203"/>
      <c r="CP204" s="203"/>
      <c r="CQ204" s="203"/>
      <c r="CR204" s="203"/>
      <c r="CS204" s="203"/>
      <c r="CT204" s="203"/>
      <c r="CU204" s="203"/>
      <c r="CV204" s="203"/>
      <c r="CW204" s="203"/>
      <c r="CX204" s="203"/>
      <c r="CY204" s="203"/>
      <c r="CZ204" s="203"/>
      <c r="DA204" s="203"/>
      <c r="DB204" s="203"/>
      <c r="DC204" s="203"/>
      <c r="DD204" s="203"/>
      <c r="DE204" s="203"/>
      <c r="DF204" s="203"/>
      <c r="DG204" s="203"/>
      <c r="DH204" s="203"/>
      <c r="DI204" s="203"/>
      <c r="DJ204" s="203"/>
      <c r="DK204" s="203"/>
      <c r="DL204" s="203"/>
      <c r="DM204" s="203"/>
      <c r="DN204" s="203"/>
      <c r="DO204" s="203"/>
      <c r="DP204" s="203"/>
      <c r="DQ204" s="203"/>
      <c r="DR204" s="203"/>
      <c r="DS204" s="203"/>
      <c r="DT204" s="203"/>
      <c r="DV204" s="203"/>
      <c r="DW204" s="203"/>
      <c r="DX204" s="203"/>
      <c r="DY204" s="203"/>
      <c r="DZ204" s="203"/>
      <c r="EA204" s="203"/>
      <c r="EB204" s="203"/>
      <c r="EX204" s="203"/>
      <c r="EY204" s="203"/>
      <c r="EZ204" s="203"/>
      <c r="FA204" s="203"/>
      <c r="FB204" s="203"/>
      <c r="FC204" s="203"/>
      <c r="FD204" s="203"/>
    </row>
    <row r="205" spans="1:160">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V205" s="203"/>
      <c r="DW205" s="203"/>
      <c r="DX205" s="203"/>
      <c r="DY205" s="203"/>
      <c r="DZ205" s="203"/>
      <c r="EA205" s="203"/>
      <c r="EB205" s="203"/>
      <c r="EX205" s="203"/>
      <c r="EY205" s="203"/>
      <c r="EZ205" s="203"/>
      <c r="FA205" s="203"/>
      <c r="FB205" s="203"/>
      <c r="FC205" s="203"/>
      <c r="FD205" s="203"/>
    </row>
    <row r="206" spans="1:160">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s="203"/>
      <c r="BN206" s="203"/>
      <c r="BO206" s="203"/>
      <c r="BP206" s="203"/>
      <c r="BQ206" s="203"/>
      <c r="BR206" s="203"/>
      <c r="BS206" s="203"/>
      <c r="BT206" s="203"/>
      <c r="BU206" s="203"/>
      <c r="BV206" s="203"/>
      <c r="BW206" s="203"/>
      <c r="BX206" s="203"/>
      <c r="BY206" s="203"/>
      <c r="BZ206" s="203"/>
      <c r="CA206" s="203"/>
      <c r="CB206" s="203"/>
      <c r="CC206" s="203"/>
      <c r="CD206" s="203"/>
      <c r="CE206" s="203"/>
      <c r="CF206" s="203"/>
      <c r="CG206" s="203"/>
      <c r="CH206" s="203"/>
      <c r="CI206" s="203"/>
      <c r="CJ206" s="203"/>
      <c r="CK206" s="203"/>
      <c r="CL206" s="203"/>
      <c r="CM206" s="203"/>
      <c r="CN206" s="203"/>
      <c r="CO206" s="203"/>
      <c r="CP206" s="203"/>
      <c r="CQ206" s="203"/>
      <c r="CR206" s="203"/>
      <c r="CS206" s="203"/>
      <c r="CT206" s="203"/>
      <c r="CU206" s="203"/>
      <c r="CV206" s="203"/>
      <c r="CW206" s="203"/>
      <c r="CX206" s="203"/>
      <c r="CY206" s="203"/>
      <c r="CZ206" s="203"/>
      <c r="DA206" s="203"/>
      <c r="DB206" s="203"/>
      <c r="DC206" s="203"/>
      <c r="DD206" s="203"/>
      <c r="DE206" s="203"/>
      <c r="DF206" s="203"/>
      <c r="DG206" s="203"/>
      <c r="DH206" s="203"/>
      <c r="DI206" s="203"/>
      <c r="DJ206" s="203"/>
      <c r="DK206" s="203"/>
      <c r="DL206" s="203"/>
      <c r="DM206" s="203"/>
      <c r="DN206" s="203"/>
      <c r="DO206" s="203"/>
      <c r="DP206" s="203"/>
      <c r="DQ206" s="203"/>
      <c r="DR206" s="203"/>
      <c r="DS206" s="203"/>
      <c r="DT206" s="203"/>
      <c r="DV206" s="203"/>
      <c r="DW206" s="203"/>
      <c r="DX206" s="203"/>
      <c r="DY206" s="203"/>
      <c r="DZ206" s="203"/>
      <c r="EA206" s="203"/>
      <c r="EB206" s="203"/>
      <c r="EX206" s="203"/>
      <c r="EY206" s="203"/>
      <c r="EZ206" s="203"/>
      <c r="FA206" s="203"/>
      <c r="FB206" s="203"/>
      <c r="FC206" s="203"/>
      <c r="FD206" s="203"/>
    </row>
    <row r="207" spans="1:160">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c r="BM207" s="203"/>
      <c r="BN207" s="203"/>
      <c r="BO207" s="203"/>
      <c r="BP207" s="203"/>
      <c r="BQ207" s="203"/>
      <c r="BR207" s="203"/>
      <c r="BS207" s="203"/>
      <c r="BT207" s="203"/>
      <c r="BU207" s="203"/>
      <c r="BV207" s="203"/>
      <c r="BW207" s="203"/>
      <c r="BX207" s="203"/>
      <c r="BY207" s="203"/>
      <c r="BZ207" s="203"/>
      <c r="CA207" s="203"/>
      <c r="CB207" s="203"/>
      <c r="CC207" s="203"/>
      <c r="CD207" s="203"/>
      <c r="CE207" s="203"/>
      <c r="CF207" s="203"/>
      <c r="CG207" s="203"/>
      <c r="CH207" s="203"/>
      <c r="CI207" s="203"/>
      <c r="CJ207" s="203"/>
      <c r="CK207" s="203"/>
      <c r="CL207" s="203"/>
      <c r="CM207" s="203"/>
      <c r="CN207" s="203"/>
      <c r="CO207" s="203"/>
      <c r="CP207" s="203"/>
      <c r="CQ207" s="203"/>
      <c r="CR207" s="203"/>
      <c r="CS207" s="203"/>
      <c r="CT207" s="203"/>
      <c r="CU207" s="203"/>
      <c r="CV207" s="203"/>
      <c r="CW207" s="203"/>
      <c r="CX207" s="203"/>
      <c r="CY207" s="203"/>
      <c r="CZ207" s="203"/>
      <c r="DA207" s="203"/>
      <c r="DB207" s="203"/>
      <c r="DC207" s="203"/>
      <c r="DD207" s="203"/>
      <c r="DE207" s="203"/>
      <c r="DF207" s="203"/>
      <c r="DG207" s="203"/>
      <c r="DH207" s="203"/>
      <c r="DI207" s="203"/>
      <c r="DJ207" s="203"/>
      <c r="DK207" s="203"/>
      <c r="DL207" s="203"/>
      <c r="DM207" s="203"/>
      <c r="DN207" s="203"/>
      <c r="DO207" s="203"/>
      <c r="DP207" s="203"/>
      <c r="DQ207" s="203"/>
      <c r="DR207" s="203"/>
      <c r="DS207" s="203"/>
      <c r="DT207" s="203"/>
      <c r="DV207" s="203"/>
      <c r="DW207" s="203"/>
      <c r="DX207" s="203"/>
      <c r="DY207" s="203"/>
      <c r="DZ207" s="203"/>
      <c r="EA207" s="203"/>
      <c r="EB207" s="203"/>
      <c r="EX207" s="203"/>
      <c r="EY207" s="203"/>
      <c r="EZ207" s="203"/>
      <c r="FA207" s="203"/>
      <c r="FB207" s="203"/>
      <c r="FC207" s="203"/>
      <c r="FD207" s="203"/>
    </row>
    <row r="208" spans="1:160">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203"/>
      <c r="CE208" s="203"/>
      <c r="CF208" s="203"/>
      <c r="CG208" s="203"/>
      <c r="CH208" s="203"/>
      <c r="CI208" s="203"/>
      <c r="CJ208" s="203"/>
      <c r="CK208" s="203"/>
      <c r="CL208" s="203"/>
      <c r="CM208" s="203"/>
      <c r="CN208" s="203"/>
      <c r="CO208" s="203"/>
      <c r="CP208" s="203"/>
      <c r="CQ208" s="203"/>
      <c r="CR208" s="203"/>
      <c r="CS208" s="203"/>
      <c r="CT208" s="203"/>
      <c r="CU208" s="203"/>
      <c r="CV208" s="203"/>
      <c r="CW208" s="203"/>
      <c r="CX208" s="203"/>
      <c r="CY208" s="203"/>
      <c r="CZ208" s="203"/>
      <c r="DA208" s="203"/>
      <c r="DB208" s="203"/>
      <c r="DC208" s="203"/>
      <c r="DD208" s="203"/>
      <c r="DE208" s="203"/>
      <c r="DF208" s="203"/>
      <c r="DG208" s="203"/>
      <c r="DH208" s="203"/>
      <c r="DI208" s="203"/>
      <c r="DJ208" s="203"/>
      <c r="DK208" s="203"/>
      <c r="DL208" s="203"/>
      <c r="DM208" s="203"/>
      <c r="DN208" s="203"/>
      <c r="DO208" s="203"/>
      <c r="DP208" s="203"/>
      <c r="DQ208" s="203"/>
      <c r="DR208" s="203"/>
      <c r="DS208" s="203"/>
      <c r="DT208" s="203"/>
      <c r="DV208" s="203"/>
      <c r="DW208" s="203"/>
      <c r="DX208" s="203"/>
      <c r="DY208" s="203"/>
      <c r="DZ208" s="203"/>
      <c r="EA208" s="203"/>
      <c r="EB208" s="203"/>
      <c r="EX208" s="203"/>
      <c r="EY208" s="203"/>
      <c r="EZ208" s="203"/>
      <c r="FA208" s="203"/>
      <c r="FB208" s="203"/>
      <c r="FC208" s="203"/>
      <c r="FD208" s="203"/>
    </row>
    <row r="209" spans="1:160">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c r="BM209" s="203"/>
      <c r="BN209" s="203"/>
      <c r="BO209" s="203"/>
      <c r="BP209" s="203"/>
      <c r="BQ209" s="203"/>
      <c r="BR209" s="203"/>
      <c r="BS209" s="203"/>
      <c r="BT209" s="203"/>
      <c r="BU209" s="203"/>
      <c r="BV209" s="203"/>
      <c r="BW209" s="203"/>
      <c r="BX209" s="203"/>
      <c r="BY209" s="203"/>
      <c r="BZ209" s="203"/>
      <c r="CA209" s="203"/>
      <c r="CB209" s="203"/>
      <c r="CC209" s="203"/>
      <c r="CD209" s="203"/>
      <c r="CE209" s="203"/>
      <c r="CF209" s="203"/>
      <c r="CG209" s="203"/>
      <c r="CH209" s="203"/>
      <c r="CI209" s="203"/>
      <c r="CJ209" s="203"/>
      <c r="CK209" s="203"/>
      <c r="CL209" s="203"/>
      <c r="CM209" s="203"/>
      <c r="CN209" s="203"/>
      <c r="CO209" s="203"/>
      <c r="CP209" s="203"/>
      <c r="CQ209" s="203"/>
      <c r="CR209" s="203"/>
      <c r="CS209" s="203"/>
      <c r="CT209" s="203"/>
      <c r="CU209" s="203"/>
      <c r="CV209" s="203"/>
      <c r="CW209" s="203"/>
      <c r="CX209" s="203"/>
      <c r="CY209" s="203"/>
      <c r="CZ209" s="203"/>
      <c r="DA209" s="203"/>
      <c r="DB209" s="203"/>
      <c r="DC209" s="203"/>
      <c r="DD209" s="203"/>
      <c r="DE209" s="203"/>
      <c r="DF209" s="203"/>
      <c r="DG209" s="203"/>
      <c r="DH209" s="203"/>
      <c r="DI209" s="203"/>
      <c r="DJ209" s="203"/>
      <c r="DK209" s="203"/>
      <c r="DL209" s="203"/>
      <c r="DM209" s="203"/>
      <c r="DN209" s="203"/>
      <c r="DO209" s="203"/>
      <c r="DP209" s="203"/>
      <c r="DQ209" s="203"/>
      <c r="DR209" s="203"/>
      <c r="DS209" s="203"/>
      <c r="DT209" s="203"/>
      <c r="DV209" s="203"/>
      <c r="DW209" s="203"/>
      <c r="DX209" s="203"/>
      <c r="DY209" s="203"/>
      <c r="DZ209" s="203"/>
      <c r="EA209" s="203"/>
      <c r="EB209" s="203"/>
      <c r="EX209" s="203"/>
      <c r="EY209" s="203"/>
      <c r="EZ209" s="203"/>
      <c r="FA209" s="203"/>
      <c r="FB209" s="203"/>
      <c r="FC209" s="203"/>
      <c r="FD209" s="203"/>
    </row>
    <row r="210" spans="1:160">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203"/>
      <c r="CE210" s="203"/>
      <c r="CF210" s="203"/>
      <c r="CG210" s="203"/>
      <c r="CH210" s="203"/>
      <c r="CI210" s="203"/>
      <c r="CJ210" s="203"/>
      <c r="CK210" s="203"/>
      <c r="CL210" s="203"/>
      <c r="CM210" s="203"/>
      <c r="CN210" s="203"/>
      <c r="CO210" s="203"/>
      <c r="CP210" s="203"/>
      <c r="CQ210" s="203"/>
      <c r="CR210" s="203"/>
      <c r="CS210" s="203"/>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c r="DO210" s="203"/>
      <c r="DP210" s="203"/>
      <c r="DQ210" s="203"/>
      <c r="DR210" s="203"/>
      <c r="DS210" s="203"/>
      <c r="DT210" s="203"/>
      <c r="DV210" s="203"/>
      <c r="DW210" s="203"/>
      <c r="DX210" s="203"/>
      <c r="DY210" s="203"/>
      <c r="DZ210" s="203"/>
      <c r="EA210" s="203"/>
      <c r="EB210" s="203"/>
      <c r="EX210" s="203"/>
      <c r="EY210" s="203"/>
      <c r="EZ210" s="203"/>
      <c r="FA210" s="203"/>
      <c r="FB210" s="203"/>
      <c r="FC210" s="203"/>
      <c r="FD210" s="203"/>
    </row>
    <row r="211" spans="1:160">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A211" s="203"/>
      <c r="CB211" s="203"/>
      <c r="CC211" s="203"/>
      <c r="CD211" s="203"/>
      <c r="CE211" s="203"/>
      <c r="CF211" s="203"/>
      <c r="CG211" s="203"/>
      <c r="CH211" s="203"/>
      <c r="CI211" s="203"/>
      <c r="CJ211" s="203"/>
      <c r="CK211" s="203"/>
      <c r="CL211" s="203"/>
      <c r="CM211" s="203"/>
      <c r="CN211" s="203"/>
      <c r="CO211" s="203"/>
      <c r="CP211" s="203"/>
      <c r="CQ211" s="203"/>
      <c r="CR211" s="203"/>
      <c r="CS211" s="203"/>
      <c r="CT211" s="203"/>
      <c r="CU211" s="203"/>
      <c r="CV211" s="203"/>
      <c r="CW211" s="203"/>
      <c r="CX211" s="203"/>
      <c r="CY211" s="203"/>
      <c r="CZ211" s="203"/>
      <c r="DA211" s="203"/>
      <c r="DB211" s="203"/>
      <c r="DC211" s="203"/>
      <c r="DD211" s="203"/>
      <c r="DE211" s="203"/>
      <c r="DF211" s="203"/>
      <c r="DG211" s="203"/>
      <c r="DH211" s="203"/>
      <c r="DI211" s="203"/>
      <c r="DJ211" s="203"/>
      <c r="DK211" s="203"/>
      <c r="DL211" s="203"/>
      <c r="DM211" s="203"/>
      <c r="DN211" s="203"/>
      <c r="DO211" s="203"/>
      <c r="DP211" s="203"/>
      <c r="DQ211" s="203"/>
      <c r="DR211" s="203"/>
      <c r="DS211" s="203"/>
      <c r="DT211" s="203"/>
      <c r="DV211" s="203"/>
      <c r="DW211" s="203"/>
      <c r="DX211" s="203"/>
      <c r="DY211" s="203"/>
      <c r="DZ211" s="203"/>
      <c r="EA211" s="203"/>
      <c r="EB211" s="203"/>
      <c r="EX211" s="203"/>
      <c r="EY211" s="203"/>
      <c r="EZ211" s="203"/>
      <c r="FA211" s="203"/>
      <c r="FB211" s="203"/>
      <c r="FC211" s="203"/>
      <c r="FD211" s="203"/>
    </row>
    <row r="212" spans="1:160">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BM212" s="203"/>
      <c r="BN212" s="203"/>
      <c r="BO212" s="203"/>
      <c r="BP212" s="203"/>
      <c r="BQ212" s="203"/>
      <c r="BR212" s="203"/>
      <c r="BS212" s="203"/>
      <c r="BT212" s="203"/>
      <c r="BU212" s="203"/>
      <c r="BV212" s="203"/>
      <c r="BW212" s="203"/>
      <c r="BX212" s="203"/>
      <c r="BY212" s="203"/>
      <c r="BZ212" s="203"/>
      <c r="CA212" s="203"/>
      <c r="CB212" s="203"/>
      <c r="CC212" s="203"/>
      <c r="CD212" s="203"/>
      <c r="CE212" s="203"/>
      <c r="CF212" s="203"/>
      <c r="CG212" s="203"/>
      <c r="CH212" s="203"/>
      <c r="CI212" s="203"/>
      <c r="CJ212" s="203"/>
      <c r="CK212" s="203"/>
      <c r="CL212" s="203"/>
      <c r="CM212" s="203"/>
      <c r="CN212" s="203"/>
      <c r="CO212" s="203"/>
      <c r="CP212" s="203"/>
      <c r="CQ212" s="203"/>
      <c r="CR212" s="203"/>
      <c r="CS212" s="203"/>
      <c r="CT212" s="203"/>
      <c r="CU212" s="203"/>
      <c r="CV212" s="203"/>
      <c r="CW212" s="203"/>
      <c r="CX212" s="203"/>
      <c r="CY212" s="203"/>
      <c r="CZ212" s="203"/>
      <c r="DA212" s="203"/>
      <c r="DB212" s="203"/>
      <c r="DC212" s="203"/>
      <c r="DD212" s="203"/>
      <c r="DE212" s="203"/>
      <c r="DF212" s="203"/>
      <c r="DG212" s="203"/>
      <c r="DH212" s="203"/>
      <c r="DI212" s="203"/>
      <c r="DJ212" s="203"/>
      <c r="DK212" s="203"/>
      <c r="DL212" s="203"/>
      <c r="DM212" s="203"/>
      <c r="DN212" s="203"/>
      <c r="DO212" s="203"/>
      <c r="DP212" s="203"/>
      <c r="DQ212" s="203"/>
      <c r="DR212" s="203"/>
      <c r="DS212" s="203"/>
      <c r="DT212" s="203"/>
      <c r="DV212" s="203"/>
      <c r="DW212" s="203"/>
      <c r="DX212" s="203"/>
      <c r="DY212" s="203"/>
      <c r="DZ212" s="203"/>
      <c r="EA212" s="203"/>
      <c r="EB212" s="203"/>
      <c r="EX212" s="203"/>
      <c r="EY212" s="203"/>
      <c r="EZ212" s="203"/>
      <c r="FA212" s="203"/>
      <c r="FB212" s="203"/>
      <c r="FC212" s="203"/>
      <c r="FD212" s="203"/>
    </row>
    <row r="213" spans="1:160">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A213" s="203"/>
      <c r="CB213" s="203"/>
      <c r="CC213" s="203"/>
      <c r="CD213" s="203"/>
      <c r="CE213" s="203"/>
      <c r="CF213" s="203"/>
      <c r="CG213" s="203"/>
      <c r="CH213" s="203"/>
      <c r="CI213" s="203"/>
      <c r="CJ213" s="203"/>
      <c r="CK213" s="203"/>
      <c r="CL213" s="203"/>
      <c r="CM213" s="203"/>
      <c r="CN213" s="203"/>
      <c r="CO213" s="203"/>
      <c r="CP213" s="203"/>
      <c r="CQ213" s="203"/>
      <c r="CR213" s="203"/>
      <c r="CS213" s="203"/>
      <c r="CT213" s="203"/>
      <c r="CU213" s="203"/>
      <c r="CV213" s="203"/>
      <c r="CW213" s="203"/>
      <c r="CX213" s="203"/>
      <c r="CY213" s="203"/>
      <c r="CZ213" s="203"/>
      <c r="DA213" s="203"/>
      <c r="DB213" s="203"/>
      <c r="DC213" s="203"/>
      <c r="DD213" s="203"/>
      <c r="DE213" s="203"/>
      <c r="DF213" s="203"/>
      <c r="DG213" s="203"/>
      <c r="DH213" s="203"/>
      <c r="DI213" s="203"/>
      <c r="DJ213" s="203"/>
      <c r="DK213" s="203"/>
      <c r="DL213" s="203"/>
      <c r="DM213" s="203"/>
      <c r="DN213" s="203"/>
      <c r="DO213" s="203"/>
      <c r="DP213" s="203"/>
      <c r="DQ213" s="203"/>
      <c r="DR213" s="203"/>
      <c r="DS213" s="203"/>
      <c r="DT213" s="203"/>
      <c r="DV213" s="203"/>
      <c r="DW213" s="203"/>
      <c r="DX213" s="203"/>
      <c r="DY213" s="203"/>
      <c r="DZ213" s="203"/>
      <c r="EA213" s="203"/>
      <c r="EB213" s="203"/>
      <c r="EX213" s="203"/>
      <c r="EY213" s="203"/>
      <c r="EZ213" s="203"/>
      <c r="FA213" s="203"/>
      <c r="FB213" s="203"/>
      <c r="FC213" s="203"/>
      <c r="FD213" s="203"/>
    </row>
    <row r="214" spans="1:160">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c r="CI214" s="203"/>
      <c r="CJ214" s="203"/>
      <c r="CK214" s="203"/>
      <c r="CL214" s="203"/>
      <c r="CM214" s="203"/>
      <c r="CN214" s="203"/>
      <c r="CO214" s="203"/>
      <c r="CP214" s="203"/>
      <c r="CQ214" s="203"/>
      <c r="CR214" s="203"/>
      <c r="CS214" s="203"/>
      <c r="CT214" s="203"/>
      <c r="CU214" s="203"/>
      <c r="CV214" s="203"/>
      <c r="CW214" s="203"/>
      <c r="CX214" s="203"/>
      <c r="CY214" s="203"/>
      <c r="CZ214" s="203"/>
      <c r="DA214" s="203"/>
      <c r="DB214" s="203"/>
      <c r="DC214" s="203"/>
      <c r="DD214" s="203"/>
      <c r="DE214" s="203"/>
      <c r="DF214" s="203"/>
      <c r="DG214" s="203"/>
      <c r="DH214" s="203"/>
      <c r="DI214" s="203"/>
      <c r="DJ214" s="203"/>
      <c r="DK214" s="203"/>
      <c r="DL214" s="203"/>
      <c r="DM214" s="203"/>
      <c r="DN214" s="203"/>
      <c r="DO214" s="203"/>
      <c r="DP214" s="203"/>
      <c r="DQ214" s="203"/>
      <c r="DR214" s="203"/>
      <c r="DS214" s="203"/>
      <c r="DT214" s="203"/>
      <c r="DV214" s="203"/>
      <c r="DW214" s="203"/>
      <c r="DX214" s="203"/>
      <c r="DY214" s="203"/>
      <c r="DZ214" s="203"/>
      <c r="EA214" s="203"/>
      <c r="EB214" s="203"/>
      <c r="EX214" s="203"/>
      <c r="EY214" s="203"/>
      <c r="EZ214" s="203"/>
      <c r="FA214" s="203"/>
      <c r="FB214" s="203"/>
      <c r="FC214" s="203"/>
      <c r="FD214" s="203"/>
    </row>
    <row r="215" spans="1:160">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c r="CA215" s="203"/>
      <c r="CB215" s="203"/>
      <c r="CC215" s="203"/>
      <c r="CD215" s="203"/>
      <c r="CE215" s="203"/>
      <c r="CF215" s="203"/>
      <c r="CG215" s="203"/>
      <c r="CH215" s="203"/>
      <c r="CI215" s="203"/>
      <c r="CJ215" s="203"/>
      <c r="CK215" s="203"/>
      <c r="CL215" s="203"/>
      <c r="CM215" s="203"/>
      <c r="CN215" s="203"/>
      <c r="CO215" s="203"/>
      <c r="CP215" s="203"/>
      <c r="CQ215" s="203"/>
      <c r="CR215" s="203"/>
      <c r="CS215" s="203"/>
      <c r="CT215" s="203"/>
      <c r="CU215" s="203"/>
      <c r="CV215" s="203"/>
      <c r="CW215" s="203"/>
      <c r="CX215" s="203"/>
      <c r="CY215" s="203"/>
      <c r="CZ215" s="203"/>
      <c r="DA215" s="203"/>
      <c r="DB215" s="203"/>
      <c r="DC215" s="203"/>
      <c r="DD215" s="203"/>
      <c r="DE215" s="203"/>
      <c r="DF215" s="203"/>
      <c r="DG215" s="203"/>
      <c r="DH215" s="203"/>
      <c r="DI215" s="203"/>
      <c r="DJ215" s="203"/>
      <c r="DK215" s="203"/>
      <c r="DL215" s="203"/>
      <c r="DM215" s="203"/>
      <c r="DN215" s="203"/>
      <c r="DO215" s="203"/>
      <c r="DP215" s="203"/>
      <c r="DQ215" s="203"/>
      <c r="DR215" s="203"/>
      <c r="DS215" s="203"/>
      <c r="DT215" s="203"/>
      <c r="DV215" s="203"/>
      <c r="DW215" s="203"/>
      <c r="DX215" s="203"/>
      <c r="DY215" s="203"/>
      <c r="DZ215" s="203"/>
      <c r="EA215" s="203"/>
      <c r="EB215" s="203"/>
      <c r="EX215" s="203"/>
      <c r="EY215" s="203"/>
      <c r="EZ215" s="203"/>
      <c r="FA215" s="203"/>
      <c r="FB215" s="203"/>
      <c r="FC215" s="203"/>
      <c r="FD215" s="203"/>
    </row>
    <row r="216" spans="1:160">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c r="BM216" s="203"/>
      <c r="BN216" s="203"/>
      <c r="BO216" s="203"/>
      <c r="BP216" s="203"/>
      <c r="BQ216" s="203"/>
      <c r="BR216" s="203"/>
      <c r="BS216" s="203"/>
      <c r="BT216" s="203"/>
      <c r="BU216" s="203"/>
      <c r="BV216" s="203"/>
      <c r="BW216" s="203"/>
      <c r="BX216" s="203"/>
      <c r="BY216" s="203"/>
      <c r="BZ216" s="203"/>
      <c r="CA216" s="203"/>
      <c r="CB216" s="203"/>
      <c r="CC216" s="203"/>
      <c r="CD216" s="203"/>
      <c r="CE216" s="203"/>
      <c r="CF216" s="203"/>
      <c r="CG216" s="203"/>
      <c r="CH216" s="203"/>
      <c r="CI216" s="203"/>
      <c r="CJ216" s="203"/>
      <c r="CK216" s="203"/>
      <c r="CL216" s="203"/>
      <c r="CM216" s="203"/>
      <c r="CN216" s="203"/>
      <c r="CO216" s="203"/>
      <c r="CP216" s="203"/>
      <c r="CQ216" s="203"/>
      <c r="CR216" s="203"/>
      <c r="CS216" s="203"/>
      <c r="CT216" s="203"/>
      <c r="CU216" s="203"/>
      <c r="CV216" s="203"/>
      <c r="CW216" s="203"/>
      <c r="CX216" s="203"/>
      <c r="CY216" s="203"/>
      <c r="CZ216" s="203"/>
      <c r="DA216" s="203"/>
      <c r="DB216" s="203"/>
      <c r="DC216" s="203"/>
      <c r="DD216" s="203"/>
      <c r="DE216" s="203"/>
      <c r="DF216" s="203"/>
      <c r="DG216" s="203"/>
      <c r="DH216" s="203"/>
      <c r="DI216" s="203"/>
      <c r="DJ216" s="203"/>
      <c r="DK216" s="203"/>
      <c r="DL216" s="203"/>
      <c r="DM216" s="203"/>
      <c r="DN216" s="203"/>
      <c r="DO216" s="203"/>
      <c r="DP216" s="203"/>
      <c r="DQ216" s="203"/>
      <c r="DR216" s="203"/>
      <c r="DS216" s="203"/>
      <c r="DT216" s="203"/>
      <c r="DV216" s="203"/>
      <c r="DW216" s="203"/>
      <c r="DX216" s="203"/>
      <c r="DY216" s="203"/>
      <c r="DZ216" s="203"/>
      <c r="EA216" s="203"/>
      <c r="EB216" s="203"/>
      <c r="EX216" s="203"/>
      <c r="EY216" s="203"/>
      <c r="EZ216" s="203"/>
      <c r="FA216" s="203"/>
      <c r="FB216" s="203"/>
      <c r="FC216" s="203"/>
      <c r="FD216" s="203"/>
    </row>
    <row r="217" spans="1:160">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203"/>
      <c r="DG217" s="203"/>
      <c r="DH217" s="203"/>
      <c r="DI217" s="203"/>
      <c r="DJ217" s="203"/>
      <c r="DK217" s="203"/>
      <c r="DL217" s="203"/>
      <c r="DM217" s="203"/>
      <c r="DN217" s="203"/>
      <c r="DO217" s="203"/>
      <c r="DP217" s="203"/>
      <c r="DQ217" s="203"/>
      <c r="DR217" s="203"/>
      <c r="DS217" s="203"/>
      <c r="DT217" s="203"/>
      <c r="DV217" s="203"/>
      <c r="DW217" s="203"/>
      <c r="DX217" s="203"/>
      <c r="DY217" s="203"/>
      <c r="DZ217" s="203"/>
      <c r="EA217" s="203"/>
      <c r="EB217" s="203"/>
      <c r="EX217" s="203"/>
      <c r="EY217" s="203"/>
      <c r="EZ217" s="203"/>
      <c r="FA217" s="203"/>
      <c r="FB217" s="203"/>
      <c r="FC217" s="203"/>
      <c r="FD217" s="203"/>
    </row>
    <row r="218" spans="1:160">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203"/>
      <c r="CD218" s="203"/>
      <c r="CE218" s="203"/>
      <c r="CF218" s="203"/>
      <c r="CG218" s="203"/>
      <c r="CH218" s="203"/>
      <c r="CI218" s="203"/>
      <c r="CJ218" s="203"/>
      <c r="CK218" s="203"/>
      <c r="CL218" s="203"/>
      <c r="CM218" s="203"/>
      <c r="CN218" s="203"/>
      <c r="CO218" s="203"/>
      <c r="CP218" s="203"/>
      <c r="CQ218" s="203"/>
      <c r="CR218" s="203"/>
      <c r="CS218" s="203"/>
      <c r="CT218" s="203"/>
      <c r="CU218" s="203"/>
      <c r="CV218" s="203"/>
      <c r="CW218" s="203"/>
      <c r="CX218" s="203"/>
      <c r="CY218" s="203"/>
      <c r="CZ218" s="203"/>
      <c r="DA218" s="203"/>
      <c r="DB218" s="203"/>
      <c r="DC218" s="203"/>
      <c r="DD218" s="203"/>
      <c r="DE218" s="203"/>
      <c r="DF218" s="203"/>
      <c r="DG218" s="203"/>
      <c r="DH218" s="203"/>
      <c r="DI218" s="203"/>
      <c r="DJ218" s="203"/>
      <c r="DK218" s="203"/>
      <c r="DL218" s="203"/>
      <c r="DM218" s="203"/>
      <c r="DN218" s="203"/>
      <c r="DO218" s="203"/>
      <c r="DP218" s="203"/>
      <c r="DQ218" s="203"/>
      <c r="DR218" s="203"/>
      <c r="DS218" s="203"/>
      <c r="DT218" s="203"/>
      <c r="DV218" s="203"/>
      <c r="DW218" s="203"/>
      <c r="DX218" s="203"/>
      <c r="DY218" s="203"/>
      <c r="DZ218" s="203"/>
      <c r="EA218" s="203"/>
      <c r="EB218" s="203"/>
      <c r="EX218" s="203"/>
      <c r="EY218" s="203"/>
      <c r="EZ218" s="203"/>
      <c r="FA218" s="203"/>
      <c r="FB218" s="203"/>
      <c r="FC218" s="203"/>
      <c r="FD218" s="203"/>
    </row>
    <row r="219" spans="1:160">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c r="BM219" s="203"/>
      <c r="BN219" s="203"/>
      <c r="BO219" s="203"/>
      <c r="BP219" s="203"/>
      <c r="BQ219" s="203"/>
      <c r="BR219" s="203"/>
      <c r="BS219" s="203"/>
      <c r="BT219" s="203"/>
      <c r="BU219" s="203"/>
      <c r="BV219" s="203"/>
      <c r="BW219" s="203"/>
      <c r="BX219" s="203"/>
      <c r="BY219" s="203"/>
      <c r="BZ219" s="203"/>
      <c r="CA219" s="203"/>
      <c r="CB219" s="203"/>
      <c r="CC219" s="203"/>
      <c r="CD219" s="203"/>
      <c r="CE219" s="203"/>
      <c r="CF219" s="203"/>
      <c r="CG219" s="203"/>
      <c r="CH219" s="203"/>
      <c r="CI219" s="203"/>
      <c r="CJ219" s="203"/>
      <c r="CK219" s="203"/>
      <c r="CL219" s="203"/>
      <c r="CM219" s="203"/>
      <c r="CN219" s="203"/>
      <c r="CO219" s="203"/>
      <c r="CP219" s="203"/>
      <c r="CQ219" s="203"/>
      <c r="CR219" s="203"/>
      <c r="CS219" s="203"/>
      <c r="CT219" s="203"/>
      <c r="CU219" s="203"/>
      <c r="CV219" s="203"/>
      <c r="CW219" s="203"/>
      <c r="CX219" s="203"/>
      <c r="CY219" s="203"/>
      <c r="CZ219" s="203"/>
      <c r="DA219" s="203"/>
      <c r="DB219" s="203"/>
      <c r="DC219" s="203"/>
      <c r="DD219" s="203"/>
      <c r="DE219" s="203"/>
      <c r="DF219" s="203"/>
      <c r="DG219" s="203"/>
      <c r="DH219" s="203"/>
      <c r="DI219" s="203"/>
      <c r="DJ219" s="203"/>
      <c r="DK219" s="203"/>
      <c r="DL219" s="203"/>
      <c r="DM219" s="203"/>
      <c r="DN219" s="203"/>
      <c r="DO219" s="203"/>
      <c r="DP219" s="203"/>
      <c r="DQ219" s="203"/>
      <c r="DR219" s="203"/>
      <c r="DS219" s="203"/>
      <c r="DT219" s="203"/>
      <c r="DV219" s="203"/>
      <c r="DW219" s="203"/>
      <c r="DX219" s="203"/>
      <c r="DY219" s="203"/>
      <c r="DZ219" s="203"/>
      <c r="EA219" s="203"/>
      <c r="EB219" s="203"/>
      <c r="EX219" s="203"/>
      <c r="EY219" s="203"/>
      <c r="EZ219" s="203"/>
      <c r="FA219" s="203"/>
      <c r="FB219" s="203"/>
      <c r="FC219" s="203"/>
      <c r="FD219" s="203"/>
    </row>
    <row r="220" spans="1:160">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c r="BH220" s="203"/>
      <c r="BI220" s="203"/>
      <c r="BJ220" s="203"/>
      <c r="BK220" s="203"/>
      <c r="BL220" s="203"/>
      <c r="BM220" s="203"/>
      <c r="BN220" s="203"/>
      <c r="BO220" s="203"/>
      <c r="BP220" s="203"/>
      <c r="BQ220" s="203"/>
      <c r="BR220" s="203"/>
      <c r="BS220" s="203"/>
      <c r="BT220" s="203"/>
      <c r="BU220" s="203"/>
      <c r="BV220" s="203"/>
      <c r="BW220" s="203"/>
      <c r="BX220" s="203"/>
      <c r="BY220" s="203"/>
      <c r="BZ220" s="203"/>
      <c r="CA220" s="203"/>
      <c r="CB220" s="203"/>
      <c r="CC220" s="203"/>
      <c r="CD220" s="203"/>
      <c r="CE220" s="203"/>
      <c r="CF220" s="203"/>
      <c r="CG220" s="203"/>
      <c r="CH220" s="203"/>
      <c r="CI220" s="203"/>
      <c r="CJ220" s="203"/>
      <c r="CK220" s="203"/>
      <c r="CL220" s="203"/>
      <c r="CM220" s="203"/>
      <c r="CN220" s="203"/>
      <c r="CO220" s="203"/>
      <c r="CP220" s="203"/>
      <c r="CQ220" s="203"/>
      <c r="CR220" s="203"/>
      <c r="CS220" s="203"/>
      <c r="CT220" s="203"/>
      <c r="CU220" s="203"/>
      <c r="CV220" s="203"/>
      <c r="CW220" s="203"/>
      <c r="CX220" s="203"/>
      <c r="CY220" s="203"/>
      <c r="CZ220" s="203"/>
      <c r="DA220" s="203"/>
      <c r="DB220" s="203"/>
      <c r="DC220" s="203"/>
      <c r="DD220" s="203"/>
      <c r="DE220" s="203"/>
      <c r="DF220" s="203"/>
      <c r="DG220" s="203"/>
      <c r="DH220" s="203"/>
      <c r="DI220" s="203"/>
      <c r="DJ220" s="203"/>
      <c r="DK220" s="203"/>
      <c r="DL220" s="203"/>
      <c r="DM220" s="203"/>
      <c r="DN220" s="203"/>
      <c r="DO220" s="203"/>
      <c r="DP220" s="203"/>
      <c r="DQ220" s="203"/>
      <c r="DR220" s="203"/>
      <c r="DS220" s="203"/>
      <c r="DT220" s="203"/>
      <c r="DV220" s="203"/>
      <c r="DW220" s="203"/>
      <c r="DX220" s="203"/>
      <c r="DY220" s="203"/>
      <c r="DZ220" s="203"/>
      <c r="EA220" s="203"/>
      <c r="EB220" s="203"/>
      <c r="EX220" s="203"/>
      <c r="EY220" s="203"/>
      <c r="EZ220" s="203"/>
      <c r="FA220" s="203"/>
      <c r="FB220" s="203"/>
      <c r="FC220" s="203"/>
      <c r="FD220" s="203"/>
    </row>
    <row r="221" spans="1:160">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c r="BM221" s="203"/>
      <c r="BN221" s="203"/>
      <c r="BO221" s="203"/>
      <c r="BP221" s="203"/>
      <c r="BQ221" s="203"/>
      <c r="BR221" s="203"/>
      <c r="BS221" s="203"/>
      <c r="BT221" s="203"/>
      <c r="BU221" s="203"/>
      <c r="BV221" s="203"/>
      <c r="BW221" s="203"/>
      <c r="BX221" s="203"/>
      <c r="BY221" s="203"/>
      <c r="BZ221" s="203"/>
      <c r="CA221" s="203"/>
      <c r="CB221" s="203"/>
      <c r="CC221" s="203"/>
      <c r="CD221" s="203"/>
      <c r="CE221" s="203"/>
      <c r="CF221" s="203"/>
      <c r="CG221" s="203"/>
      <c r="CH221" s="203"/>
      <c r="CI221" s="203"/>
      <c r="CJ221" s="203"/>
      <c r="CK221" s="203"/>
      <c r="CL221" s="203"/>
      <c r="CM221" s="203"/>
      <c r="CN221" s="203"/>
      <c r="CO221" s="203"/>
      <c r="CP221" s="203"/>
      <c r="CQ221" s="203"/>
      <c r="CR221" s="203"/>
      <c r="CS221" s="203"/>
      <c r="CT221" s="203"/>
      <c r="CU221" s="203"/>
      <c r="CV221" s="203"/>
      <c r="CW221" s="203"/>
      <c r="CX221" s="203"/>
      <c r="CY221" s="203"/>
      <c r="CZ221" s="203"/>
      <c r="DA221" s="203"/>
      <c r="DB221" s="203"/>
      <c r="DC221" s="203"/>
      <c r="DD221" s="203"/>
      <c r="DE221" s="203"/>
      <c r="DF221" s="203"/>
      <c r="DG221" s="203"/>
      <c r="DH221" s="203"/>
      <c r="DI221" s="203"/>
      <c r="DJ221" s="203"/>
      <c r="DK221" s="203"/>
      <c r="DL221" s="203"/>
      <c r="DM221" s="203"/>
      <c r="DN221" s="203"/>
      <c r="DO221" s="203"/>
      <c r="DP221" s="203"/>
      <c r="DQ221" s="203"/>
      <c r="DR221" s="203"/>
      <c r="DS221" s="203"/>
      <c r="DT221" s="203"/>
      <c r="DV221" s="203"/>
      <c r="DW221" s="203"/>
      <c r="DX221" s="203"/>
      <c r="DY221" s="203"/>
      <c r="DZ221" s="203"/>
      <c r="EA221" s="203"/>
      <c r="EB221" s="203"/>
      <c r="EX221" s="203"/>
      <c r="EY221" s="203"/>
      <c r="EZ221" s="203"/>
      <c r="FA221" s="203"/>
      <c r="FB221" s="203"/>
      <c r="FC221" s="203"/>
      <c r="FD221" s="203"/>
    </row>
    <row r="222" spans="1:160">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A222" s="203"/>
      <c r="CB222" s="203"/>
      <c r="CC222" s="203"/>
      <c r="CD222" s="203"/>
      <c r="CE222" s="203"/>
      <c r="CF222" s="203"/>
      <c r="CG222" s="203"/>
      <c r="CH222" s="203"/>
      <c r="CI222" s="203"/>
      <c r="CJ222" s="203"/>
      <c r="CK222" s="203"/>
      <c r="CL222" s="203"/>
      <c r="CM222" s="203"/>
      <c r="CN222" s="203"/>
      <c r="CO222" s="203"/>
      <c r="CP222" s="203"/>
      <c r="CQ222" s="203"/>
      <c r="CR222" s="203"/>
      <c r="CS222" s="203"/>
      <c r="CT222" s="203"/>
      <c r="CU222" s="203"/>
      <c r="CV222" s="203"/>
      <c r="CW222" s="203"/>
      <c r="CX222" s="203"/>
      <c r="CY222" s="203"/>
      <c r="CZ222" s="203"/>
      <c r="DA222" s="203"/>
      <c r="DB222" s="203"/>
      <c r="DC222" s="203"/>
      <c r="DD222" s="203"/>
      <c r="DE222" s="203"/>
      <c r="DF222" s="203"/>
      <c r="DG222" s="203"/>
      <c r="DH222" s="203"/>
      <c r="DI222" s="203"/>
      <c r="DJ222" s="203"/>
      <c r="DK222" s="203"/>
      <c r="DL222" s="203"/>
      <c r="DM222" s="203"/>
      <c r="DN222" s="203"/>
      <c r="DO222" s="203"/>
      <c r="DP222" s="203"/>
      <c r="DQ222" s="203"/>
      <c r="DR222" s="203"/>
      <c r="DS222" s="203"/>
      <c r="DT222" s="203"/>
      <c r="DV222" s="203"/>
      <c r="DW222" s="203"/>
      <c r="DX222" s="203"/>
      <c r="DY222" s="203"/>
      <c r="DZ222" s="203"/>
      <c r="EA222" s="203"/>
      <c r="EB222" s="203"/>
      <c r="EX222" s="203"/>
      <c r="EY222" s="203"/>
      <c r="EZ222" s="203"/>
      <c r="FA222" s="203"/>
      <c r="FB222" s="203"/>
      <c r="FC222" s="203"/>
      <c r="FD222" s="203"/>
    </row>
    <row r="223" spans="1:160">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c r="BM223" s="203"/>
      <c r="BN223" s="203"/>
      <c r="BO223" s="203"/>
      <c r="BP223" s="203"/>
      <c r="BQ223" s="203"/>
      <c r="BR223" s="203"/>
      <c r="BS223" s="203"/>
      <c r="BT223" s="203"/>
      <c r="BU223" s="203"/>
      <c r="BV223" s="203"/>
      <c r="BW223" s="203"/>
      <c r="BX223" s="203"/>
      <c r="BY223" s="203"/>
      <c r="BZ223" s="203"/>
      <c r="CA223" s="203"/>
      <c r="CB223" s="203"/>
      <c r="CC223" s="203"/>
      <c r="CD223" s="203"/>
      <c r="CE223" s="203"/>
      <c r="CF223" s="203"/>
      <c r="CG223" s="203"/>
      <c r="CH223" s="203"/>
      <c r="CI223" s="203"/>
      <c r="CJ223" s="203"/>
      <c r="CK223" s="203"/>
      <c r="CL223" s="203"/>
      <c r="CM223" s="203"/>
      <c r="CN223" s="203"/>
      <c r="CO223" s="203"/>
      <c r="CP223" s="203"/>
      <c r="CQ223" s="203"/>
      <c r="CR223" s="203"/>
      <c r="CS223" s="203"/>
      <c r="CT223" s="203"/>
      <c r="CU223" s="203"/>
      <c r="CV223" s="203"/>
      <c r="CW223" s="203"/>
      <c r="CX223" s="203"/>
      <c r="CY223" s="203"/>
      <c r="CZ223" s="203"/>
      <c r="DA223" s="203"/>
      <c r="DB223" s="203"/>
      <c r="DC223" s="203"/>
      <c r="DD223" s="203"/>
      <c r="DE223" s="203"/>
      <c r="DF223" s="203"/>
      <c r="DG223" s="203"/>
      <c r="DH223" s="203"/>
      <c r="DI223" s="203"/>
      <c r="DJ223" s="203"/>
      <c r="DK223" s="203"/>
      <c r="DL223" s="203"/>
      <c r="DM223" s="203"/>
      <c r="DN223" s="203"/>
      <c r="DO223" s="203"/>
      <c r="DP223" s="203"/>
      <c r="DQ223" s="203"/>
      <c r="DR223" s="203"/>
      <c r="DS223" s="203"/>
      <c r="DT223" s="203"/>
      <c r="DV223" s="203"/>
      <c r="DW223" s="203"/>
      <c r="DX223" s="203"/>
      <c r="DY223" s="203"/>
      <c r="DZ223" s="203"/>
      <c r="EA223" s="203"/>
      <c r="EB223" s="203"/>
      <c r="EX223" s="203"/>
      <c r="EY223" s="203"/>
      <c r="EZ223" s="203"/>
      <c r="FA223" s="203"/>
      <c r="FB223" s="203"/>
      <c r="FC223" s="203"/>
      <c r="FD223" s="203"/>
    </row>
    <row r="224" spans="1:160">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c r="BM224" s="203"/>
      <c r="BN224" s="203"/>
      <c r="BO224" s="203"/>
      <c r="BP224" s="203"/>
      <c r="BQ224" s="203"/>
      <c r="BR224" s="203"/>
      <c r="BS224" s="203"/>
      <c r="BT224" s="203"/>
      <c r="BU224" s="203"/>
      <c r="BV224" s="203"/>
      <c r="BW224" s="203"/>
      <c r="BX224" s="203"/>
      <c r="BY224" s="203"/>
      <c r="BZ224" s="203"/>
      <c r="CA224" s="203"/>
      <c r="CB224" s="203"/>
      <c r="CC224" s="203"/>
      <c r="CD224" s="203"/>
      <c r="CE224" s="203"/>
      <c r="CF224" s="203"/>
      <c r="CG224" s="203"/>
      <c r="CH224" s="203"/>
      <c r="CI224" s="203"/>
      <c r="CJ224" s="203"/>
      <c r="CK224" s="203"/>
      <c r="CL224" s="203"/>
      <c r="CM224" s="203"/>
      <c r="CN224" s="203"/>
      <c r="CO224" s="203"/>
      <c r="CP224" s="203"/>
      <c r="CQ224" s="203"/>
      <c r="CR224" s="203"/>
      <c r="CS224" s="203"/>
      <c r="CT224" s="203"/>
      <c r="CU224" s="203"/>
      <c r="CV224" s="203"/>
      <c r="CW224" s="203"/>
      <c r="CX224" s="203"/>
      <c r="CY224" s="203"/>
      <c r="CZ224" s="203"/>
      <c r="DA224" s="203"/>
      <c r="DB224" s="203"/>
      <c r="DC224" s="203"/>
      <c r="DD224" s="203"/>
      <c r="DE224" s="203"/>
      <c r="DF224" s="203"/>
      <c r="DG224" s="203"/>
      <c r="DH224" s="203"/>
      <c r="DI224" s="203"/>
      <c r="DJ224" s="203"/>
      <c r="DK224" s="203"/>
      <c r="DL224" s="203"/>
      <c r="DM224" s="203"/>
      <c r="DN224" s="203"/>
      <c r="DO224" s="203"/>
      <c r="DP224" s="203"/>
      <c r="DQ224" s="203"/>
      <c r="DR224" s="203"/>
      <c r="DS224" s="203"/>
      <c r="DT224" s="203"/>
      <c r="DV224" s="203"/>
      <c r="DW224" s="203"/>
      <c r="DX224" s="203"/>
      <c r="DY224" s="203"/>
      <c r="DZ224" s="203"/>
      <c r="EA224" s="203"/>
      <c r="EB224" s="203"/>
      <c r="EX224" s="203"/>
      <c r="EY224" s="203"/>
      <c r="EZ224" s="203"/>
      <c r="FA224" s="203"/>
      <c r="FB224" s="203"/>
      <c r="FC224" s="203"/>
      <c r="FD224" s="203"/>
    </row>
    <row r="225" spans="1:160">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A225" s="203"/>
      <c r="CB225" s="203"/>
      <c r="CC225" s="203"/>
      <c r="CD225" s="203"/>
      <c r="CE225" s="203"/>
      <c r="CF225" s="203"/>
      <c r="CG225" s="203"/>
      <c r="CH225" s="203"/>
      <c r="CI225" s="203"/>
      <c r="CJ225" s="203"/>
      <c r="CK225" s="203"/>
      <c r="CL225" s="203"/>
      <c r="CM225" s="203"/>
      <c r="CN225" s="203"/>
      <c r="CO225" s="203"/>
      <c r="CP225" s="203"/>
      <c r="CQ225" s="203"/>
      <c r="CR225" s="203"/>
      <c r="CS225" s="203"/>
      <c r="CT225" s="203"/>
      <c r="CU225" s="203"/>
      <c r="CV225" s="203"/>
      <c r="CW225" s="203"/>
      <c r="CX225" s="203"/>
      <c r="CY225" s="203"/>
      <c r="CZ225" s="203"/>
      <c r="DA225" s="203"/>
      <c r="DB225" s="203"/>
      <c r="DC225" s="203"/>
      <c r="DD225" s="203"/>
      <c r="DE225" s="203"/>
      <c r="DF225" s="203"/>
      <c r="DG225" s="203"/>
      <c r="DH225" s="203"/>
      <c r="DI225" s="203"/>
      <c r="DJ225" s="203"/>
      <c r="DK225" s="203"/>
      <c r="DL225" s="203"/>
      <c r="DM225" s="203"/>
      <c r="DN225" s="203"/>
      <c r="DO225" s="203"/>
      <c r="DP225" s="203"/>
      <c r="DQ225" s="203"/>
      <c r="DR225" s="203"/>
      <c r="DS225" s="203"/>
      <c r="DT225" s="203"/>
      <c r="DV225" s="203"/>
      <c r="DW225" s="203"/>
      <c r="DX225" s="203"/>
      <c r="DY225" s="203"/>
      <c r="DZ225" s="203"/>
      <c r="EA225" s="203"/>
      <c r="EB225" s="203"/>
      <c r="EX225" s="203"/>
      <c r="EY225" s="203"/>
      <c r="EZ225" s="203"/>
      <c r="FA225" s="203"/>
      <c r="FB225" s="203"/>
      <c r="FC225" s="203"/>
      <c r="FD225" s="203"/>
    </row>
    <row r="226" spans="1:160">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A226" s="203"/>
      <c r="CB226" s="203"/>
      <c r="CC226" s="203"/>
      <c r="CD226" s="203"/>
      <c r="CE226" s="203"/>
      <c r="CF226" s="203"/>
      <c r="CG226" s="203"/>
      <c r="CH226" s="203"/>
      <c r="CI226" s="203"/>
      <c r="CJ226" s="203"/>
      <c r="CK226" s="203"/>
      <c r="CL226" s="203"/>
      <c r="CM226" s="203"/>
      <c r="CN226" s="203"/>
      <c r="CO226" s="203"/>
      <c r="CP226" s="203"/>
      <c r="CQ226" s="203"/>
      <c r="CR226" s="203"/>
      <c r="CS226" s="203"/>
      <c r="CT226" s="203"/>
      <c r="CU226" s="203"/>
      <c r="CV226" s="203"/>
      <c r="CW226" s="203"/>
      <c r="CX226" s="203"/>
      <c r="CY226" s="203"/>
      <c r="CZ226" s="203"/>
      <c r="DA226" s="203"/>
      <c r="DB226" s="203"/>
      <c r="DC226" s="203"/>
      <c r="DD226" s="203"/>
      <c r="DE226" s="203"/>
      <c r="DF226" s="203"/>
      <c r="DG226" s="203"/>
      <c r="DH226" s="203"/>
      <c r="DI226" s="203"/>
      <c r="DJ226" s="203"/>
      <c r="DK226" s="203"/>
      <c r="DL226" s="203"/>
      <c r="DM226" s="203"/>
      <c r="DN226" s="203"/>
      <c r="DO226" s="203"/>
      <c r="DP226" s="203"/>
      <c r="DQ226" s="203"/>
      <c r="DR226" s="203"/>
      <c r="DS226" s="203"/>
      <c r="DT226" s="203"/>
      <c r="DV226" s="203"/>
      <c r="DW226" s="203"/>
      <c r="DX226" s="203"/>
      <c r="DY226" s="203"/>
      <c r="DZ226" s="203"/>
      <c r="EA226" s="203"/>
      <c r="EB226" s="203"/>
      <c r="EX226" s="203"/>
      <c r="EY226" s="203"/>
      <c r="EZ226" s="203"/>
      <c r="FA226" s="203"/>
      <c r="FB226" s="203"/>
      <c r="FC226" s="203"/>
      <c r="FD226" s="203"/>
    </row>
    <row r="227" spans="1:160">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203"/>
      <c r="BN227" s="203"/>
      <c r="BO227" s="203"/>
      <c r="BP227" s="203"/>
      <c r="BQ227" s="203"/>
      <c r="BR227" s="203"/>
      <c r="BS227" s="203"/>
      <c r="BT227" s="203"/>
      <c r="BU227" s="203"/>
      <c r="BV227" s="203"/>
      <c r="BW227" s="203"/>
      <c r="BX227" s="203"/>
      <c r="BY227" s="203"/>
      <c r="BZ227" s="203"/>
      <c r="CA227" s="203"/>
      <c r="CB227" s="203"/>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V227" s="203"/>
      <c r="DW227" s="203"/>
      <c r="DX227" s="203"/>
      <c r="DY227" s="203"/>
      <c r="DZ227" s="203"/>
      <c r="EA227" s="203"/>
      <c r="EB227" s="203"/>
      <c r="EX227" s="203"/>
      <c r="EY227" s="203"/>
      <c r="EZ227" s="203"/>
      <c r="FA227" s="203"/>
      <c r="FB227" s="203"/>
      <c r="FC227" s="203"/>
      <c r="FD227" s="203"/>
    </row>
    <row r="228" spans="1:160">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c r="BM228" s="203"/>
      <c r="BN228" s="203"/>
      <c r="BO228" s="203"/>
      <c r="BP228" s="203"/>
      <c r="BQ228" s="203"/>
      <c r="BR228" s="203"/>
      <c r="BS228" s="203"/>
      <c r="BT228" s="203"/>
      <c r="BU228" s="203"/>
      <c r="BV228" s="203"/>
      <c r="BW228" s="203"/>
      <c r="BX228" s="203"/>
      <c r="BY228" s="203"/>
      <c r="BZ228" s="203"/>
      <c r="CA228" s="203"/>
      <c r="CB228" s="203"/>
      <c r="CC228" s="203"/>
      <c r="CD228" s="203"/>
      <c r="CE228" s="203"/>
      <c r="CF228" s="203"/>
      <c r="CG228" s="203"/>
      <c r="CH228" s="203"/>
      <c r="CI228" s="203"/>
      <c r="CJ228" s="203"/>
      <c r="CK228" s="203"/>
      <c r="CL228" s="203"/>
      <c r="CM228" s="203"/>
      <c r="CN228" s="203"/>
      <c r="CO228" s="203"/>
      <c r="CP228" s="203"/>
      <c r="CQ228" s="203"/>
      <c r="CR228" s="203"/>
      <c r="CS228" s="203"/>
      <c r="CT228" s="203"/>
      <c r="CU228" s="203"/>
      <c r="CV228" s="203"/>
      <c r="CW228" s="203"/>
      <c r="CX228" s="203"/>
      <c r="CY228" s="203"/>
      <c r="CZ228" s="203"/>
      <c r="DA228" s="203"/>
      <c r="DB228" s="203"/>
      <c r="DC228" s="203"/>
      <c r="DD228" s="203"/>
      <c r="DE228" s="203"/>
      <c r="DF228" s="203"/>
      <c r="DG228" s="203"/>
      <c r="DH228" s="203"/>
      <c r="DI228" s="203"/>
      <c r="DJ228" s="203"/>
      <c r="DK228" s="203"/>
      <c r="DL228" s="203"/>
      <c r="DM228" s="203"/>
      <c r="DN228" s="203"/>
      <c r="DO228" s="203"/>
      <c r="DP228" s="203"/>
      <c r="DQ228" s="203"/>
      <c r="DR228" s="203"/>
      <c r="DS228" s="203"/>
      <c r="DT228" s="203"/>
      <c r="DV228" s="203"/>
      <c r="DW228" s="203"/>
      <c r="DX228" s="203"/>
      <c r="DY228" s="203"/>
      <c r="DZ228" s="203"/>
      <c r="EA228" s="203"/>
      <c r="EB228" s="203"/>
      <c r="EX228" s="203"/>
      <c r="EY228" s="203"/>
      <c r="EZ228" s="203"/>
      <c r="FA228" s="203"/>
      <c r="FB228" s="203"/>
      <c r="FC228" s="203"/>
      <c r="FD228" s="203"/>
    </row>
    <row r="229" spans="1:160">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c r="BM229" s="203"/>
      <c r="BN229" s="203"/>
      <c r="BO229" s="203"/>
      <c r="BP229" s="203"/>
      <c r="BQ229" s="203"/>
      <c r="BR229" s="203"/>
      <c r="BS229" s="203"/>
      <c r="BT229" s="203"/>
      <c r="BU229" s="203"/>
      <c r="BV229" s="203"/>
      <c r="BW229" s="203"/>
      <c r="BX229" s="203"/>
      <c r="BY229" s="203"/>
      <c r="BZ229" s="203"/>
      <c r="CA229" s="203"/>
      <c r="CB229" s="203"/>
      <c r="CC229" s="203"/>
      <c r="CD229" s="203"/>
      <c r="CE229" s="203"/>
      <c r="CF229" s="203"/>
      <c r="CG229" s="203"/>
      <c r="CH229" s="203"/>
      <c r="CI229" s="203"/>
      <c r="CJ229" s="203"/>
      <c r="CK229" s="203"/>
      <c r="CL229" s="203"/>
      <c r="CM229" s="203"/>
      <c r="CN229" s="203"/>
      <c r="CO229" s="203"/>
      <c r="CP229" s="203"/>
      <c r="CQ229" s="203"/>
      <c r="CR229" s="203"/>
      <c r="CS229" s="203"/>
      <c r="CT229" s="203"/>
      <c r="CU229" s="203"/>
      <c r="CV229" s="203"/>
      <c r="CW229" s="203"/>
      <c r="CX229" s="203"/>
      <c r="CY229" s="203"/>
      <c r="CZ229" s="203"/>
      <c r="DA229" s="203"/>
      <c r="DB229" s="203"/>
      <c r="DC229" s="203"/>
      <c r="DD229" s="203"/>
      <c r="DE229" s="203"/>
      <c r="DF229" s="203"/>
      <c r="DG229" s="203"/>
      <c r="DH229" s="203"/>
      <c r="DI229" s="203"/>
      <c r="DJ229" s="203"/>
      <c r="DK229" s="203"/>
      <c r="DL229" s="203"/>
      <c r="DM229" s="203"/>
      <c r="DN229" s="203"/>
      <c r="DO229" s="203"/>
      <c r="DP229" s="203"/>
      <c r="DQ229" s="203"/>
      <c r="DR229" s="203"/>
      <c r="DS229" s="203"/>
      <c r="DT229" s="203"/>
      <c r="DV229" s="203"/>
      <c r="DW229" s="203"/>
      <c r="DX229" s="203"/>
      <c r="DY229" s="203"/>
      <c r="DZ229" s="203"/>
      <c r="EA229" s="203"/>
      <c r="EB229" s="203"/>
      <c r="EX229" s="203"/>
      <c r="EY229" s="203"/>
      <c r="EZ229" s="203"/>
      <c r="FA229" s="203"/>
      <c r="FB229" s="203"/>
      <c r="FC229" s="203"/>
      <c r="FD229" s="203"/>
    </row>
    <row r="230" spans="1:160">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V230" s="203"/>
      <c r="DW230" s="203"/>
      <c r="DX230" s="203"/>
      <c r="DY230" s="203"/>
      <c r="DZ230" s="203"/>
      <c r="EA230" s="203"/>
      <c r="EB230" s="203"/>
      <c r="EX230" s="203"/>
      <c r="EY230" s="203"/>
      <c r="EZ230" s="203"/>
      <c r="FA230" s="203"/>
      <c r="FB230" s="203"/>
      <c r="FC230" s="203"/>
      <c r="FD230" s="203"/>
    </row>
    <row r="231" spans="1:160">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c r="BM231" s="203"/>
      <c r="BN231" s="203"/>
      <c r="BO231" s="203"/>
      <c r="BP231" s="203"/>
      <c r="BQ231" s="203"/>
      <c r="BR231" s="203"/>
      <c r="BS231" s="203"/>
      <c r="BT231" s="203"/>
      <c r="BU231" s="203"/>
      <c r="BV231" s="203"/>
      <c r="BW231" s="203"/>
      <c r="BX231" s="203"/>
      <c r="BY231" s="203"/>
      <c r="BZ231" s="203"/>
      <c r="CA231" s="203"/>
      <c r="CB231" s="203"/>
      <c r="CC231" s="203"/>
      <c r="CD231" s="203"/>
      <c r="CE231" s="203"/>
      <c r="CF231" s="203"/>
      <c r="CG231" s="203"/>
      <c r="CH231" s="203"/>
      <c r="CI231" s="203"/>
      <c r="CJ231" s="203"/>
      <c r="CK231" s="203"/>
      <c r="CL231" s="203"/>
      <c r="CM231" s="203"/>
      <c r="CN231" s="203"/>
      <c r="CO231" s="203"/>
      <c r="CP231" s="203"/>
      <c r="CQ231" s="203"/>
      <c r="CR231" s="203"/>
      <c r="CS231" s="203"/>
      <c r="CT231" s="203"/>
      <c r="CU231" s="203"/>
      <c r="CV231" s="203"/>
      <c r="CW231" s="203"/>
      <c r="CX231" s="203"/>
      <c r="CY231" s="203"/>
      <c r="CZ231" s="203"/>
      <c r="DA231" s="203"/>
      <c r="DB231" s="203"/>
      <c r="DC231" s="203"/>
      <c r="DD231" s="203"/>
      <c r="DE231" s="203"/>
      <c r="DF231" s="203"/>
      <c r="DG231" s="203"/>
      <c r="DH231" s="203"/>
      <c r="DI231" s="203"/>
      <c r="DJ231" s="203"/>
      <c r="DK231" s="203"/>
      <c r="DL231" s="203"/>
      <c r="DM231" s="203"/>
      <c r="DN231" s="203"/>
      <c r="DO231" s="203"/>
      <c r="DP231" s="203"/>
      <c r="DQ231" s="203"/>
      <c r="DR231" s="203"/>
      <c r="DS231" s="203"/>
      <c r="DT231" s="203"/>
      <c r="DV231" s="203"/>
      <c r="DW231" s="203"/>
      <c r="DX231" s="203"/>
      <c r="DY231" s="203"/>
      <c r="DZ231" s="203"/>
      <c r="EA231" s="203"/>
      <c r="EB231" s="203"/>
      <c r="EX231" s="203"/>
      <c r="EY231" s="203"/>
      <c r="EZ231" s="203"/>
      <c r="FA231" s="203"/>
      <c r="FB231" s="203"/>
      <c r="FC231" s="203"/>
      <c r="FD231" s="203"/>
    </row>
    <row r="232" spans="1:160">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A232" s="203"/>
      <c r="CB232" s="203"/>
      <c r="CC232" s="203"/>
      <c r="CD232" s="203"/>
      <c r="CE232" s="203"/>
      <c r="CF232" s="203"/>
      <c r="CG232" s="203"/>
      <c r="CH232" s="203"/>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V232" s="203"/>
      <c r="DW232" s="203"/>
      <c r="DX232" s="203"/>
      <c r="DY232" s="203"/>
      <c r="DZ232" s="203"/>
      <c r="EA232" s="203"/>
      <c r="EB232" s="203"/>
      <c r="EX232" s="203"/>
      <c r="EY232" s="203"/>
      <c r="EZ232" s="203"/>
      <c r="FA232" s="203"/>
      <c r="FB232" s="203"/>
      <c r="FC232" s="203"/>
      <c r="FD232" s="203"/>
    </row>
    <row r="233" spans="1:160">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c r="BM233" s="203"/>
      <c r="BN233" s="203"/>
      <c r="BO233" s="203"/>
      <c r="BP233" s="203"/>
      <c r="BQ233" s="203"/>
      <c r="BR233" s="203"/>
      <c r="BS233" s="203"/>
      <c r="BT233" s="203"/>
      <c r="BU233" s="203"/>
      <c r="BV233" s="203"/>
      <c r="BW233" s="203"/>
      <c r="BX233" s="203"/>
      <c r="BY233" s="203"/>
      <c r="BZ233" s="203"/>
      <c r="CA233" s="203"/>
      <c r="CB233" s="203"/>
      <c r="CC233" s="203"/>
      <c r="CD233" s="203"/>
      <c r="CE233" s="203"/>
      <c r="CF233" s="203"/>
      <c r="CG233" s="203"/>
      <c r="CH233" s="203"/>
      <c r="CI233" s="203"/>
      <c r="CJ233" s="203"/>
      <c r="CK233" s="203"/>
      <c r="CL233" s="203"/>
      <c r="CM233" s="203"/>
      <c r="CN233" s="203"/>
      <c r="CO233" s="203"/>
      <c r="CP233" s="203"/>
      <c r="CQ233" s="203"/>
      <c r="CR233" s="203"/>
      <c r="CS233" s="203"/>
      <c r="CT233" s="203"/>
      <c r="CU233" s="203"/>
      <c r="CV233" s="203"/>
      <c r="CW233" s="203"/>
      <c r="CX233" s="203"/>
      <c r="CY233" s="203"/>
      <c r="CZ233" s="203"/>
      <c r="DA233" s="203"/>
      <c r="DB233" s="203"/>
      <c r="DC233" s="203"/>
      <c r="DD233" s="203"/>
      <c r="DE233" s="203"/>
      <c r="DF233" s="203"/>
      <c r="DG233" s="203"/>
      <c r="DH233" s="203"/>
      <c r="DI233" s="203"/>
      <c r="DJ233" s="203"/>
      <c r="DK233" s="203"/>
      <c r="DL233" s="203"/>
      <c r="DM233" s="203"/>
      <c r="DN233" s="203"/>
      <c r="DO233" s="203"/>
      <c r="DP233" s="203"/>
      <c r="DQ233" s="203"/>
      <c r="DR233" s="203"/>
      <c r="DS233" s="203"/>
      <c r="DT233" s="203"/>
      <c r="DV233" s="203"/>
      <c r="DW233" s="203"/>
      <c r="DX233" s="203"/>
      <c r="DY233" s="203"/>
      <c r="DZ233" s="203"/>
      <c r="EA233" s="203"/>
      <c r="EB233" s="203"/>
      <c r="EX233" s="203"/>
      <c r="EY233" s="203"/>
      <c r="EZ233" s="203"/>
      <c r="FA233" s="203"/>
      <c r="FB233" s="203"/>
      <c r="FC233" s="203"/>
      <c r="FD233" s="203"/>
    </row>
    <row r="234" spans="1:160">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c r="CA234" s="203"/>
      <c r="CB234" s="203"/>
      <c r="CC234" s="203"/>
      <c r="CD234" s="203"/>
      <c r="CE234" s="203"/>
      <c r="CF234" s="203"/>
      <c r="CG234" s="203"/>
      <c r="CH234" s="203"/>
      <c r="CI234" s="203"/>
      <c r="CJ234" s="203"/>
      <c r="CK234" s="203"/>
      <c r="CL234" s="203"/>
      <c r="CM234" s="203"/>
      <c r="CN234" s="203"/>
      <c r="CO234" s="203"/>
      <c r="CP234" s="203"/>
      <c r="CQ234" s="203"/>
      <c r="CR234" s="203"/>
      <c r="CS234" s="203"/>
      <c r="CT234" s="203"/>
      <c r="CU234" s="203"/>
      <c r="CV234" s="203"/>
      <c r="CW234" s="203"/>
      <c r="CX234" s="203"/>
      <c r="CY234" s="203"/>
      <c r="CZ234" s="203"/>
      <c r="DA234" s="203"/>
      <c r="DB234" s="203"/>
      <c r="DC234" s="203"/>
      <c r="DD234" s="203"/>
      <c r="DE234" s="203"/>
      <c r="DF234" s="203"/>
      <c r="DG234" s="203"/>
      <c r="DH234" s="203"/>
      <c r="DI234" s="203"/>
      <c r="DJ234" s="203"/>
      <c r="DK234" s="203"/>
      <c r="DL234" s="203"/>
      <c r="DM234" s="203"/>
      <c r="DN234" s="203"/>
      <c r="DO234" s="203"/>
      <c r="DP234" s="203"/>
      <c r="DQ234" s="203"/>
      <c r="DR234" s="203"/>
      <c r="DS234" s="203"/>
      <c r="DT234" s="203"/>
      <c r="DV234" s="203"/>
      <c r="DW234" s="203"/>
      <c r="DX234" s="203"/>
      <c r="DY234" s="203"/>
      <c r="DZ234" s="203"/>
      <c r="EA234" s="203"/>
      <c r="EB234" s="203"/>
      <c r="EX234" s="203"/>
      <c r="EY234" s="203"/>
      <c r="EZ234" s="203"/>
      <c r="FA234" s="203"/>
      <c r="FB234" s="203"/>
      <c r="FC234" s="203"/>
      <c r="FD234" s="203"/>
    </row>
    <row r="235" spans="1:160">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A235" s="203"/>
      <c r="CB235" s="203"/>
      <c r="CC235" s="203"/>
      <c r="CD235" s="203"/>
      <c r="CE235" s="203"/>
      <c r="CF235" s="203"/>
      <c r="CG235" s="203"/>
      <c r="CH235" s="203"/>
      <c r="CI235" s="203"/>
      <c r="CJ235" s="203"/>
      <c r="CK235" s="203"/>
      <c r="CL235" s="203"/>
      <c r="CM235" s="203"/>
      <c r="CN235" s="203"/>
      <c r="CO235" s="203"/>
      <c r="CP235" s="203"/>
      <c r="CQ235" s="203"/>
      <c r="CR235" s="203"/>
      <c r="CS235" s="203"/>
      <c r="CT235" s="203"/>
      <c r="CU235" s="203"/>
      <c r="CV235" s="203"/>
      <c r="CW235" s="203"/>
      <c r="CX235" s="203"/>
      <c r="CY235" s="203"/>
      <c r="CZ235" s="203"/>
      <c r="DA235" s="203"/>
      <c r="DB235" s="203"/>
      <c r="DC235" s="203"/>
      <c r="DD235" s="203"/>
      <c r="DE235" s="203"/>
      <c r="DF235" s="203"/>
      <c r="DG235" s="203"/>
      <c r="DH235" s="203"/>
      <c r="DI235" s="203"/>
      <c r="DJ235" s="203"/>
      <c r="DK235" s="203"/>
      <c r="DL235" s="203"/>
      <c r="DM235" s="203"/>
      <c r="DN235" s="203"/>
      <c r="DO235" s="203"/>
      <c r="DP235" s="203"/>
      <c r="DQ235" s="203"/>
      <c r="DR235" s="203"/>
      <c r="DS235" s="203"/>
      <c r="DT235" s="203"/>
      <c r="DV235" s="203"/>
      <c r="DW235" s="203"/>
      <c r="DX235" s="203"/>
      <c r="DY235" s="203"/>
      <c r="DZ235" s="203"/>
      <c r="EA235" s="203"/>
      <c r="EB235" s="203"/>
      <c r="EX235" s="203"/>
      <c r="EY235" s="203"/>
      <c r="EZ235" s="203"/>
      <c r="FA235" s="203"/>
      <c r="FB235" s="203"/>
      <c r="FC235" s="203"/>
      <c r="FD235" s="203"/>
    </row>
    <row r="236" spans="1:160">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c r="BM236" s="203"/>
      <c r="BN236" s="203"/>
      <c r="BO236" s="203"/>
      <c r="BP236" s="203"/>
      <c r="BQ236" s="203"/>
      <c r="BR236" s="203"/>
      <c r="BS236" s="203"/>
      <c r="BT236" s="203"/>
      <c r="BU236" s="203"/>
      <c r="BV236" s="203"/>
      <c r="BW236" s="203"/>
      <c r="BX236" s="203"/>
      <c r="BY236" s="203"/>
      <c r="BZ236" s="203"/>
      <c r="CA236" s="203"/>
      <c r="CB236" s="203"/>
      <c r="CC236" s="203"/>
      <c r="CD236" s="203"/>
      <c r="CE236" s="203"/>
      <c r="CF236" s="203"/>
      <c r="CG236" s="203"/>
      <c r="CH236" s="203"/>
      <c r="CI236" s="203"/>
      <c r="CJ236" s="203"/>
      <c r="CK236" s="203"/>
      <c r="CL236" s="203"/>
      <c r="CM236" s="203"/>
      <c r="CN236" s="203"/>
      <c r="CO236" s="203"/>
      <c r="CP236" s="203"/>
      <c r="CQ236" s="203"/>
      <c r="CR236" s="203"/>
      <c r="CS236" s="203"/>
      <c r="CT236" s="203"/>
      <c r="CU236" s="203"/>
      <c r="CV236" s="203"/>
      <c r="CW236" s="203"/>
      <c r="CX236" s="203"/>
      <c r="CY236" s="203"/>
      <c r="CZ236" s="203"/>
      <c r="DA236" s="203"/>
      <c r="DB236" s="203"/>
      <c r="DC236" s="203"/>
      <c r="DD236" s="203"/>
      <c r="DE236" s="203"/>
      <c r="DF236" s="203"/>
      <c r="DG236" s="203"/>
      <c r="DH236" s="203"/>
      <c r="DI236" s="203"/>
      <c r="DJ236" s="203"/>
      <c r="DK236" s="203"/>
      <c r="DL236" s="203"/>
      <c r="DM236" s="203"/>
      <c r="DN236" s="203"/>
      <c r="DO236" s="203"/>
      <c r="DP236" s="203"/>
      <c r="DQ236" s="203"/>
      <c r="DR236" s="203"/>
      <c r="DS236" s="203"/>
      <c r="DT236" s="203"/>
      <c r="DV236" s="203"/>
      <c r="DW236" s="203"/>
      <c r="DX236" s="203"/>
      <c r="DY236" s="203"/>
      <c r="DZ236" s="203"/>
      <c r="EA236" s="203"/>
      <c r="EB236" s="203"/>
      <c r="EX236" s="203"/>
      <c r="EY236" s="203"/>
      <c r="EZ236" s="203"/>
      <c r="FA236" s="203"/>
      <c r="FB236" s="203"/>
      <c r="FC236" s="203"/>
      <c r="FD236" s="203"/>
    </row>
    <row r="237" spans="1:160">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s="203"/>
      <c r="BN237" s="203"/>
      <c r="BO237" s="203"/>
      <c r="BP237" s="203"/>
      <c r="BQ237" s="203"/>
      <c r="BR237" s="203"/>
      <c r="BS237" s="203"/>
      <c r="BT237" s="203"/>
      <c r="BU237" s="203"/>
      <c r="BV237" s="203"/>
      <c r="BW237" s="203"/>
      <c r="BX237" s="203"/>
      <c r="BY237" s="203"/>
      <c r="BZ237" s="203"/>
      <c r="CA237" s="203"/>
      <c r="CB237" s="203"/>
      <c r="CC237" s="203"/>
      <c r="CD237" s="203"/>
      <c r="CE237" s="203"/>
      <c r="CF237" s="203"/>
      <c r="CG237" s="203"/>
      <c r="CH237" s="203"/>
      <c r="CI237" s="203"/>
      <c r="CJ237" s="203"/>
      <c r="CK237" s="203"/>
      <c r="CL237" s="203"/>
      <c r="CM237" s="203"/>
      <c r="CN237" s="203"/>
      <c r="CO237" s="203"/>
      <c r="CP237" s="203"/>
      <c r="CQ237" s="203"/>
      <c r="CR237" s="203"/>
      <c r="CS237" s="203"/>
      <c r="CT237" s="203"/>
      <c r="CU237" s="203"/>
      <c r="CV237" s="203"/>
      <c r="CW237" s="203"/>
      <c r="CX237" s="203"/>
      <c r="CY237" s="203"/>
      <c r="CZ237" s="203"/>
      <c r="DA237" s="203"/>
      <c r="DB237" s="203"/>
      <c r="DC237" s="203"/>
      <c r="DD237" s="203"/>
      <c r="DE237" s="203"/>
      <c r="DF237" s="203"/>
      <c r="DG237" s="203"/>
      <c r="DH237" s="203"/>
      <c r="DI237" s="203"/>
      <c r="DJ237" s="203"/>
      <c r="DK237" s="203"/>
      <c r="DL237" s="203"/>
      <c r="DM237" s="203"/>
      <c r="DN237" s="203"/>
      <c r="DO237" s="203"/>
      <c r="DP237" s="203"/>
      <c r="DQ237" s="203"/>
      <c r="DR237" s="203"/>
      <c r="DS237" s="203"/>
      <c r="DT237" s="203"/>
      <c r="DV237" s="203"/>
      <c r="DW237" s="203"/>
      <c r="DX237" s="203"/>
      <c r="DY237" s="203"/>
      <c r="DZ237" s="203"/>
      <c r="EA237" s="203"/>
      <c r="EB237" s="203"/>
      <c r="EX237" s="203"/>
      <c r="EY237" s="203"/>
      <c r="EZ237" s="203"/>
      <c r="FA237" s="203"/>
      <c r="FB237" s="203"/>
      <c r="FC237" s="203"/>
      <c r="FD237" s="203"/>
    </row>
    <row r="238" spans="1:160">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c r="CI238" s="203"/>
      <c r="CJ238" s="203"/>
      <c r="CK238" s="203"/>
      <c r="CL238" s="203"/>
      <c r="CM238" s="203"/>
      <c r="CN238" s="203"/>
      <c r="CO238" s="203"/>
      <c r="CP238" s="203"/>
      <c r="CQ238" s="203"/>
      <c r="CR238" s="203"/>
      <c r="CS238" s="203"/>
      <c r="CT238" s="203"/>
      <c r="CU238" s="203"/>
      <c r="CV238" s="203"/>
      <c r="CW238" s="203"/>
      <c r="CX238" s="203"/>
      <c r="CY238" s="203"/>
      <c r="CZ238" s="203"/>
      <c r="DA238" s="203"/>
      <c r="DB238" s="203"/>
      <c r="DC238" s="203"/>
      <c r="DD238" s="203"/>
      <c r="DE238" s="203"/>
      <c r="DF238" s="203"/>
      <c r="DG238" s="203"/>
      <c r="DH238" s="203"/>
      <c r="DI238" s="203"/>
      <c r="DJ238" s="203"/>
      <c r="DK238" s="203"/>
      <c r="DL238" s="203"/>
      <c r="DM238" s="203"/>
      <c r="DN238" s="203"/>
      <c r="DO238" s="203"/>
      <c r="DP238" s="203"/>
      <c r="DQ238" s="203"/>
      <c r="DR238" s="203"/>
      <c r="DS238" s="203"/>
      <c r="DT238" s="203"/>
      <c r="DV238" s="203"/>
      <c r="DW238" s="203"/>
      <c r="DX238" s="203"/>
      <c r="DY238" s="203"/>
      <c r="DZ238" s="203"/>
      <c r="EA238" s="203"/>
      <c r="EB238" s="203"/>
      <c r="EX238" s="203"/>
      <c r="EY238" s="203"/>
      <c r="EZ238" s="203"/>
      <c r="FA238" s="203"/>
      <c r="FB238" s="203"/>
      <c r="FC238" s="203"/>
      <c r="FD238" s="203"/>
    </row>
    <row r="239" spans="1:160">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c r="BM239" s="203"/>
      <c r="BN239" s="203"/>
      <c r="BO239" s="203"/>
      <c r="BP239" s="203"/>
      <c r="BQ239" s="203"/>
      <c r="BR239" s="203"/>
      <c r="BS239" s="203"/>
      <c r="BT239" s="203"/>
      <c r="BU239" s="203"/>
      <c r="BV239" s="203"/>
      <c r="BW239" s="203"/>
      <c r="BX239" s="203"/>
      <c r="BY239" s="203"/>
      <c r="BZ239" s="203"/>
      <c r="CA239" s="203"/>
      <c r="CB239" s="203"/>
      <c r="CC239" s="203"/>
      <c r="CD239" s="203"/>
      <c r="CE239" s="203"/>
      <c r="CF239" s="203"/>
      <c r="CG239" s="203"/>
      <c r="CH239" s="203"/>
      <c r="CI239" s="203"/>
      <c r="CJ239" s="203"/>
      <c r="CK239" s="203"/>
      <c r="CL239" s="203"/>
      <c r="CM239" s="203"/>
      <c r="CN239" s="203"/>
      <c r="CO239" s="203"/>
      <c r="CP239" s="203"/>
      <c r="CQ239" s="203"/>
      <c r="CR239" s="203"/>
      <c r="CS239" s="203"/>
      <c r="CT239" s="203"/>
      <c r="CU239" s="203"/>
      <c r="CV239" s="203"/>
      <c r="CW239" s="203"/>
      <c r="CX239" s="203"/>
      <c r="CY239" s="203"/>
      <c r="CZ239" s="203"/>
      <c r="DA239" s="203"/>
      <c r="DB239" s="203"/>
      <c r="DC239" s="203"/>
      <c r="DD239" s="203"/>
      <c r="DE239" s="203"/>
      <c r="DF239" s="203"/>
      <c r="DG239" s="203"/>
      <c r="DH239" s="203"/>
      <c r="DI239" s="203"/>
      <c r="DJ239" s="203"/>
      <c r="DK239" s="203"/>
      <c r="DL239" s="203"/>
      <c r="DM239" s="203"/>
      <c r="DN239" s="203"/>
      <c r="DO239" s="203"/>
      <c r="DP239" s="203"/>
      <c r="DQ239" s="203"/>
      <c r="DR239" s="203"/>
      <c r="DS239" s="203"/>
      <c r="DT239" s="203"/>
      <c r="DV239" s="203"/>
      <c r="DW239" s="203"/>
      <c r="DX239" s="203"/>
      <c r="DY239" s="203"/>
      <c r="DZ239" s="203"/>
      <c r="EA239" s="203"/>
      <c r="EB239" s="203"/>
      <c r="EX239" s="203"/>
      <c r="EY239" s="203"/>
      <c r="EZ239" s="203"/>
      <c r="FA239" s="203"/>
      <c r="FB239" s="203"/>
      <c r="FC239" s="203"/>
      <c r="FD239" s="203"/>
    </row>
    <row r="240" spans="1:160">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03"/>
      <c r="BZ240" s="203"/>
      <c r="CA240" s="203"/>
      <c r="CB240" s="203"/>
      <c r="CC240" s="203"/>
      <c r="CD240" s="203"/>
      <c r="CE240" s="203"/>
      <c r="CF240" s="203"/>
      <c r="CG240" s="203"/>
      <c r="CH240" s="203"/>
      <c r="CI240" s="203"/>
      <c r="CJ240" s="203"/>
      <c r="CK240" s="203"/>
      <c r="CL240" s="203"/>
      <c r="CM240" s="203"/>
      <c r="CN240" s="203"/>
      <c r="CO240" s="203"/>
      <c r="CP240" s="203"/>
      <c r="CQ240" s="203"/>
      <c r="CR240" s="203"/>
      <c r="CS240" s="203"/>
      <c r="CT240" s="203"/>
      <c r="CU240" s="203"/>
      <c r="CV240" s="203"/>
      <c r="CW240" s="203"/>
      <c r="CX240" s="203"/>
      <c r="CY240" s="203"/>
      <c r="CZ240" s="203"/>
      <c r="DA240" s="203"/>
      <c r="DB240" s="203"/>
      <c r="DC240" s="203"/>
      <c r="DD240" s="203"/>
      <c r="DE240" s="203"/>
      <c r="DF240" s="203"/>
      <c r="DG240" s="203"/>
      <c r="DH240" s="203"/>
      <c r="DI240" s="203"/>
      <c r="DJ240" s="203"/>
      <c r="DK240" s="203"/>
      <c r="DL240" s="203"/>
      <c r="DM240" s="203"/>
      <c r="DN240" s="203"/>
      <c r="DO240" s="203"/>
      <c r="DP240" s="203"/>
      <c r="DQ240" s="203"/>
      <c r="DR240" s="203"/>
      <c r="DS240" s="203"/>
      <c r="DT240" s="203"/>
      <c r="DV240" s="203"/>
      <c r="DW240" s="203"/>
      <c r="DX240" s="203"/>
      <c r="DY240" s="203"/>
      <c r="DZ240" s="203"/>
      <c r="EA240" s="203"/>
      <c r="EB240" s="203"/>
      <c r="EX240" s="203"/>
      <c r="EY240" s="203"/>
      <c r="EZ240" s="203"/>
      <c r="FA240" s="203"/>
      <c r="FB240" s="203"/>
      <c r="FC240" s="203"/>
      <c r="FD240" s="203"/>
    </row>
    <row r="241" spans="1:160">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A241" s="203"/>
      <c r="CB241" s="203"/>
      <c r="CC241" s="203"/>
      <c r="CD241" s="203"/>
      <c r="CE241" s="203"/>
      <c r="CF241" s="203"/>
      <c r="CG241" s="203"/>
      <c r="CH241" s="203"/>
      <c r="CI241" s="203"/>
      <c r="CJ241" s="203"/>
      <c r="CK241" s="203"/>
      <c r="CL241" s="203"/>
      <c r="CM241" s="203"/>
      <c r="CN241" s="203"/>
      <c r="CO241" s="203"/>
      <c r="CP241" s="203"/>
      <c r="CQ241" s="203"/>
      <c r="CR241" s="203"/>
      <c r="CS241" s="203"/>
      <c r="CT241" s="203"/>
      <c r="CU241" s="203"/>
      <c r="CV241" s="203"/>
      <c r="CW241" s="203"/>
      <c r="CX241" s="203"/>
      <c r="CY241" s="203"/>
      <c r="CZ241" s="203"/>
      <c r="DA241" s="203"/>
      <c r="DB241" s="203"/>
      <c r="DC241" s="203"/>
      <c r="DD241" s="203"/>
      <c r="DE241" s="203"/>
      <c r="DF241" s="203"/>
      <c r="DG241" s="203"/>
      <c r="DH241" s="203"/>
      <c r="DI241" s="203"/>
      <c r="DJ241" s="203"/>
      <c r="DK241" s="203"/>
      <c r="DL241" s="203"/>
      <c r="DM241" s="203"/>
      <c r="DN241" s="203"/>
      <c r="DO241" s="203"/>
      <c r="DP241" s="203"/>
      <c r="DQ241" s="203"/>
      <c r="DR241" s="203"/>
      <c r="DS241" s="203"/>
      <c r="DT241" s="203"/>
      <c r="DV241" s="203"/>
      <c r="DW241" s="203"/>
      <c r="DX241" s="203"/>
      <c r="DY241" s="203"/>
      <c r="DZ241" s="203"/>
      <c r="EA241" s="203"/>
      <c r="EB241" s="203"/>
      <c r="EX241" s="203"/>
      <c r="EY241" s="203"/>
      <c r="EZ241" s="203"/>
      <c r="FA241" s="203"/>
      <c r="FB241" s="203"/>
      <c r="FC241" s="203"/>
      <c r="FD241" s="203"/>
    </row>
    <row r="242" spans="1:160">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c r="BH242" s="203"/>
      <c r="BI242" s="203"/>
      <c r="BJ242" s="203"/>
      <c r="BK242" s="203"/>
      <c r="BL242" s="203"/>
      <c r="BM242" s="203"/>
      <c r="BN242" s="203"/>
      <c r="BO242" s="203"/>
      <c r="BP242" s="203"/>
      <c r="BQ242" s="203"/>
      <c r="BR242" s="203"/>
      <c r="BS242" s="203"/>
      <c r="BT242" s="203"/>
      <c r="BU242" s="203"/>
      <c r="BV242" s="203"/>
      <c r="BW242" s="203"/>
      <c r="BX242" s="203"/>
      <c r="BY242" s="203"/>
      <c r="BZ242" s="203"/>
      <c r="CA242" s="203"/>
      <c r="CB242" s="203"/>
      <c r="CC242" s="203"/>
      <c r="CD242" s="203"/>
      <c r="CE242" s="203"/>
      <c r="CF242" s="203"/>
      <c r="CG242" s="203"/>
      <c r="CH242" s="203"/>
      <c r="CI242" s="203"/>
      <c r="CJ242" s="203"/>
      <c r="CK242" s="203"/>
      <c r="CL242" s="203"/>
      <c r="CM242" s="203"/>
      <c r="CN242" s="203"/>
      <c r="CO242" s="203"/>
      <c r="CP242" s="203"/>
      <c r="CQ242" s="203"/>
      <c r="CR242" s="203"/>
      <c r="CS242" s="203"/>
      <c r="CT242" s="203"/>
      <c r="CU242" s="203"/>
      <c r="CV242" s="203"/>
      <c r="CW242" s="203"/>
      <c r="CX242" s="203"/>
      <c r="CY242" s="203"/>
      <c r="CZ242" s="203"/>
      <c r="DA242" s="203"/>
      <c r="DB242" s="203"/>
      <c r="DC242" s="203"/>
      <c r="DD242" s="203"/>
      <c r="DE242" s="203"/>
      <c r="DF242" s="203"/>
      <c r="DG242" s="203"/>
      <c r="DH242" s="203"/>
      <c r="DI242" s="203"/>
      <c r="DJ242" s="203"/>
      <c r="DK242" s="203"/>
      <c r="DL242" s="203"/>
      <c r="DM242" s="203"/>
      <c r="DN242" s="203"/>
      <c r="DO242" s="203"/>
      <c r="DP242" s="203"/>
      <c r="DQ242" s="203"/>
      <c r="DR242" s="203"/>
      <c r="DS242" s="203"/>
      <c r="DT242" s="203"/>
      <c r="DV242" s="203"/>
      <c r="DW242" s="203"/>
      <c r="DX242" s="203"/>
      <c r="DY242" s="203"/>
      <c r="DZ242" s="203"/>
      <c r="EA242" s="203"/>
      <c r="EB242" s="203"/>
      <c r="EX242" s="203"/>
      <c r="EY242" s="203"/>
      <c r="EZ242" s="203"/>
      <c r="FA242" s="203"/>
      <c r="FB242" s="203"/>
      <c r="FC242" s="203"/>
      <c r="FD242" s="203"/>
    </row>
    <row r="243" spans="1:160">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3"/>
      <c r="BM243" s="203"/>
      <c r="BN243" s="203"/>
      <c r="BO243" s="203"/>
      <c r="BP243" s="203"/>
      <c r="BQ243" s="203"/>
      <c r="BR243" s="203"/>
      <c r="BS243" s="203"/>
      <c r="BT243" s="203"/>
      <c r="BU243" s="203"/>
      <c r="BV243" s="203"/>
      <c r="BW243" s="203"/>
      <c r="BX243" s="203"/>
      <c r="BY243" s="203"/>
      <c r="BZ243" s="203"/>
      <c r="CA243" s="203"/>
      <c r="CB243" s="203"/>
      <c r="CC243" s="203"/>
      <c r="CD243" s="203"/>
      <c r="CE243" s="203"/>
      <c r="CF243" s="203"/>
      <c r="CG243" s="203"/>
      <c r="CH243" s="203"/>
      <c r="CI243" s="203"/>
      <c r="CJ243" s="203"/>
      <c r="CK243" s="203"/>
      <c r="CL243" s="203"/>
      <c r="CM243" s="203"/>
      <c r="CN243" s="203"/>
      <c r="CO243" s="203"/>
      <c r="CP243" s="203"/>
      <c r="CQ243" s="203"/>
      <c r="CR243" s="203"/>
      <c r="CS243" s="203"/>
      <c r="CT243" s="203"/>
      <c r="CU243" s="203"/>
      <c r="CV243" s="203"/>
      <c r="CW243" s="203"/>
      <c r="CX243" s="203"/>
      <c r="CY243" s="203"/>
      <c r="CZ243" s="203"/>
      <c r="DA243" s="203"/>
      <c r="DB243" s="203"/>
      <c r="DC243" s="203"/>
      <c r="DD243" s="203"/>
      <c r="DE243" s="203"/>
      <c r="DF243" s="203"/>
      <c r="DG243" s="203"/>
      <c r="DH243" s="203"/>
      <c r="DI243" s="203"/>
      <c r="DJ243" s="203"/>
      <c r="DK243" s="203"/>
      <c r="DL243" s="203"/>
      <c r="DM243" s="203"/>
      <c r="DN243" s="203"/>
      <c r="DO243" s="203"/>
      <c r="DP243" s="203"/>
      <c r="DQ243" s="203"/>
      <c r="DR243" s="203"/>
      <c r="DS243" s="203"/>
      <c r="DT243" s="203"/>
      <c r="DV243" s="203"/>
      <c r="DW243" s="203"/>
      <c r="DX243" s="203"/>
      <c r="DY243" s="203"/>
      <c r="DZ243" s="203"/>
      <c r="EA243" s="203"/>
      <c r="EB243" s="203"/>
      <c r="EX243" s="203"/>
      <c r="EY243" s="203"/>
      <c r="EZ243" s="203"/>
      <c r="FA243" s="203"/>
      <c r="FB243" s="203"/>
      <c r="FC243" s="203"/>
      <c r="FD243" s="203"/>
    </row>
    <row r="244" spans="1:160">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A244" s="203"/>
      <c r="CB244" s="203"/>
      <c r="CC244" s="203"/>
      <c r="CD244" s="203"/>
      <c r="CE244" s="203"/>
      <c r="CF244" s="203"/>
      <c r="CG244" s="203"/>
      <c r="CH244" s="203"/>
      <c r="CI244" s="203"/>
      <c r="CJ244" s="203"/>
      <c r="CK244" s="203"/>
      <c r="CL244" s="203"/>
      <c r="CM244" s="203"/>
      <c r="CN244" s="203"/>
      <c r="CO244" s="203"/>
      <c r="CP244" s="203"/>
      <c r="CQ244" s="203"/>
      <c r="CR244" s="203"/>
      <c r="CS244" s="203"/>
      <c r="CT244" s="203"/>
      <c r="CU244" s="203"/>
      <c r="CV244" s="203"/>
      <c r="CW244" s="203"/>
      <c r="CX244" s="203"/>
      <c r="CY244" s="203"/>
      <c r="CZ244" s="203"/>
      <c r="DA244" s="203"/>
      <c r="DB244" s="203"/>
      <c r="DC244" s="203"/>
      <c r="DD244" s="203"/>
      <c r="DE244" s="203"/>
      <c r="DF244" s="203"/>
      <c r="DG244" s="203"/>
      <c r="DH244" s="203"/>
      <c r="DI244" s="203"/>
      <c r="DJ244" s="203"/>
      <c r="DK244" s="203"/>
      <c r="DL244" s="203"/>
      <c r="DM244" s="203"/>
      <c r="DN244" s="203"/>
      <c r="DO244" s="203"/>
      <c r="DP244" s="203"/>
      <c r="DQ244" s="203"/>
      <c r="DR244" s="203"/>
      <c r="DS244" s="203"/>
      <c r="DT244" s="203"/>
      <c r="DV244" s="203"/>
      <c r="DW244" s="203"/>
      <c r="DX244" s="203"/>
      <c r="DY244" s="203"/>
      <c r="DZ244" s="203"/>
      <c r="EA244" s="203"/>
      <c r="EB244" s="203"/>
      <c r="EX244" s="203"/>
      <c r="EY244" s="203"/>
      <c r="EZ244" s="203"/>
      <c r="FA244" s="203"/>
      <c r="FB244" s="203"/>
      <c r="FC244" s="203"/>
      <c r="FD244" s="203"/>
    </row>
    <row r="245" spans="1:160">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A245" s="203"/>
      <c r="CB245" s="203"/>
      <c r="CC245" s="203"/>
      <c r="CD245" s="203"/>
      <c r="CE245" s="203"/>
      <c r="CF245" s="203"/>
      <c r="CG245" s="203"/>
      <c r="CH245" s="203"/>
      <c r="CI245" s="203"/>
      <c r="CJ245" s="203"/>
      <c r="CK245" s="203"/>
      <c r="CL245" s="203"/>
      <c r="CM245" s="203"/>
      <c r="CN245" s="203"/>
      <c r="CO245" s="203"/>
      <c r="CP245" s="203"/>
      <c r="CQ245" s="203"/>
      <c r="CR245" s="203"/>
      <c r="CS245" s="203"/>
      <c r="CT245" s="203"/>
      <c r="CU245" s="203"/>
      <c r="CV245" s="203"/>
      <c r="CW245" s="203"/>
      <c r="CX245" s="203"/>
      <c r="CY245" s="203"/>
      <c r="CZ245" s="203"/>
      <c r="DA245" s="203"/>
      <c r="DB245" s="203"/>
      <c r="DC245" s="203"/>
      <c r="DD245" s="203"/>
      <c r="DE245" s="203"/>
      <c r="DF245" s="203"/>
      <c r="DG245" s="203"/>
      <c r="DH245" s="203"/>
      <c r="DI245" s="203"/>
      <c r="DJ245" s="203"/>
      <c r="DK245" s="203"/>
      <c r="DL245" s="203"/>
      <c r="DM245" s="203"/>
      <c r="DN245" s="203"/>
      <c r="DO245" s="203"/>
      <c r="DP245" s="203"/>
      <c r="DQ245" s="203"/>
      <c r="DR245" s="203"/>
      <c r="DS245" s="203"/>
      <c r="DT245" s="203"/>
      <c r="DV245" s="203"/>
      <c r="DW245" s="203"/>
      <c r="DX245" s="203"/>
      <c r="DY245" s="203"/>
      <c r="DZ245" s="203"/>
      <c r="EA245" s="203"/>
      <c r="EB245" s="203"/>
      <c r="EX245" s="203"/>
      <c r="EY245" s="203"/>
      <c r="EZ245" s="203"/>
      <c r="FA245" s="203"/>
      <c r="FB245" s="203"/>
      <c r="FC245" s="203"/>
      <c r="FD245" s="203"/>
    </row>
    <row r="246" spans="1:160">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c r="BG246" s="203"/>
      <c r="BH246" s="203"/>
      <c r="BI246" s="203"/>
      <c r="BJ246" s="203"/>
      <c r="BK246" s="203"/>
      <c r="BL246" s="203"/>
      <c r="BM246" s="203"/>
      <c r="BN246" s="203"/>
      <c r="BO246" s="203"/>
      <c r="BP246" s="203"/>
      <c r="BQ246" s="203"/>
      <c r="BR246" s="203"/>
      <c r="BS246" s="203"/>
      <c r="BT246" s="203"/>
      <c r="BU246" s="203"/>
      <c r="BV246" s="203"/>
      <c r="BW246" s="203"/>
      <c r="BX246" s="203"/>
      <c r="BY246" s="203"/>
      <c r="BZ246" s="203"/>
      <c r="CA246" s="203"/>
      <c r="CB246" s="203"/>
      <c r="CC246" s="203"/>
      <c r="CD246" s="203"/>
      <c r="CE246" s="203"/>
      <c r="CF246" s="203"/>
      <c r="CG246" s="203"/>
      <c r="CH246" s="203"/>
      <c r="CI246" s="203"/>
      <c r="CJ246" s="203"/>
      <c r="CK246" s="203"/>
      <c r="CL246" s="203"/>
      <c r="CM246" s="203"/>
      <c r="CN246" s="203"/>
      <c r="CO246" s="203"/>
      <c r="CP246" s="203"/>
      <c r="CQ246" s="203"/>
      <c r="CR246" s="203"/>
      <c r="CS246" s="203"/>
      <c r="CT246" s="203"/>
      <c r="CU246" s="203"/>
      <c r="CV246" s="203"/>
      <c r="CW246" s="203"/>
      <c r="CX246" s="203"/>
      <c r="CY246" s="203"/>
      <c r="CZ246" s="203"/>
      <c r="DA246" s="203"/>
      <c r="DB246" s="203"/>
      <c r="DC246" s="203"/>
      <c r="DD246" s="203"/>
      <c r="DE246" s="203"/>
      <c r="DF246" s="203"/>
      <c r="DG246" s="203"/>
      <c r="DH246" s="203"/>
      <c r="DI246" s="203"/>
      <c r="DJ246" s="203"/>
      <c r="DK246" s="203"/>
      <c r="DL246" s="203"/>
      <c r="DM246" s="203"/>
      <c r="DN246" s="203"/>
      <c r="DO246" s="203"/>
      <c r="DP246" s="203"/>
      <c r="DQ246" s="203"/>
      <c r="DR246" s="203"/>
      <c r="DS246" s="203"/>
      <c r="DT246" s="203"/>
      <c r="DV246" s="203"/>
      <c r="DW246" s="203"/>
      <c r="DX246" s="203"/>
      <c r="DY246" s="203"/>
      <c r="DZ246" s="203"/>
      <c r="EA246" s="203"/>
      <c r="EB246" s="203"/>
      <c r="EX246" s="203"/>
      <c r="EY246" s="203"/>
      <c r="EZ246" s="203"/>
      <c r="FA246" s="203"/>
      <c r="FB246" s="203"/>
      <c r="FC246" s="203"/>
      <c r="FD246" s="203"/>
    </row>
    <row r="247" spans="1:160">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A247" s="203"/>
      <c r="CB247" s="203"/>
      <c r="CC247" s="203"/>
      <c r="CD247" s="203"/>
      <c r="CE247" s="203"/>
      <c r="CF247" s="203"/>
      <c r="CG247" s="203"/>
      <c r="CH247" s="203"/>
      <c r="CI247" s="203"/>
      <c r="CJ247" s="203"/>
      <c r="CK247" s="203"/>
      <c r="CL247" s="203"/>
      <c r="CM247" s="203"/>
      <c r="CN247" s="203"/>
      <c r="CO247" s="203"/>
      <c r="CP247" s="203"/>
      <c r="CQ247" s="203"/>
      <c r="CR247" s="203"/>
      <c r="CS247" s="203"/>
      <c r="CT247" s="203"/>
      <c r="CU247" s="203"/>
      <c r="CV247" s="203"/>
      <c r="CW247" s="203"/>
      <c r="CX247" s="203"/>
      <c r="CY247" s="203"/>
      <c r="CZ247" s="203"/>
      <c r="DA247" s="203"/>
      <c r="DB247" s="203"/>
      <c r="DC247" s="203"/>
      <c r="DD247" s="203"/>
      <c r="DE247" s="203"/>
      <c r="DF247" s="203"/>
      <c r="DG247" s="203"/>
      <c r="DH247" s="203"/>
      <c r="DI247" s="203"/>
      <c r="DJ247" s="203"/>
      <c r="DK247" s="203"/>
      <c r="DL247" s="203"/>
      <c r="DM247" s="203"/>
      <c r="DN247" s="203"/>
      <c r="DO247" s="203"/>
      <c r="DP247" s="203"/>
      <c r="DQ247" s="203"/>
      <c r="DR247" s="203"/>
      <c r="DS247" s="203"/>
      <c r="DT247" s="203"/>
      <c r="DV247" s="203"/>
      <c r="DW247" s="203"/>
      <c r="DX247" s="203"/>
      <c r="DY247" s="203"/>
      <c r="DZ247" s="203"/>
      <c r="EA247" s="203"/>
      <c r="EB247" s="203"/>
      <c r="EX247" s="203"/>
      <c r="EY247" s="203"/>
      <c r="EZ247" s="203"/>
      <c r="FA247" s="203"/>
      <c r="FB247" s="203"/>
      <c r="FC247" s="203"/>
      <c r="FD247" s="203"/>
    </row>
    <row r="248" spans="1:160">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A248" s="203"/>
      <c r="CB248" s="203"/>
      <c r="CC248" s="203"/>
      <c r="CD248" s="203"/>
      <c r="CE248" s="203"/>
      <c r="CF248" s="203"/>
      <c r="CG248" s="203"/>
      <c r="CH248" s="203"/>
      <c r="CI248" s="203"/>
      <c r="CJ248" s="203"/>
      <c r="CK248" s="203"/>
      <c r="CL248" s="203"/>
      <c r="CM248" s="203"/>
      <c r="CN248" s="203"/>
      <c r="CO248" s="203"/>
      <c r="CP248" s="203"/>
      <c r="CQ248" s="203"/>
      <c r="CR248" s="203"/>
      <c r="CS248" s="203"/>
      <c r="CT248" s="203"/>
      <c r="CU248" s="203"/>
      <c r="CV248" s="203"/>
      <c r="CW248" s="203"/>
      <c r="CX248" s="203"/>
      <c r="CY248" s="203"/>
      <c r="CZ248" s="203"/>
      <c r="DA248" s="203"/>
      <c r="DB248" s="203"/>
      <c r="DC248" s="203"/>
      <c r="DD248" s="203"/>
      <c r="DE248" s="203"/>
      <c r="DF248" s="203"/>
      <c r="DG248" s="203"/>
      <c r="DH248" s="203"/>
      <c r="DI248" s="203"/>
      <c r="DJ248" s="203"/>
      <c r="DK248" s="203"/>
      <c r="DL248" s="203"/>
      <c r="DM248" s="203"/>
      <c r="DN248" s="203"/>
      <c r="DO248" s="203"/>
      <c r="DP248" s="203"/>
      <c r="DQ248" s="203"/>
      <c r="DR248" s="203"/>
      <c r="DS248" s="203"/>
      <c r="DT248" s="203"/>
      <c r="DV248" s="203"/>
      <c r="DW248" s="203"/>
      <c r="DX248" s="203"/>
      <c r="DY248" s="203"/>
      <c r="DZ248" s="203"/>
      <c r="EA248" s="203"/>
      <c r="EB248" s="203"/>
      <c r="EX248" s="203"/>
      <c r="EY248" s="203"/>
      <c r="EZ248" s="203"/>
      <c r="FA248" s="203"/>
      <c r="FB248" s="203"/>
      <c r="FC248" s="203"/>
      <c r="FD248" s="203"/>
    </row>
    <row r="249" spans="1:160">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c r="BH249" s="203"/>
      <c r="BI249" s="203"/>
      <c r="BJ249" s="203"/>
      <c r="BK249" s="203"/>
      <c r="BL249" s="203"/>
      <c r="BM249" s="203"/>
      <c r="BN249" s="203"/>
      <c r="BO249" s="203"/>
      <c r="BP249" s="203"/>
      <c r="BQ249" s="203"/>
      <c r="BR249" s="203"/>
      <c r="BS249" s="203"/>
      <c r="BT249" s="203"/>
      <c r="BU249" s="203"/>
      <c r="BV249" s="203"/>
      <c r="BW249" s="203"/>
      <c r="BX249" s="203"/>
      <c r="BY249" s="203"/>
      <c r="BZ249" s="203"/>
      <c r="CA249" s="203"/>
      <c r="CB249" s="203"/>
      <c r="CC249" s="203"/>
      <c r="CD249" s="203"/>
      <c r="CE249" s="203"/>
      <c r="CF249" s="203"/>
      <c r="CG249" s="203"/>
      <c r="CH249" s="203"/>
      <c r="CI249" s="203"/>
      <c r="CJ249" s="203"/>
      <c r="CK249" s="203"/>
      <c r="CL249" s="203"/>
      <c r="CM249" s="203"/>
      <c r="CN249" s="203"/>
      <c r="CO249" s="203"/>
      <c r="CP249" s="203"/>
      <c r="CQ249" s="203"/>
      <c r="CR249" s="203"/>
      <c r="CS249" s="203"/>
      <c r="CT249" s="203"/>
      <c r="CU249" s="203"/>
      <c r="CV249" s="203"/>
      <c r="CW249" s="203"/>
      <c r="CX249" s="203"/>
      <c r="CY249" s="203"/>
      <c r="CZ249" s="203"/>
      <c r="DA249" s="203"/>
      <c r="DB249" s="203"/>
      <c r="DC249" s="203"/>
      <c r="DD249" s="203"/>
      <c r="DE249" s="203"/>
      <c r="DF249" s="203"/>
      <c r="DG249" s="203"/>
      <c r="DH249" s="203"/>
      <c r="DI249" s="203"/>
      <c r="DJ249" s="203"/>
      <c r="DK249" s="203"/>
      <c r="DL249" s="203"/>
      <c r="DM249" s="203"/>
      <c r="DN249" s="203"/>
      <c r="DO249" s="203"/>
      <c r="DP249" s="203"/>
      <c r="DQ249" s="203"/>
      <c r="DR249" s="203"/>
      <c r="DS249" s="203"/>
      <c r="DT249" s="203"/>
      <c r="DV249" s="203"/>
      <c r="DW249" s="203"/>
      <c r="DX249" s="203"/>
      <c r="DY249" s="203"/>
      <c r="DZ249" s="203"/>
      <c r="EA249" s="203"/>
      <c r="EB249" s="203"/>
      <c r="EX249" s="203"/>
      <c r="EY249" s="203"/>
      <c r="EZ249" s="203"/>
      <c r="FA249" s="203"/>
      <c r="FB249" s="203"/>
      <c r="FC249" s="203"/>
      <c r="FD249" s="203"/>
    </row>
    <row r="250" spans="1:160">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03"/>
      <c r="BU250" s="203"/>
      <c r="BV250" s="203"/>
      <c r="BW250" s="203"/>
      <c r="BX250" s="203"/>
      <c r="BY250" s="203"/>
      <c r="BZ250" s="203"/>
      <c r="CA250" s="203"/>
      <c r="CB250" s="203"/>
      <c r="CC250" s="203"/>
      <c r="CD250" s="203"/>
      <c r="CE250" s="203"/>
      <c r="CF250" s="203"/>
      <c r="CG250" s="203"/>
      <c r="CH250" s="203"/>
      <c r="CI250" s="203"/>
      <c r="CJ250" s="203"/>
      <c r="CK250" s="203"/>
      <c r="CL250" s="203"/>
      <c r="CM250" s="203"/>
      <c r="CN250" s="203"/>
      <c r="CO250" s="203"/>
      <c r="CP250" s="203"/>
      <c r="CQ250" s="203"/>
      <c r="CR250" s="203"/>
      <c r="CS250" s="203"/>
      <c r="CT250" s="203"/>
      <c r="CU250" s="203"/>
      <c r="CV250" s="203"/>
      <c r="CW250" s="203"/>
      <c r="CX250" s="203"/>
      <c r="CY250" s="203"/>
      <c r="CZ250" s="203"/>
      <c r="DA250" s="203"/>
      <c r="DB250" s="203"/>
      <c r="DC250" s="203"/>
      <c r="DD250" s="203"/>
      <c r="DE250" s="203"/>
      <c r="DF250" s="203"/>
      <c r="DG250" s="203"/>
      <c r="DH250" s="203"/>
      <c r="DI250" s="203"/>
      <c r="DJ250" s="203"/>
      <c r="DK250" s="203"/>
      <c r="DL250" s="203"/>
      <c r="DM250" s="203"/>
      <c r="DN250" s="203"/>
      <c r="DO250" s="203"/>
      <c r="DP250" s="203"/>
      <c r="DQ250" s="203"/>
      <c r="DR250" s="203"/>
      <c r="DS250" s="203"/>
      <c r="DT250" s="203"/>
      <c r="DV250" s="203"/>
      <c r="DW250" s="203"/>
      <c r="DX250" s="203"/>
      <c r="DY250" s="203"/>
      <c r="DZ250" s="203"/>
      <c r="EA250" s="203"/>
      <c r="EB250" s="203"/>
      <c r="EX250" s="203"/>
      <c r="EY250" s="203"/>
      <c r="EZ250" s="203"/>
      <c r="FA250" s="203"/>
      <c r="FB250" s="203"/>
      <c r="FC250" s="203"/>
      <c r="FD250" s="203"/>
    </row>
    <row r="251" spans="1:160">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A251" s="203"/>
      <c r="CB251" s="203"/>
      <c r="CC251" s="203"/>
      <c r="CD251" s="203"/>
      <c r="CE251" s="203"/>
      <c r="CF251" s="203"/>
      <c r="CG251" s="203"/>
      <c r="CH251" s="203"/>
      <c r="CI251" s="203"/>
      <c r="CJ251" s="203"/>
      <c r="CK251" s="203"/>
      <c r="CL251" s="203"/>
      <c r="CM251" s="203"/>
      <c r="CN251" s="203"/>
      <c r="CO251" s="203"/>
      <c r="CP251" s="203"/>
      <c r="CQ251" s="203"/>
      <c r="CR251" s="203"/>
      <c r="CS251" s="203"/>
      <c r="CT251" s="203"/>
      <c r="CU251" s="203"/>
      <c r="CV251" s="203"/>
      <c r="CW251" s="203"/>
      <c r="CX251" s="203"/>
      <c r="CY251" s="203"/>
      <c r="CZ251" s="203"/>
      <c r="DA251" s="203"/>
      <c r="DB251" s="203"/>
      <c r="DC251" s="203"/>
      <c r="DD251" s="203"/>
      <c r="DE251" s="203"/>
      <c r="DF251" s="203"/>
      <c r="DG251" s="203"/>
      <c r="DH251" s="203"/>
      <c r="DI251" s="203"/>
      <c r="DJ251" s="203"/>
      <c r="DK251" s="203"/>
      <c r="DL251" s="203"/>
      <c r="DM251" s="203"/>
      <c r="DN251" s="203"/>
      <c r="DO251" s="203"/>
      <c r="DP251" s="203"/>
      <c r="DQ251" s="203"/>
      <c r="DR251" s="203"/>
      <c r="DS251" s="203"/>
      <c r="DT251" s="203"/>
      <c r="DV251" s="203"/>
      <c r="DW251" s="203"/>
      <c r="DX251" s="203"/>
      <c r="DY251" s="203"/>
      <c r="DZ251" s="203"/>
      <c r="EA251" s="203"/>
      <c r="EB251" s="203"/>
      <c r="EX251" s="203"/>
      <c r="EY251" s="203"/>
      <c r="EZ251" s="203"/>
      <c r="FA251" s="203"/>
      <c r="FB251" s="203"/>
      <c r="FC251" s="203"/>
      <c r="FD251" s="203"/>
    </row>
    <row r="252" spans="1:160">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A252" s="203"/>
      <c r="CB252" s="203"/>
      <c r="CC252" s="203"/>
      <c r="CD252" s="203"/>
      <c r="CE252" s="203"/>
      <c r="CF252" s="203"/>
      <c r="CG252" s="203"/>
      <c r="CH252" s="203"/>
      <c r="CI252" s="203"/>
      <c r="CJ252" s="203"/>
      <c r="CK252" s="203"/>
      <c r="CL252" s="203"/>
      <c r="CM252" s="203"/>
      <c r="CN252" s="203"/>
      <c r="CO252" s="203"/>
      <c r="CP252" s="203"/>
      <c r="CQ252" s="203"/>
      <c r="CR252" s="203"/>
      <c r="CS252" s="203"/>
      <c r="CT252" s="203"/>
      <c r="CU252" s="203"/>
      <c r="CV252" s="203"/>
      <c r="CW252" s="203"/>
      <c r="CX252" s="203"/>
      <c r="CY252" s="203"/>
      <c r="CZ252" s="203"/>
      <c r="DA252" s="203"/>
      <c r="DB252" s="203"/>
      <c r="DC252" s="203"/>
      <c r="DD252" s="203"/>
      <c r="DE252" s="203"/>
      <c r="DF252" s="203"/>
      <c r="DG252" s="203"/>
      <c r="DH252" s="203"/>
      <c r="DI252" s="203"/>
      <c r="DJ252" s="203"/>
      <c r="DK252" s="203"/>
      <c r="DL252" s="203"/>
      <c r="DM252" s="203"/>
      <c r="DN252" s="203"/>
      <c r="DO252" s="203"/>
      <c r="DP252" s="203"/>
      <c r="DQ252" s="203"/>
      <c r="DR252" s="203"/>
      <c r="DS252" s="203"/>
      <c r="DT252" s="203"/>
      <c r="DV252" s="203"/>
      <c r="DW252" s="203"/>
      <c r="DX252" s="203"/>
      <c r="DY252" s="203"/>
      <c r="DZ252" s="203"/>
      <c r="EA252" s="203"/>
      <c r="EB252" s="203"/>
      <c r="EX252" s="203"/>
      <c r="EY252" s="203"/>
      <c r="EZ252" s="203"/>
      <c r="FA252" s="203"/>
      <c r="FB252" s="203"/>
      <c r="FC252" s="203"/>
      <c r="FD252" s="203"/>
    </row>
    <row r="253" spans="1:160">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A253" s="203"/>
      <c r="CB253" s="203"/>
      <c r="CC253" s="203"/>
      <c r="CD253" s="203"/>
      <c r="CE253" s="203"/>
      <c r="CF253" s="203"/>
      <c r="CG253" s="203"/>
      <c r="CH253" s="203"/>
      <c r="CI253" s="203"/>
      <c r="CJ253" s="203"/>
      <c r="CK253" s="203"/>
      <c r="CL253" s="203"/>
      <c r="CM253" s="203"/>
      <c r="CN253" s="203"/>
      <c r="CO253" s="203"/>
      <c r="CP253" s="203"/>
      <c r="CQ253" s="203"/>
      <c r="CR253" s="203"/>
      <c r="CS253" s="203"/>
      <c r="CT253" s="203"/>
      <c r="CU253" s="203"/>
      <c r="CV253" s="203"/>
      <c r="CW253" s="203"/>
      <c r="CX253" s="203"/>
      <c r="CY253" s="203"/>
      <c r="CZ253" s="203"/>
      <c r="DA253" s="203"/>
      <c r="DB253" s="203"/>
      <c r="DC253" s="203"/>
      <c r="DD253" s="203"/>
      <c r="DE253" s="203"/>
      <c r="DF253" s="203"/>
      <c r="DG253" s="203"/>
      <c r="DH253" s="203"/>
      <c r="DI253" s="203"/>
      <c r="DJ253" s="203"/>
      <c r="DK253" s="203"/>
      <c r="DL253" s="203"/>
      <c r="DM253" s="203"/>
      <c r="DN253" s="203"/>
      <c r="DO253" s="203"/>
      <c r="DP253" s="203"/>
      <c r="DQ253" s="203"/>
      <c r="DR253" s="203"/>
      <c r="DS253" s="203"/>
      <c r="DT253" s="203"/>
      <c r="DV253" s="203"/>
      <c r="DW253" s="203"/>
      <c r="DX253" s="203"/>
      <c r="DY253" s="203"/>
      <c r="DZ253" s="203"/>
      <c r="EA253" s="203"/>
      <c r="EB253" s="203"/>
      <c r="EX253" s="203"/>
      <c r="EY253" s="203"/>
      <c r="EZ253" s="203"/>
      <c r="FA253" s="203"/>
      <c r="FB253" s="203"/>
      <c r="FC253" s="203"/>
      <c r="FD253" s="203"/>
    </row>
    <row r="254" spans="1:160">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203"/>
      <c r="CD254" s="203"/>
      <c r="CE254" s="203"/>
      <c r="CF254" s="203"/>
      <c r="CG254" s="203"/>
      <c r="CH254" s="203"/>
      <c r="CI254" s="203"/>
      <c r="CJ254" s="203"/>
      <c r="CK254" s="203"/>
      <c r="CL254" s="203"/>
      <c r="CM254" s="203"/>
      <c r="CN254" s="203"/>
      <c r="CO254" s="203"/>
      <c r="CP254" s="203"/>
      <c r="CQ254" s="203"/>
      <c r="CR254" s="203"/>
      <c r="CS254" s="203"/>
      <c r="CT254" s="203"/>
      <c r="CU254" s="203"/>
      <c r="CV254" s="203"/>
      <c r="CW254" s="203"/>
      <c r="CX254" s="203"/>
      <c r="CY254" s="203"/>
      <c r="CZ254" s="203"/>
      <c r="DA254" s="203"/>
      <c r="DB254" s="203"/>
      <c r="DC254" s="203"/>
      <c r="DD254" s="203"/>
      <c r="DE254" s="203"/>
      <c r="DF254" s="203"/>
      <c r="DG254" s="203"/>
      <c r="DH254" s="203"/>
      <c r="DI254" s="203"/>
      <c r="DJ254" s="203"/>
      <c r="DK254" s="203"/>
      <c r="DL254" s="203"/>
      <c r="DM254" s="203"/>
      <c r="DN254" s="203"/>
      <c r="DO254" s="203"/>
      <c r="DP254" s="203"/>
      <c r="DQ254" s="203"/>
      <c r="DR254" s="203"/>
      <c r="DS254" s="203"/>
      <c r="DT254" s="203"/>
      <c r="DV254" s="203"/>
      <c r="DW254" s="203"/>
      <c r="DX254" s="203"/>
      <c r="DY254" s="203"/>
      <c r="DZ254" s="203"/>
      <c r="EA254" s="203"/>
      <c r="EB254" s="203"/>
      <c r="EX254" s="203"/>
      <c r="EY254" s="203"/>
      <c r="EZ254" s="203"/>
      <c r="FA254" s="203"/>
      <c r="FB254" s="203"/>
      <c r="FC254" s="203"/>
      <c r="FD254" s="203"/>
    </row>
    <row r="255" spans="1:160">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c r="BT255" s="203"/>
      <c r="BU255" s="203"/>
      <c r="BV255" s="203"/>
      <c r="BW255" s="203"/>
      <c r="BX255" s="203"/>
      <c r="BY255" s="203"/>
      <c r="BZ255" s="203"/>
      <c r="CA255" s="203"/>
      <c r="CB255" s="203"/>
      <c r="CC255" s="203"/>
      <c r="CD255" s="203"/>
      <c r="CE255" s="203"/>
      <c r="CF255" s="203"/>
      <c r="CG255" s="203"/>
      <c r="CH255" s="203"/>
      <c r="CI255" s="203"/>
      <c r="CJ255" s="203"/>
      <c r="CK255" s="203"/>
      <c r="CL255" s="203"/>
      <c r="CM255" s="203"/>
      <c r="CN255" s="203"/>
      <c r="CO255" s="203"/>
      <c r="CP255" s="203"/>
      <c r="CQ255" s="203"/>
      <c r="CR255" s="203"/>
      <c r="CS255" s="203"/>
      <c r="CT255" s="203"/>
      <c r="CU255" s="203"/>
      <c r="CV255" s="203"/>
      <c r="CW255" s="203"/>
      <c r="CX255" s="203"/>
      <c r="CY255" s="203"/>
      <c r="CZ255" s="203"/>
      <c r="DA255" s="203"/>
      <c r="DB255" s="203"/>
      <c r="DC255" s="203"/>
      <c r="DD255" s="203"/>
      <c r="DE255" s="203"/>
      <c r="DF255" s="203"/>
      <c r="DG255" s="203"/>
      <c r="DH255" s="203"/>
      <c r="DI255" s="203"/>
      <c r="DJ255" s="203"/>
      <c r="DK255" s="203"/>
      <c r="DL255" s="203"/>
      <c r="DM255" s="203"/>
      <c r="DN255" s="203"/>
      <c r="DO255" s="203"/>
      <c r="DP255" s="203"/>
      <c r="DQ255" s="203"/>
      <c r="DR255" s="203"/>
      <c r="DS255" s="203"/>
      <c r="DT255" s="203"/>
      <c r="DV255" s="203"/>
      <c r="DW255" s="203"/>
      <c r="DX255" s="203"/>
      <c r="DY255" s="203"/>
      <c r="DZ255" s="203"/>
      <c r="EA255" s="203"/>
      <c r="EB255" s="203"/>
      <c r="EX255" s="203"/>
      <c r="EY255" s="203"/>
      <c r="EZ255" s="203"/>
      <c r="FA255" s="203"/>
      <c r="FB255" s="203"/>
      <c r="FC255" s="203"/>
      <c r="FD255" s="203"/>
    </row>
    <row r="256" spans="1:160">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A256" s="203"/>
      <c r="CB256" s="203"/>
      <c r="CC256" s="203"/>
      <c r="CD256" s="203"/>
      <c r="CE256" s="203"/>
      <c r="CF256" s="203"/>
      <c r="CG256" s="203"/>
      <c r="CH256" s="203"/>
      <c r="CI256" s="203"/>
      <c r="CJ256" s="203"/>
      <c r="CK256" s="203"/>
      <c r="CL256" s="203"/>
      <c r="CM256" s="203"/>
      <c r="CN256" s="203"/>
      <c r="CO256" s="203"/>
      <c r="CP256" s="203"/>
      <c r="CQ256" s="203"/>
      <c r="CR256" s="203"/>
      <c r="CS256" s="203"/>
      <c r="CT256" s="203"/>
      <c r="CU256" s="203"/>
      <c r="CV256" s="203"/>
      <c r="CW256" s="203"/>
      <c r="CX256" s="203"/>
      <c r="CY256" s="203"/>
      <c r="CZ256" s="203"/>
      <c r="DA256" s="203"/>
      <c r="DB256" s="203"/>
      <c r="DC256" s="203"/>
      <c r="DD256" s="203"/>
      <c r="DE256" s="203"/>
      <c r="DF256" s="203"/>
      <c r="DG256" s="203"/>
      <c r="DH256" s="203"/>
      <c r="DI256" s="203"/>
      <c r="DJ256" s="203"/>
      <c r="DK256" s="203"/>
      <c r="DL256" s="203"/>
      <c r="DM256" s="203"/>
      <c r="DN256" s="203"/>
      <c r="DO256" s="203"/>
      <c r="DP256" s="203"/>
      <c r="DQ256" s="203"/>
      <c r="DR256" s="203"/>
      <c r="DS256" s="203"/>
      <c r="DT256" s="203"/>
      <c r="DV256" s="203"/>
      <c r="DW256" s="203"/>
      <c r="DX256" s="203"/>
      <c r="DY256" s="203"/>
      <c r="DZ256" s="203"/>
      <c r="EA256" s="203"/>
      <c r="EB256" s="203"/>
      <c r="EX256" s="203"/>
      <c r="EY256" s="203"/>
      <c r="EZ256" s="203"/>
      <c r="FA256" s="203"/>
      <c r="FB256" s="203"/>
      <c r="FC256" s="203"/>
      <c r="FD256" s="203"/>
    </row>
    <row r="257" spans="1:160">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c r="BM257" s="203"/>
      <c r="BN257" s="203"/>
      <c r="BO257" s="203"/>
      <c r="BP257" s="203"/>
      <c r="BQ257" s="203"/>
      <c r="BR257" s="203"/>
      <c r="BS257" s="203"/>
      <c r="BT257" s="203"/>
      <c r="BU257" s="203"/>
      <c r="BV257" s="203"/>
      <c r="BW257" s="203"/>
      <c r="BX257" s="203"/>
      <c r="BY257" s="203"/>
      <c r="BZ257" s="203"/>
      <c r="CA257" s="203"/>
      <c r="CB257" s="203"/>
      <c r="CC257" s="203"/>
      <c r="CD257" s="203"/>
      <c r="CE257" s="203"/>
      <c r="CF257" s="203"/>
      <c r="CG257" s="203"/>
      <c r="CH257" s="203"/>
      <c r="CI257" s="203"/>
      <c r="CJ257" s="203"/>
      <c r="CK257" s="203"/>
      <c r="CL257" s="203"/>
      <c r="CM257" s="203"/>
      <c r="CN257" s="203"/>
      <c r="CO257" s="203"/>
      <c r="CP257" s="203"/>
      <c r="CQ257" s="203"/>
      <c r="CR257" s="203"/>
      <c r="CS257" s="203"/>
      <c r="CT257" s="203"/>
      <c r="CU257" s="203"/>
      <c r="CV257" s="203"/>
      <c r="CW257" s="203"/>
      <c r="CX257" s="203"/>
      <c r="CY257" s="203"/>
      <c r="CZ257" s="203"/>
      <c r="DA257" s="203"/>
      <c r="DB257" s="203"/>
      <c r="DC257" s="203"/>
      <c r="DD257" s="203"/>
      <c r="DE257" s="203"/>
      <c r="DF257" s="203"/>
      <c r="DG257" s="203"/>
      <c r="DH257" s="203"/>
      <c r="DI257" s="203"/>
      <c r="DJ257" s="203"/>
      <c r="DK257" s="203"/>
      <c r="DL257" s="203"/>
      <c r="DM257" s="203"/>
      <c r="DN257" s="203"/>
      <c r="DO257" s="203"/>
      <c r="DP257" s="203"/>
      <c r="DQ257" s="203"/>
      <c r="DR257" s="203"/>
      <c r="DS257" s="203"/>
      <c r="DT257" s="203"/>
      <c r="DV257" s="203"/>
      <c r="DW257" s="203"/>
      <c r="DX257" s="203"/>
      <c r="DY257" s="203"/>
      <c r="DZ257" s="203"/>
      <c r="EA257" s="203"/>
      <c r="EB257" s="203"/>
      <c r="EX257" s="203"/>
      <c r="EY257" s="203"/>
      <c r="EZ257" s="203"/>
      <c r="FA257" s="203"/>
      <c r="FB257" s="203"/>
      <c r="FC257" s="203"/>
      <c r="FD257" s="203"/>
    </row>
    <row r="258" spans="1:160">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c r="BT258" s="203"/>
      <c r="BU258" s="203"/>
      <c r="BV258" s="203"/>
      <c r="BW258" s="203"/>
      <c r="BX258" s="203"/>
      <c r="BY258" s="203"/>
      <c r="BZ258" s="203"/>
      <c r="CA258" s="203"/>
      <c r="CB258" s="203"/>
      <c r="CC258" s="203"/>
      <c r="CD258" s="203"/>
      <c r="CE258" s="203"/>
      <c r="CF258" s="203"/>
      <c r="CG258" s="203"/>
      <c r="CH258" s="203"/>
      <c r="CI258" s="203"/>
      <c r="CJ258" s="203"/>
      <c r="CK258" s="203"/>
      <c r="CL258" s="203"/>
      <c r="CM258" s="203"/>
      <c r="CN258" s="203"/>
      <c r="CO258" s="203"/>
      <c r="CP258" s="203"/>
      <c r="CQ258" s="203"/>
      <c r="CR258" s="203"/>
      <c r="CS258" s="203"/>
      <c r="CT258" s="203"/>
      <c r="CU258" s="203"/>
      <c r="CV258" s="203"/>
      <c r="CW258" s="203"/>
      <c r="CX258" s="203"/>
      <c r="CY258" s="203"/>
      <c r="CZ258" s="203"/>
      <c r="DA258" s="203"/>
      <c r="DB258" s="203"/>
      <c r="DC258" s="203"/>
      <c r="DD258" s="203"/>
      <c r="DE258" s="203"/>
      <c r="DF258" s="203"/>
      <c r="DG258" s="203"/>
      <c r="DH258" s="203"/>
      <c r="DI258" s="203"/>
      <c r="DJ258" s="203"/>
      <c r="DK258" s="203"/>
      <c r="DL258" s="203"/>
      <c r="DM258" s="203"/>
      <c r="DN258" s="203"/>
      <c r="DO258" s="203"/>
      <c r="DP258" s="203"/>
      <c r="DQ258" s="203"/>
      <c r="DR258" s="203"/>
      <c r="DS258" s="203"/>
      <c r="DT258" s="203"/>
      <c r="DV258" s="203"/>
      <c r="DW258" s="203"/>
      <c r="DX258" s="203"/>
      <c r="DY258" s="203"/>
      <c r="DZ258" s="203"/>
      <c r="EA258" s="203"/>
      <c r="EB258" s="203"/>
      <c r="EX258" s="203"/>
      <c r="EY258" s="203"/>
      <c r="EZ258" s="203"/>
      <c r="FA258" s="203"/>
      <c r="FB258" s="203"/>
      <c r="FC258" s="203"/>
      <c r="FD258" s="203"/>
    </row>
    <row r="259" spans="1:160">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BM259" s="203"/>
      <c r="BN259" s="203"/>
      <c r="BO259" s="203"/>
      <c r="BP259" s="203"/>
      <c r="BQ259" s="203"/>
      <c r="BR259" s="203"/>
      <c r="BS259" s="203"/>
      <c r="BT259" s="203"/>
      <c r="BU259" s="203"/>
      <c r="BV259" s="203"/>
      <c r="BW259" s="203"/>
      <c r="BX259" s="203"/>
      <c r="BY259" s="203"/>
      <c r="BZ259" s="203"/>
      <c r="CA259" s="203"/>
      <c r="CB259" s="203"/>
      <c r="CC259" s="203"/>
      <c r="CD259" s="203"/>
      <c r="CE259" s="203"/>
      <c r="CF259" s="203"/>
      <c r="CG259" s="203"/>
      <c r="CH259" s="203"/>
      <c r="CI259" s="203"/>
      <c r="CJ259" s="203"/>
      <c r="CK259" s="203"/>
      <c r="CL259" s="203"/>
      <c r="CM259" s="203"/>
      <c r="CN259" s="203"/>
      <c r="CO259" s="203"/>
      <c r="CP259" s="203"/>
      <c r="CQ259" s="203"/>
      <c r="CR259" s="203"/>
      <c r="CS259" s="203"/>
      <c r="CT259" s="203"/>
      <c r="CU259" s="203"/>
      <c r="CV259" s="203"/>
      <c r="CW259" s="203"/>
      <c r="CX259" s="203"/>
      <c r="CY259" s="203"/>
      <c r="CZ259" s="203"/>
      <c r="DA259" s="203"/>
      <c r="DB259" s="203"/>
      <c r="DC259" s="203"/>
      <c r="DD259" s="203"/>
      <c r="DE259" s="203"/>
      <c r="DF259" s="203"/>
      <c r="DG259" s="203"/>
      <c r="DH259" s="203"/>
      <c r="DI259" s="203"/>
      <c r="DJ259" s="203"/>
      <c r="DK259" s="203"/>
      <c r="DL259" s="203"/>
      <c r="DM259" s="203"/>
      <c r="DN259" s="203"/>
      <c r="DO259" s="203"/>
      <c r="DP259" s="203"/>
      <c r="DQ259" s="203"/>
      <c r="DR259" s="203"/>
      <c r="DS259" s="203"/>
      <c r="DT259" s="203"/>
      <c r="DV259" s="203"/>
      <c r="DW259" s="203"/>
      <c r="DX259" s="203"/>
      <c r="DY259" s="203"/>
      <c r="DZ259" s="203"/>
      <c r="EA259" s="203"/>
      <c r="EB259" s="203"/>
      <c r="EX259" s="203"/>
      <c r="EY259" s="203"/>
      <c r="EZ259" s="203"/>
      <c r="FA259" s="203"/>
      <c r="FB259" s="203"/>
      <c r="FC259" s="203"/>
      <c r="FD259" s="203"/>
    </row>
    <row r="260" spans="1:160">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c r="CA260" s="203"/>
      <c r="CB260" s="203"/>
      <c r="CC260" s="203"/>
      <c r="CD260" s="203"/>
      <c r="CE260" s="203"/>
      <c r="CF260" s="203"/>
      <c r="CG260" s="203"/>
      <c r="CH260" s="203"/>
      <c r="CI260" s="203"/>
      <c r="CJ260" s="203"/>
      <c r="CK260" s="203"/>
      <c r="CL260" s="203"/>
      <c r="CM260" s="203"/>
      <c r="CN260" s="203"/>
      <c r="CO260" s="203"/>
      <c r="CP260" s="203"/>
      <c r="CQ260" s="203"/>
      <c r="CR260" s="203"/>
      <c r="CS260" s="203"/>
      <c r="CT260" s="203"/>
      <c r="CU260" s="203"/>
      <c r="CV260" s="203"/>
      <c r="CW260" s="203"/>
      <c r="CX260" s="203"/>
      <c r="CY260" s="203"/>
      <c r="CZ260" s="203"/>
      <c r="DA260" s="203"/>
      <c r="DB260" s="203"/>
      <c r="DC260" s="203"/>
      <c r="DD260" s="203"/>
      <c r="DE260" s="203"/>
      <c r="DF260" s="203"/>
      <c r="DG260" s="203"/>
      <c r="DH260" s="203"/>
      <c r="DI260" s="203"/>
      <c r="DJ260" s="203"/>
      <c r="DK260" s="203"/>
      <c r="DL260" s="203"/>
      <c r="DM260" s="203"/>
      <c r="DN260" s="203"/>
      <c r="DO260" s="203"/>
      <c r="DP260" s="203"/>
      <c r="DQ260" s="203"/>
      <c r="DR260" s="203"/>
      <c r="DS260" s="203"/>
      <c r="DT260" s="203"/>
      <c r="DV260" s="203"/>
      <c r="DW260" s="203"/>
      <c r="DX260" s="203"/>
      <c r="DY260" s="203"/>
      <c r="DZ260" s="203"/>
      <c r="EA260" s="203"/>
      <c r="EB260" s="203"/>
      <c r="EX260" s="203"/>
      <c r="EY260" s="203"/>
      <c r="EZ260" s="203"/>
      <c r="FA260" s="203"/>
      <c r="FB260" s="203"/>
      <c r="FC260" s="203"/>
      <c r="FD260" s="203"/>
    </row>
    <row r="261" spans="1:160">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A261" s="203"/>
      <c r="CB261" s="203"/>
      <c r="CC261" s="203"/>
      <c r="CD261" s="203"/>
      <c r="CE261" s="203"/>
      <c r="CF261" s="203"/>
      <c r="CG261" s="203"/>
      <c r="CH261" s="203"/>
      <c r="CI261" s="203"/>
      <c r="CJ261" s="203"/>
      <c r="CK261" s="203"/>
      <c r="CL261" s="203"/>
      <c r="CM261" s="203"/>
      <c r="CN261" s="203"/>
      <c r="CO261" s="203"/>
      <c r="CP261" s="203"/>
      <c r="CQ261" s="203"/>
      <c r="CR261" s="203"/>
      <c r="CS261" s="203"/>
      <c r="CT261" s="203"/>
      <c r="CU261" s="203"/>
      <c r="CV261" s="203"/>
      <c r="CW261" s="203"/>
      <c r="CX261" s="203"/>
      <c r="CY261" s="203"/>
      <c r="CZ261" s="203"/>
      <c r="DA261" s="203"/>
      <c r="DB261" s="203"/>
      <c r="DC261" s="203"/>
      <c r="DD261" s="203"/>
      <c r="DE261" s="203"/>
      <c r="DF261" s="203"/>
      <c r="DG261" s="203"/>
      <c r="DH261" s="203"/>
      <c r="DI261" s="203"/>
      <c r="DJ261" s="203"/>
      <c r="DK261" s="203"/>
      <c r="DL261" s="203"/>
      <c r="DM261" s="203"/>
      <c r="DN261" s="203"/>
      <c r="DO261" s="203"/>
      <c r="DP261" s="203"/>
      <c r="DQ261" s="203"/>
      <c r="DR261" s="203"/>
      <c r="DS261" s="203"/>
      <c r="DT261" s="203"/>
      <c r="DV261" s="203"/>
      <c r="DW261" s="203"/>
      <c r="DX261" s="203"/>
      <c r="DY261" s="203"/>
      <c r="DZ261" s="203"/>
      <c r="EA261" s="203"/>
      <c r="EB261" s="203"/>
      <c r="EX261" s="203"/>
      <c r="EY261" s="203"/>
      <c r="EZ261" s="203"/>
      <c r="FA261" s="203"/>
      <c r="FB261" s="203"/>
      <c r="FC261" s="203"/>
      <c r="FD261" s="203"/>
    </row>
    <row r="262" spans="1:160">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c r="CI262" s="203"/>
      <c r="CJ262" s="203"/>
      <c r="CK262" s="203"/>
      <c r="CL262" s="203"/>
      <c r="CM262" s="203"/>
      <c r="CN262" s="203"/>
      <c r="CO262" s="203"/>
      <c r="CP262" s="203"/>
      <c r="CQ262" s="203"/>
      <c r="CR262" s="203"/>
      <c r="CS262" s="203"/>
      <c r="CT262" s="203"/>
      <c r="CU262" s="203"/>
      <c r="CV262" s="203"/>
      <c r="CW262" s="203"/>
      <c r="CX262" s="203"/>
      <c r="CY262" s="203"/>
      <c r="CZ262" s="203"/>
      <c r="DA262" s="203"/>
      <c r="DB262" s="203"/>
      <c r="DC262" s="203"/>
      <c r="DD262" s="203"/>
      <c r="DE262" s="203"/>
      <c r="DF262" s="203"/>
      <c r="DG262" s="203"/>
      <c r="DH262" s="203"/>
      <c r="DI262" s="203"/>
      <c r="DJ262" s="203"/>
      <c r="DK262" s="203"/>
      <c r="DL262" s="203"/>
      <c r="DM262" s="203"/>
      <c r="DN262" s="203"/>
      <c r="DO262" s="203"/>
      <c r="DP262" s="203"/>
      <c r="DQ262" s="203"/>
      <c r="DR262" s="203"/>
      <c r="DS262" s="203"/>
      <c r="DT262" s="203"/>
      <c r="DV262" s="203"/>
      <c r="DW262" s="203"/>
      <c r="DX262" s="203"/>
      <c r="DY262" s="203"/>
      <c r="DZ262" s="203"/>
      <c r="EA262" s="203"/>
      <c r="EB262" s="203"/>
      <c r="EX262" s="203"/>
      <c r="EY262" s="203"/>
      <c r="EZ262" s="203"/>
      <c r="FA262" s="203"/>
      <c r="FB262" s="203"/>
      <c r="FC262" s="203"/>
      <c r="FD262" s="203"/>
    </row>
    <row r="263" spans="1:160">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c r="BW263" s="203"/>
      <c r="BX263" s="203"/>
      <c r="BY263" s="203"/>
      <c r="BZ263" s="203"/>
      <c r="CA263" s="203"/>
      <c r="CB263" s="203"/>
      <c r="CC263" s="203"/>
      <c r="CD263" s="203"/>
      <c r="CE263" s="203"/>
      <c r="CF263" s="203"/>
      <c r="CG263" s="203"/>
      <c r="CH263" s="203"/>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203"/>
      <c r="DP263" s="203"/>
      <c r="DQ263" s="203"/>
      <c r="DR263" s="203"/>
      <c r="DS263" s="203"/>
      <c r="DT263" s="203"/>
      <c r="DV263" s="203"/>
      <c r="DW263" s="203"/>
      <c r="DX263" s="203"/>
      <c r="DY263" s="203"/>
      <c r="DZ263" s="203"/>
      <c r="EA263" s="203"/>
      <c r="EB263" s="203"/>
      <c r="EX263" s="203"/>
      <c r="EY263" s="203"/>
      <c r="EZ263" s="203"/>
      <c r="FA263" s="203"/>
      <c r="FB263" s="203"/>
      <c r="FC263" s="203"/>
      <c r="FD263" s="203"/>
    </row>
    <row r="264" spans="1:160">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A264" s="203"/>
      <c r="CB264" s="203"/>
      <c r="CC264" s="203"/>
      <c r="CD264" s="203"/>
      <c r="CE264" s="203"/>
      <c r="CF264" s="203"/>
      <c r="CG264" s="203"/>
      <c r="CH264" s="203"/>
      <c r="CI264" s="203"/>
      <c r="CJ264" s="203"/>
      <c r="CK264" s="203"/>
      <c r="CL264" s="203"/>
      <c r="CM264" s="203"/>
      <c r="CN264" s="203"/>
      <c r="CO264" s="203"/>
      <c r="CP264" s="203"/>
      <c r="CQ264" s="203"/>
      <c r="CR264" s="203"/>
      <c r="CS264" s="203"/>
      <c r="CT264" s="203"/>
      <c r="CU264" s="203"/>
      <c r="CV264" s="203"/>
      <c r="CW264" s="203"/>
      <c r="CX264" s="203"/>
      <c r="CY264" s="203"/>
      <c r="CZ264" s="203"/>
      <c r="DA264" s="203"/>
      <c r="DB264" s="203"/>
      <c r="DC264" s="203"/>
      <c r="DD264" s="203"/>
      <c r="DE264" s="203"/>
      <c r="DF264" s="203"/>
      <c r="DG264" s="203"/>
      <c r="DH264" s="203"/>
      <c r="DI264" s="203"/>
      <c r="DJ264" s="203"/>
      <c r="DK264" s="203"/>
      <c r="DL264" s="203"/>
      <c r="DM264" s="203"/>
      <c r="DN264" s="203"/>
      <c r="DO264" s="203"/>
      <c r="DP264" s="203"/>
      <c r="DQ264" s="203"/>
      <c r="DR264" s="203"/>
      <c r="DS264" s="203"/>
      <c r="DT264" s="203"/>
      <c r="DV264" s="203"/>
      <c r="DW264" s="203"/>
      <c r="DX264" s="203"/>
      <c r="DY264" s="203"/>
      <c r="DZ264" s="203"/>
      <c r="EA264" s="203"/>
      <c r="EB264" s="203"/>
      <c r="EX264" s="203"/>
      <c r="EY264" s="203"/>
      <c r="EZ264" s="203"/>
      <c r="FA264" s="203"/>
      <c r="FB264" s="203"/>
      <c r="FC264" s="203"/>
      <c r="FD264" s="203"/>
    </row>
    <row r="265" spans="1:160">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c r="CE265" s="203"/>
      <c r="CF265" s="203"/>
      <c r="CG265" s="203"/>
      <c r="CH265" s="203"/>
      <c r="CI265" s="203"/>
      <c r="CJ265" s="203"/>
      <c r="CK265" s="203"/>
      <c r="CL265" s="203"/>
      <c r="CM265" s="203"/>
      <c r="CN265" s="203"/>
      <c r="CO265" s="203"/>
      <c r="CP265" s="203"/>
      <c r="CQ265" s="203"/>
      <c r="CR265" s="203"/>
      <c r="CS265" s="203"/>
      <c r="CT265" s="203"/>
      <c r="CU265" s="203"/>
      <c r="CV265" s="203"/>
      <c r="CW265" s="203"/>
      <c r="CX265" s="203"/>
      <c r="CY265" s="203"/>
      <c r="CZ265" s="203"/>
      <c r="DA265" s="203"/>
      <c r="DB265" s="203"/>
      <c r="DC265" s="203"/>
      <c r="DD265" s="203"/>
      <c r="DE265" s="203"/>
      <c r="DF265" s="203"/>
      <c r="DG265" s="203"/>
      <c r="DH265" s="203"/>
      <c r="DI265" s="203"/>
      <c r="DJ265" s="203"/>
      <c r="DK265" s="203"/>
      <c r="DL265" s="203"/>
      <c r="DM265" s="203"/>
      <c r="DN265" s="203"/>
      <c r="DO265" s="203"/>
      <c r="DP265" s="203"/>
      <c r="DQ265" s="203"/>
      <c r="DR265" s="203"/>
      <c r="DS265" s="203"/>
      <c r="DT265" s="203"/>
      <c r="DV265" s="203"/>
      <c r="DW265" s="203"/>
      <c r="DX265" s="203"/>
      <c r="DY265" s="203"/>
      <c r="DZ265" s="203"/>
      <c r="EA265" s="203"/>
      <c r="EB265" s="203"/>
      <c r="EX265" s="203"/>
      <c r="EY265" s="203"/>
      <c r="EZ265" s="203"/>
      <c r="FA265" s="203"/>
      <c r="FB265" s="203"/>
      <c r="FC265" s="203"/>
      <c r="FD265" s="203"/>
    </row>
    <row r="266" spans="1:160">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A266" s="203"/>
      <c r="CB266" s="203"/>
      <c r="CC266" s="203"/>
      <c r="CD266" s="203"/>
      <c r="CE266" s="203"/>
      <c r="CF266" s="203"/>
      <c r="CG266" s="203"/>
      <c r="CH266" s="203"/>
      <c r="CI266" s="203"/>
      <c r="CJ266" s="203"/>
      <c r="CK266" s="203"/>
      <c r="CL266" s="203"/>
      <c r="CM266" s="203"/>
      <c r="CN266" s="203"/>
      <c r="CO266" s="203"/>
      <c r="CP266" s="203"/>
      <c r="CQ266" s="203"/>
      <c r="CR266" s="203"/>
      <c r="CS266" s="203"/>
      <c r="CT266" s="203"/>
      <c r="CU266" s="203"/>
      <c r="CV266" s="203"/>
      <c r="CW266" s="203"/>
      <c r="CX266" s="203"/>
      <c r="CY266" s="203"/>
      <c r="CZ266" s="203"/>
      <c r="DA266" s="203"/>
      <c r="DB266" s="203"/>
      <c r="DC266" s="203"/>
      <c r="DD266" s="203"/>
      <c r="DE266" s="203"/>
      <c r="DF266" s="203"/>
      <c r="DG266" s="203"/>
      <c r="DH266" s="203"/>
      <c r="DI266" s="203"/>
      <c r="DJ266" s="203"/>
      <c r="DK266" s="203"/>
      <c r="DL266" s="203"/>
      <c r="DM266" s="203"/>
      <c r="DN266" s="203"/>
      <c r="DO266" s="203"/>
      <c r="DP266" s="203"/>
      <c r="DQ266" s="203"/>
      <c r="DR266" s="203"/>
      <c r="DS266" s="203"/>
      <c r="DT266" s="203"/>
      <c r="DV266" s="203"/>
      <c r="DW266" s="203"/>
      <c r="DX266" s="203"/>
      <c r="DY266" s="203"/>
      <c r="DZ266" s="203"/>
      <c r="EA266" s="203"/>
      <c r="EB266" s="203"/>
      <c r="EX266" s="203"/>
      <c r="EY266" s="203"/>
      <c r="EZ266" s="203"/>
      <c r="FA266" s="203"/>
      <c r="FB266" s="203"/>
      <c r="FC266" s="203"/>
      <c r="FD266" s="203"/>
    </row>
    <row r="267" spans="1:160">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203"/>
      <c r="BN267" s="203"/>
      <c r="BO267" s="203"/>
      <c r="BP267" s="203"/>
      <c r="BQ267" s="203"/>
      <c r="BR267" s="203"/>
      <c r="BS267" s="203"/>
      <c r="BT267" s="203"/>
      <c r="BU267" s="203"/>
      <c r="BV267" s="203"/>
      <c r="BW267" s="203"/>
      <c r="BX267" s="203"/>
      <c r="BY267" s="203"/>
      <c r="BZ267" s="203"/>
      <c r="CA267" s="203"/>
      <c r="CB267" s="203"/>
      <c r="CC267" s="203"/>
      <c r="CD267" s="203"/>
      <c r="CE267" s="203"/>
      <c r="CF267" s="203"/>
      <c r="CG267" s="203"/>
      <c r="CH267" s="203"/>
      <c r="CI267" s="203"/>
      <c r="CJ267" s="203"/>
      <c r="CK267" s="203"/>
      <c r="CL267" s="203"/>
      <c r="CM267" s="203"/>
      <c r="CN267" s="203"/>
      <c r="CO267" s="203"/>
      <c r="CP267" s="203"/>
      <c r="CQ267" s="203"/>
      <c r="CR267" s="203"/>
      <c r="CS267" s="203"/>
      <c r="CT267" s="203"/>
      <c r="CU267" s="203"/>
      <c r="CV267" s="203"/>
      <c r="CW267" s="203"/>
      <c r="CX267" s="203"/>
      <c r="CY267" s="203"/>
      <c r="CZ267" s="203"/>
      <c r="DA267" s="203"/>
      <c r="DB267" s="203"/>
      <c r="DC267" s="203"/>
      <c r="DD267" s="203"/>
      <c r="DE267" s="203"/>
      <c r="DF267" s="203"/>
      <c r="DG267" s="203"/>
      <c r="DH267" s="203"/>
      <c r="DI267" s="203"/>
      <c r="DJ267" s="203"/>
      <c r="DK267" s="203"/>
      <c r="DL267" s="203"/>
      <c r="DM267" s="203"/>
      <c r="DN267" s="203"/>
      <c r="DO267" s="203"/>
      <c r="DP267" s="203"/>
      <c r="DQ267" s="203"/>
      <c r="DR267" s="203"/>
      <c r="DS267" s="203"/>
      <c r="DT267" s="203"/>
      <c r="DV267" s="203"/>
      <c r="DW267" s="203"/>
      <c r="DX267" s="203"/>
      <c r="DY267" s="203"/>
      <c r="DZ267" s="203"/>
      <c r="EA267" s="203"/>
      <c r="EB267" s="203"/>
      <c r="EX267" s="203"/>
      <c r="EY267" s="203"/>
      <c r="EZ267" s="203"/>
      <c r="FA267" s="203"/>
      <c r="FB267" s="203"/>
      <c r="FC267" s="203"/>
      <c r="FD267" s="203"/>
    </row>
    <row r="268" spans="1:160">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203"/>
      <c r="BN268" s="203"/>
      <c r="BO268" s="203"/>
      <c r="BP268" s="203"/>
      <c r="BQ268" s="203"/>
      <c r="BR268" s="203"/>
      <c r="BS268" s="203"/>
      <c r="BT268" s="203"/>
      <c r="BU268" s="203"/>
      <c r="BV268" s="203"/>
      <c r="BW268" s="203"/>
      <c r="BX268" s="203"/>
      <c r="BY268" s="203"/>
      <c r="BZ268" s="203"/>
      <c r="CA268" s="203"/>
      <c r="CB268" s="203"/>
      <c r="CC268" s="203"/>
      <c r="CD268" s="203"/>
      <c r="CE268" s="203"/>
      <c r="CF268" s="203"/>
      <c r="CG268" s="203"/>
      <c r="CH268" s="203"/>
      <c r="CI268" s="203"/>
      <c r="CJ268" s="203"/>
      <c r="CK268" s="203"/>
      <c r="CL268" s="203"/>
      <c r="CM268" s="203"/>
      <c r="CN268" s="203"/>
      <c r="CO268" s="203"/>
      <c r="CP268" s="203"/>
      <c r="CQ268" s="203"/>
      <c r="CR268" s="203"/>
      <c r="CS268" s="203"/>
      <c r="CT268" s="203"/>
      <c r="CU268" s="203"/>
      <c r="CV268" s="203"/>
      <c r="CW268" s="203"/>
      <c r="CX268" s="203"/>
      <c r="CY268" s="203"/>
      <c r="CZ268" s="203"/>
      <c r="DA268" s="203"/>
      <c r="DB268" s="203"/>
      <c r="DC268" s="203"/>
      <c r="DD268" s="203"/>
      <c r="DE268" s="203"/>
      <c r="DF268" s="203"/>
      <c r="DG268" s="203"/>
      <c r="DH268" s="203"/>
      <c r="DI268" s="203"/>
      <c r="DJ268" s="203"/>
      <c r="DK268" s="203"/>
      <c r="DL268" s="203"/>
      <c r="DM268" s="203"/>
      <c r="DN268" s="203"/>
      <c r="DO268" s="203"/>
      <c r="DP268" s="203"/>
      <c r="DQ268" s="203"/>
      <c r="DR268" s="203"/>
      <c r="DS268" s="203"/>
      <c r="DT268" s="203"/>
      <c r="DV268" s="203"/>
      <c r="DW268" s="203"/>
      <c r="DX268" s="203"/>
      <c r="DY268" s="203"/>
      <c r="DZ268" s="203"/>
      <c r="EA268" s="203"/>
      <c r="EB268" s="203"/>
      <c r="EX268" s="203"/>
      <c r="EY268" s="203"/>
      <c r="EZ268" s="203"/>
      <c r="FA268" s="203"/>
      <c r="FB268" s="203"/>
      <c r="FC268" s="203"/>
      <c r="FD268" s="203"/>
    </row>
    <row r="269" spans="1:160">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A269" s="203"/>
      <c r="CB269" s="203"/>
      <c r="CC269" s="203"/>
      <c r="CD269" s="203"/>
      <c r="CE269" s="203"/>
      <c r="CF269" s="203"/>
      <c r="CG269" s="203"/>
      <c r="CH269" s="203"/>
      <c r="CI269" s="203"/>
      <c r="CJ269" s="203"/>
      <c r="CK269" s="203"/>
      <c r="CL269" s="203"/>
      <c r="CM269" s="203"/>
      <c r="CN269" s="203"/>
      <c r="CO269" s="203"/>
      <c r="CP269" s="203"/>
      <c r="CQ269" s="203"/>
      <c r="CR269" s="203"/>
      <c r="CS269" s="203"/>
      <c r="CT269" s="203"/>
      <c r="CU269" s="203"/>
      <c r="CV269" s="203"/>
      <c r="CW269" s="203"/>
      <c r="CX269" s="203"/>
      <c r="CY269" s="203"/>
      <c r="CZ269" s="203"/>
      <c r="DA269" s="203"/>
      <c r="DB269" s="203"/>
      <c r="DC269" s="203"/>
      <c r="DD269" s="203"/>
      <c r="DE269" s="203"/>
      <c r="DF269" s="203"/>
      <c r="DG269" s="203"/>
      <c r="DH269" s="203"/>
      <c r="DI269" s="203"/>
      <c r="DJ269" s="203"/>
      <c r="DK269" s="203"/>
      <c r="DL269" s="203"/>
      <c r="DM269" s="203"/>
      <c r="DN269" s="203"/>
      <c r="DO269" s="203"/>
      <c r="DP269" s="203"/>
      <c r="DQ269" s="203"/>
      <c r="DR269" s="203"/>
      <c r="DS269" s="203"/>
      <c r="DT269" s="203"/>
      <c r="DV269" s="203"/>
      <c r="DW269" s="203"/>
      <c r="DX269" s="203"/>
      <c r="DY269" s="203"/>
      <c r="DZ269" s="203"/>
      <c r="EA269" s="203"/>
      <c r="EB269" s="203"/>
      <c r="EX269" s="203"/>
      <c r="EY269" s="203"/>
      <c r="EZ269" s="203"/>
      <c r="FA269" s="203"/>
      <c r="FB269" s="203"/>
      <c r="FC269" s="203"/>
      <c r="FD269" s="203"/>
    </row>
    <row r="270" spans="1:160">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203"/>
      <c r="BN270" s="203"/>
      <c r="BO270" s="203"/>
      <c r="BP270" s="203"/>
      <c r="BQ270" s="203"/>
      <c r="BR270" s="203"/>
      <c r="BS270" s="203"/>
      <c r="BT270" s="203"/>
      <c r="BU270" s="203"/>
      <c r="BV270" s="203"/>
      <c r="BW270" s="203"/>
      <c r="BX270" s="203"/>
      <c r="BY270" s="203"/>
      <c r="BZ270" s="203"/>
      <c r="CA270" s="203"/>
      <c r="CB270" s="203"/>
      <c r="CC270" s="203"/>
      <c r="CD270" s="203"/>
      <c r="CE270" s="203"/>
      <c r="CF270" s="203"/>
      <c r="CG270" s="203"/>
      <c r="CH270" s="203"/>
      <c r="CI270" s="203"/>
      <c r="CJ270" s="203"/>
      <c r="CK270" s="203"/>
      <c r="CL270" s="203"/>
      <c r="CM270" s="203"/>
      <c r="CN270" s="203"/>
      <c r="CO270" s="203"/>
      <c r="CP270" s="203"/>
      <c r="CQ270" s="203"/>
      <c r="CR270" s="203"/>
      <c r="CS270" s="203"/>
      <c r="CT270" s="203"/>
      <c r="CU270" s="203"/>
      <c r="CV270" s="203"/>
      <c r="CW270" s="203"/>
      <c r="CX270" s="203"/>
      <c r="CY270" s="203"/>
      <c r="CZ270" s="203"/>
      <c r="DA270" s="203"/>
      <c r="DB270" s="203"/>
      <c r="DC270" s="203"/>
      <c r="DD270" s="203"/>
      <c r="DE270" s="203"/>
      <c r="DF270" s="203"/>
      <c r="DG270" s="203"/>
      <c r="DH270" s="203"/>
      <c r="DI270" s="203"/>
      <c r="DJ270" s="203"/>
      <c r="DK270" s="203"/>
      <c r="DL270" s="203"/>
      <c r="DM270" s="203"/>
      <c r="DN270" s="203"/>
      <c r="DO270" s="203"/>
      <c r="DP270" s="203"/>
      <c r="DQ270" s="203"/>
      <c r="DR270" s="203"/>
      <c r="DS270" s="203"/>
      <c r="DT270" s="203"/>
      <c r="DV270" s="203"/>
      <c r="DW270" s="203"/>
      <c r="DX270" s="203"/>
      <c r="DY270" s="203"/>
      <c r="DZ270" s="203"/>
      <c r="EA270" s="203"/>
      <c r="EB270" s="203"/>
      <c r="EX270" s="203"/>
      <c r="EY270" s="203"/>
      <c r="EZ270" s="203"/>
      <c r="FA270" s="203"/>
      <c r="FB270" s="203"/>
      <c r="FC270" s="203"/>
      <c r="FD270" s="203"/>
    </row>
    <row r="271" spans="1:160">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c r="BH271" s="203"/>
      <c r="BI271" s="203"/>
      <c r="BJ271" s="203"/>
      <c r="BK271" s="203"/>
      <c r="BL271" s="203"/>
      <c r="BM271" s="203"/>
      <c r="BN271" s="203"/>
      <c r="BO271" s="203"/>
      <c r="BP271" s="203"/>
      <c r="BQ271" s="203"/>
      <c r="BR271" s="203"/>
      <c r="BS271" s="203"/>
      <c r="BT271" s="203"/>
      <c r="BU271" s="203"/>
      <c r="BV271" s="203"/>
      <c r="BW271" s="203"/>
      <c r="BX271" s="203"/>
      <c r="BY271" s="203"/>
      <c r="BZ271" s="203"/>
      <c r="CA271" s="203"/>
      <c r="CB271" s="203"/>
      <c r="CC271" s="203"/>
      <c r="CD271" s="203"/>
      <c r="CE271" s="203"/>
      <c r="CF271" s="203"/>
      <c r="CG271" s="203"/>
      <c r="CH271" s="203"/>
      <c r="CI271" s="203"/>
      <c r="CJ271" s="203"/>
      <c r="CK271" s="203"/>
      <c r="CL271" s="203"/>
      <c r="CM271" s="203"/>
      <c r="CN271" s="203"/>
      <c r="CO271" s="203"/>
      <c r="CP271" s="203"/>
      <c r="CQ271" s="203"/>
      <c r="CR271" s="203"/>
      <c r="CS271" s="203"/>
      <c r="CT271" s="203"/>
      <c r="CU271" s="203"/>
      <c r="CV271" s="203"/>
      <c r="CW271" s="203"/>
      <c r="CX271" s="203"/>
      <c r="CY271" s="203"/>
      <c r="CZ271" s="203"/>
      <c r="DA271" s="203"/>
      <c r="DB271" s="203"/>
      <c r="DC271" s="203"/>
      <c r="DD271" s="203"/>
      <c r="DE271" s="203"/>
      <c r="DF271" s="203"/>
      <c r="DG271" s="203"/>
      <c r="DH271" s="203"/>
      <c r="DI271" s="203"/>
      <c r="DJ271" s="203"/>
      <c r="DK271" s="203"/>
      <c r="DL271" s="203"/>
      <c r="DM271" s="203"/>
      <c r="DN271" s="203"/>
      <c r="DO271" s="203"/>
      <c r="DP271" s="203"/>
      <c r="DQ271" s="203"/>
      <c r="DR271" s="203"/>
      <c r="DS271" s="203"/>
      <c r="DT271" s="203"/>
      <c r="DV271" s="203"/>
      <c r="DW271" s="203"/>
      <c r="DX271" s="203"/>
      <c r="DY271" s="203"/>
      <c r="DZ271" s="203"/>
      <c r="EA271" s="203"/>
      <c r="EB271" s="203"/>
      <c r="EX271" s="203"/>
      <c r="EY271" s="203"/>
      <c r="EZ271" s="203"/>
      <c r="FA271" s="203"/>
      <c r="FB271" s="203"/>
      <c r="FC271" s="203"/>
      <c r="FD271" s="203"/>
    </row>
    <row r="272" spans="1:160">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A272" s="203"/>
      <c r="CB272" s="203"/>
      <c r="CC272" s="203"/>
      <c r="CD272" s="203"/>
      <c r="CE272" s="203"/>
      <c r="CF272" s="203"/>
      <c r="CG272" s="203"/>
      <c r="CH272" s="203"/>
      <c r="CI272" s="203"/>
      <c r="CJ272" s="203"/>
      <c r="CK272" s="203"/>
      <c r="CL272" s="203"/>
      <c r="CM272" s="203"/>
      <c r="CN272" s="203"/>
      <c r="CO272" s="203"/>
      <c r="CP272" s="203"/>
      <c r="CQ272" s="203"/>
      <c r="CR272" s="203"/>
      <c r="CS272" s="203"/>
      <c r="CT272" s="203"/>
      <c r="CU272" s="203"/>
      <c r="CV272" s="203"/>
      <c r="CW272" s="203"/>
      <c r="CX272" s="203"/>
      <c r="CY272" s="203"/>
      <c r="CZ272" s="203"/>
      <c r="DA272" s="203"/>
      <c r="DB272" s="203"/>
      <c r="DC272" s="203"/>
      <c r="DD272" s="203"/>
      <c r="DE272" s="203"/>
      <c r="DF272" s="203"/>
      <c r="DG272" s="203"/>
      <c r="DH272" s="203"/>
      <c r="DI272" s="203"/>
      <c r="DJ272" s="203"/>
      <c r="DK272" s="203"/>
      <c r="DL272" s="203"/>
      <c r="DM272" s="203"/>
      <c r="DN272" s="203"/>
      <c r="DO272" s="203"/>
      <c r="DP272" s="203"/>
      <c r="DQ272" s="203"/>
      <c r="DR272" s="203"/>
      <c r="DS272" s="203"/>
      <c r="DT272" s="203"/>
      <c r="DV272" s="203"/>
      <c r="DW272" s="203"/>
      <c r="DX272" s="203"/>
      <c r="DY272" s="203"/>
      <c r="DZ272" s="203"/>
      <c r="EA272" s="203"/>
      <c r="EB272" s="203"/>
      <c r="EX272" s="203"/>
      <c r="EY272" s="203"/>
      <c r="EZ272" s="203"/>
      <c r="FA272" s="203"/>
      <c r="FB272" s="203"/>
      <c r="FC272" s="203"/>
      <c r="FD272" s="203"/>
    </row>
    <row r="273" spans="1:160">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c r="BG273" s="203"/>
      <c r="BH273" s="203"/>
      <c r="BI273" s="203"/>
      <c r="BJ273" s="203"/>
      <c r="BK273" s="203"/>
      <c r="BL273" s="203"/>
      <c r="BM273" s="203"/>
      <c r="BN273" s="203"/>
      <c r="BO273" s="203"/>
      <c r="BP273" s="203"/>
      <c r="BQ273" s="203"/>
      <c r="BR273" s="203"/>
      <c r="BS273" s="203"/>
      <c r="BT273" s="203"/>
      <c r="BU273" s="203"/>
      <c r="BV273" s="203"/>
      <c r="BW273" s="203"/>
      <c r="BX273" s="203"/>
      <c r="BY273" s="203"/>
      <c r="BZ273" s="203"/>
      <c r="CA273" s="203"/>
      <c r="CB273" s="203"/>
      <c r="CC273" s="203"/>
      <c r="CD273" s="203"/>
      <c r="CE273" s="203"/>
      <c r="CF273" s="203"/>
      <c r="CG273" s="203"/>
      <c r="CH273" s="203"/>
      <c r="CI273" s="203"/>
      <c r="CJ273" s="203"/>
      <c r="CK273" s="203"/>
      <c r="CL273" s="203"/>
      <c r="CM273" s="203"/>
      <c r="CN273" s="203"/>
      <c r="CO273" s="203"/>
      <c r="CP273" s="203"/>
      <c r="CQ273" s="203"/>
      <c r="CR273" s="203"/>
      <c r="CS273" s="203"/>
      <c r="CT273" s="203"/>
      <c r="CU273" s="203"/>
      <c r="CV273" s="203"/>
      <c r="CW273" s="203"/>
      <c r="CX273" s="203"/>
      <c r="CY273" s="203"/>
      <c r="CZ273" s="203"/>
      <c r="DA273" s="203"/>
      <c r="DB273" s="203"/>
      <c r="DC273" s="203"/>
      <c r="DD273" s="203"/>
      <c r="DE273" s="203"/>
      <c r="DF273" s="203"/>
      <c r="DG273" s="203"/>
      <c r="DH273" s="203"/>
      <c r="DI273" s="203"/>
      <c r="DJ273" s="203"/>
      <c r="DK273" s="203"/>
      <c r="DL273" s="203"/>
      <c r="DM273" s="203"/>
      <c r="DN273" s="203"/>
      <c r="DO273" s="203"/>
      <c r="DP273" s="203"/>
      <c r="DQ273" s="203"/>
      <c r="DR273" s="203"/>
      <c r="DS273" s="203"/>
      <c r="DT273" s="203"/>
      <c r="DV273" s="203"/>
      <c r="DW273" s="203"/>
      <c r="DX273" s="203"/>
      <c r="DY273" s="203"/>
      <c r="DZ273" s="203"/>
      <c r="EA273" s="203"/>
      <c r="EB273" s="203"/>
      <c r="EX273" s="203"/>
      <c r="EY273" s="203"/>
      <c r="EZ273" s="203"/>
      <c r="FA273" s="203"/>
      <c r="FB273" s="203"/>
      <c r="FC273" s="203"/>
      <c r="FD273" s="203"/>
    </row>
    <row r="274" spans="1:160">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c r="BM274" s="203"/>
      <c r="BN274" s="203"/>
      <c r="BO274" s="203"/>
      <c r="BP274" s="203"/>
      <c r="BQ274" s="203"/>
      <c r="BR274" s="203"/>
      <c r="BS274" s="203"/>
      <c r="BT274" s="203"/>
      <c r="BU274" s="203"/>
      <c r="BV274" s="203"/>
      <c r="BW274" s="203"/>
      <c r="BX274" s="203"/>
      <c r="BY274" s="203"/>
      <c r="BZ274" s="203"/>
      <c r="CA274" s="203"/>
      <c r="CB274" s="203"/>
      <c r="CC274" s="203"/>
      <c r="CD274" s="203"/>
      <c r="CE274" s="203"/>
      <c r="CF274" s="203"/>
      <c r="CG274" s="203"/>
      <c r="CH274" s="203"/>
      <c r="CI274" s="203"/>
      <c r="CJ274" s="203"/>
      <c r="CK274" s="203"/>
      <c r="CL274" s="203"/>
      <c r="CM274" s="203"/>
      <c r="CN274" s="203"/>
      <c r="CO274" s="203"/>
      <c r="CP274" s="203"/>
      <c r="CQ274" s="203"/>
      <c r="CR274" s="203"/>
      <c r="CS274" s="203"/>
      <c r="CT274" s="203"/>
      <c r="CU274" s="203"/>
      <c r="CV274" s="203"/>
      <c r="CW274" s="203"/>
      <c r="CX274" s="203"/>
      <c r="CY274" s="203"/>
      <c r="CZ274" s="203"/>
      <c r="DA274" s="203"/>
      <c r="DB274" s="203"/>
      <c r="DC274" s="203"/>
      <c r="DD274" s="203"/>
      <c r="DE274" s="203"/>
      <c r="DF274" s="203"/>
      <c r="DG274" s="203"/>
      <c r="DH274" s="203"/>
      <c r="DI274" s="203"/>
      <c r="DJ274" s="203"/>
      <c r="DK274" s="203"/>
      <c r="DL274" s="203"/>
      <c r="DM274" s="203"/>
      <c r="DN274" s="203"/>
      <c r="DO274" s="203"/>
      <c r="DP274" s="203"/>
      <c r="DQ274" s="203"/>
      <c r="DR274" s="203"/>
      <c r="DS274" s="203"/>
      <c r="DT274" s="203"/>
      <c r="DV274" s="203"/>
      <c r="DW274" s="203"/>
      <c r="DX274" s="203"/>
      <c r="DY274" s="203"/>
      <c r="DZ274" s="203"/>
      <c r="EA274" s="203"/>
      <c r="EB274" s="203"/>
      <c r="EX274" s="203"/>
      <c r="EY274" s="203"/>
      <c r="EZ274" s="203"/>
      <c r="FA274" s="203"/>
      <c r="FB274" s="203"/>
      <c r="FC274" s="203"/>
      <c r="FD274" s="203"/>
    </row>
    <row r="275" spans="1:160">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A275" s="203"/>
      <c r="CB275" s="203"/>
      <c r="CC275" s="203"/>
      <c r="CD275" s="203"/>
      <c r="CE275" s="203"/>
      <c r="CF275" s="203"/>
      <c r="CG275" s="203"/>
      <c r="CH275" s="203"/>
      <c r="CI275" s="203"/>
      <c r="CJ275" s="203"/>
      <c r="CK275" s="203"/>
      <c r="CL275" s="203"/>
      <c r="CM275" s="203"/>
      <c r="CN275" s="203"/>
      <c r="CO275" s="203"/>
      <c r="CP275" s="203"/>
      <c r="CQ275" s="203"/>
      <c r="CR275" s="203"/>
      <c r="CS275" s="203"/>
      <c r="CT275" s="203"/>
      <c r="CU275" s="203"/>
      <c r="CV275" s="203"/>
      <c r="CW275" s="203"/>
      <c r="CX275" s="203"/>
      <c r="CY275" s="203"/>
      <c r="CZ275" s="203"/>
      <c r="DA275" s="203"/>
      <c r="DB275" s="203"/>
      <c r="DC275" s="203"/>
      <c r="DD275" s="203"/>
      <c r="DE275" s="203"/>
      <c r="DF275" s="203"/>
      <c r="DG275" s="203"/>
      <c r="DH275" s="203"/>
      <c r="DI275" s="203"/>
      <c r="DJ275" s="203"/>
      <c r="DK275" s="203"/>
      <c r="DL275" s="203"/>
      <c r="DM275" s="203"/>
      <c r="DN275" s="203"/>
      <c r="DO275" s="203"/>
      <c r="DP275" s="203"/>
      <c r="DQ275" s="203"/>
      <c r="DR275" s="203"/>
      <c r="DS275" s="203"/>
      <c r="DT275" s="203"/>
      <c r="DV275" s="203"/>
      <c r="DW275" s="203"/>
      <c r="DX275" s="203"/>
      <c r="DY275" s="203"/>
      <c r="DZ275" s="203"/>
      <c r="EA275" s="203"/>
      <c r="EB275" s="203"/>
      <c r="EX275" s="203"/>
      <c r="EY275" s="203"/>
      <c r="EZ275" s="203"/>
      <c r="FA275" s="203"/>
      <c r="FB275" s="203"/>
      <c r="FC275" s="203"/>
      <c r="FD275" s="203"/>
    </row>
    <row r="276" spans="1:160">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3"/>
      <c r="DC276" s="203"/>
      <c r="DD276" s="203"/>
      <c r="DE276" s="203"/>
      <c r="DF276" s="203"/>
      <c r="DG276" s="203"/>
      <c r="DH276" s="203"/>
      <c r="DI276" s="203"/>
      <c r="DJ276" s="203"/>
      <c r="DK276" s="203"/>
      <c r="DL276" s="203"/>
      <c r="DM276" s="203"/>
      <c r="DN276" s="203"/>
      <c r="DO276" s="203"/>
      <c r="DP276" s="203"/>
      <c r="DQ276" s="203"/>
      <c r="DR276" s="203"/>
      <c r="DS276" s="203"/>
      <c r="DT276" s="203"/>
      <c r="DV276" s="203"/>
      <c r="DW276" s="203"/>
      <c r="DX276" s="203"/>
      <c r="DY276" s="203"/>
      <c r="DZ276" s="203"/>
      <c r="EA276" s="203"/>
      <c r="EB276" s="203"/>
      <c r="EX276" s="203"/>
      <c r="EY276" s="203"/>
      <c r="EZ276" s="203"/>
      <c r="FA276" s="203"/>
      <c r="FB276" s="203"/>
      <c r="FC276" s="203"/>
      <c r="FD276" s="203"/>
    </row>
    <row r="277" spans="1:160">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c r="BG277" s="203"/>
      <c r="BH277" s="203"/>
      <c r="BI277" s="203"/>
      <c r="BJ277" s="203"/>
      <c r="BK277" s="203"/>
      <c r="BL277" s="203"/>
      <c r="BM277" s="203"/>
      <c r="BN277" s="203"/>
      <c r="BO277" s="203"/>
      <c r="BP277" s="203"/>
      <c r="BQ277" s="203"/>
      <c r="BR277" s="203"/>
      <c r="BS277" s="203"/>
      <c r="BT277" s="203"/>
      <c r="BU277" s="203"/>
      <c r="BV277" s="203"/>
      <c r="BW277" s="203"/>
      <c r="BX277" s="203"/>
      <c r="BY277" s="203"/>
      <c r="BZ277" s="203"/>
      <c r="CA277" s="203"/>
      <c r="CB277" s="203"/>
      <c r="CC277" s="203"/>
      <c r="CD277" s="203"/>
      <c r="CE277" s="203"/>
      <c r="CF277" s="203"/>
      <c r="CG277" s="203"/>
      <c r="CH277" s="203"/>
      <c r="CI277" s="203"/>
      <c r="CJ277" s="203"/>
      <c r="CK277" s="203"/>
      <c r="CL277" s="203"/>
      <c r="CM277" s="203"/>
      <c r="CN277" s="203"/>
      <c r="CO277" s="203"/>
      <c r="CP277" s="203"/>
      <c r="CQ277" s="203"/>
      <c r="CR277" s="203"/>
      <c r="CS277" s="203"/>
      <c r="CT277" s="203"/>
      <c r="CU277" s="203"/>
      <c r="CV277" s="203"/>
      <c r="CW277" s="203"/>
      <c r="CX277" s="203"/>
      <c r="CY277" s="203"/>
      <c r="CZ277" s="203"/>
      <c r="DA277" s="203"/>
      <c r="DB277" s="203"/>
      <c r="DC277" s="203"/>
      <c r="DD277" s="203"/>
      <c r="DE277" s="203"/>
      <c r="DF277" s="203"/>
      <c r="DG277" s="203"/>
      <c r="DH277" s="203"/>
      <c r="DI277" s="203"/>
      <c r="DJ277" s="203"/>
      <c r="DK277" s="203"/>
      <c r="DL277" s="203"/>
      <c r="DM277" s="203"/>
      <c r="DN277" s="203"/>
      <c r="DO277" s="203"/>
      <c r="DP277" s="203"/>
      <c r="DQ277" s="203"/>
      <c r="DR277" s="203"/>
      <c r="DS277" s="203"/>
      <c r="DT277" s="203"/>
      <c r="DV277" s="203"/>
      <c r="DW277" s="203"/>
      <c r="DX277" s="203"/>
      <c r="DY277" s="203"/>
      <c r="DZ277" s="203"/>
      <c r="EA277" s="203"/>
      <c r="EB277" s="203"/>
      <c r="EX277" s="203"/>
      <c r="EY277" s="203"/>
      <c r="EZ277" s="203"/>
      <c r="FA277" s="203"/>
      <c r="FB277" s="203"/>
      <c r="FC277" s="203"/>
      <c r="FD277" s="203"/>
    </row>
    <row r="278" spans="1:160">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A278" s="203"/>
      <c r="CB278" s="203"/>
      <c r="CC278" s="203"/>
      <c r="CD278" s="203"/>
      <c r="CE278" s="203"/>
      <c r="CF278" s="203"/>
      <c r="CG278" s="203"/>
      <c r="CH278" s="203"/>
      <c r="CI278" s="203"/>
      <c r="CJ278" s="203"/>
      <c r="CK278" s="203"/>
      <c r="CL278" s="203"/>
      <c r="CM278" s="203"/>
      <c r="CN278" s="203"/>
      <c r="CO278" s="203"/>
      <c r="CP278" s="203"/>
      <c r="CQ278" s="203"/>
      <c r="CR278" s="203"/>
      <c r="CS278" s="203"/>
      <c r="CT278" s="203"/>
      <c r="CU278" s="203"/>
      <c r="CV278" s="203"/>
      <c r="CW278" s="203"/>
      <c r="CX278" s="203"/>
      <c r="CY278" s="203"/>
      <c r="CZ278" s="203"/>
      <c r="DA278" s="203"/>
      <c r="DB278" s="203"/>
      <c r="DC278" s="203"/>
      <c r="DD278" s="203"/>
      <c r="DE278" s="203"/>
      <c r="DF278" s="203"/>
      <c r="DG278" s="203"/>
      <c r="DH278" s="203"/>
      <c r="DI278" s="203"/>
      <c r="DJ278" s="203"/>
      <c r="DK278" s="203"/>
      <c r="DL278" s="203"/>
      <c r="DM278" s="203"/>
      <c r="DN278" s="203"/>
      <c r="DO278" s="203"/>
      <c r="DP278" s="203"/>
      <c r="DQ278" s="203"/>
      <c r="DR278" s="203"/>
      <c r="DS278" s="203"/>
      <c r="DT278" s="203"/>
      <c r="DV278" s="203"/>
      <c r="DW278" s="203"/>
      <c r="DX278" s="203"/>
      <c r="DY278" s="203"/>
      <c r="DZ278" s="203"/>
      <c r="EA278" s="203"/>
      <c r="EB278" s="203"/>
      <c r="EX278" s="203"/>
      <c r="EY278" s="203"/>
      <c r="EZ278" s="203"/>
      <c r="FA278" s="203"/>
      <c r="FB278" s="203"/>
      <c r="FC278" s="203"/>
      <c r="FD278" s="203"/>
    </row>
    <row r="279" spans="1:160">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c r="BH279" s="203"/>
      <c r="BI279" s="203"/>
      <c r="BJ279" s="203"/>
      <c r="BK279" s="203"/>
      <c r="BL279" s="203"/>
      <c r="BM279" s="203"/>
      <c r="BN279" s="203"/>
      <c r="BO279" s="203"/>
      <c r="BP279" s="203"/>
      <c r="BQ279" s="203"/>
      <c r="BR279" s="203"/>
      <c r="BS279" s="203"/>
      <c r="BT279" s="203"/>
      <c r="BU279" s="203"/>
      <c r="BV279" s="203"/>
      <c r="BW279" s="203"/>
      <c r="BX279" s="203"/>
      <c r="BY279" s="203"/>
      <c r="BZ279" s="203"/>
      <c r="CA279" s="203"/>
      <c r="CB279" s="203"/>
      <c r="CC279" s="203"/>
      <c r="CD279" s="203"/>
      <c r="CE279" s="203"/>
      <c r="CF279" s="203"/>
      <c r="CG279" s="203"/>
      <c r="CH279" s="203"/>
      <c r="CI279" s="203"/>
      <c r="CJ279" s="203"/>
      <c r="CK279" s="203"/>
      <c r="CL279" s="203"/>
      <c r="CM279" s="203"/>
      <c r="CN279" s="203"/>
      <c r="CO279" s="203"/>
      <c r="CP279" s="203"/>
      <c r="CQ279" s="203"/>
      <c r="CR279" s="203"/>
      <c r="CS279" s="203"/>
      <c r="CT279" s="203"/>
      <c r="CU279" s="203"/>
      <c r="CV279" s="203"/>
      <c r="CW279" s="203"/>
      <c r="CX279" s="203"/>
      <c r="CY279" s="203"/>
      <c r="CZ279" s="203"/>
      <c r="DA279" s="203"/>
      <c r="DB279" s="203"/>
      <c r="DC279" s="203"/>
      <c r="DD279" s="203"/>
      <c r="DE279" s="203"/>
      <c r="DF279" s="203"/>
      <c r="DG279" s="203"/>
      <c r="DH279" s="203"/>
      <c r="DI279" s="203"/>
      <c r="DJ279" s="203"/>
      <c r="DK279" s="203"/>
      <c r="DL279" s="203"/>
      <c r="DM279" s="203"/>
      <c r="DN279" s="203"/>
      <c r="DO279" s="203"/>
      <c r="DP279" s="203"/>
      <c r="DQ279" s="203"/>
      <c r="DR279" s="203"/>
      <c r="DS279" s="203"/>
      <c r="DT279" s="203"/>
      <c r="DV279" s="203"/>
      <c r="DW279" s="203"/>
      <c r="DX279" s="203"/>
      <c r="DY279" s="203"/>
      <c r="DZ279" s="203"/>
      <c r="EA279" s="203"/>
      <c r="EB279" s="203"/>
      <c r="EX279" s="203"/>
      <c r="EY279" s="203"/>
      <c r="EZ279" s="203"/>
      <c r="FA279" s="203"/>
      <c r="FB279" s="203"/>
      <c r="FC279" s="203"/>
      <c r="FD279" s="203"/>
    </row>
    <row r="280" spans="1:160">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c r="BH280" s="203"/>
      <c r="BI280" s="203"/>
      <c r="BJ280" s="203"/>
      <c r="BK280" s="203"/>
      <c r="BL280" s="203"/>
      <c r="BM280" s="203"/>
      <c r="BN280" s="203"/>
      <c r="BO280" s="203"/>
      <c r="BP280" s="203"/>
      <c r="BQ280" s="203"/>
      <c r="BR280" s="203"/>
      <c r="BS280" s="203"/>
      <c r="BT280" s="203"/>
      <c r="BU280" s="203"/>
      <c r="BV280" s="203"/>
      <c r="BW280" s="203"/>
      <c r="BX280" s="203"/>
      <c r="BY280" s="203"/>
      <c r="BZ280" s="203"/>
      <c r="CA280" s="203"/>
      <c r="CB280" s="203"/>
      <c r="CC280" s="203"/>
      <c r="CD280" s="203"/>
      <c r="CE280" s="203"/>
      <c r="CF280" s="203"/>
      <c r="CG280" s="203"/>
      <c r="CH280" s="203"/>
      <c r="CI280" s="203"/>
      <c r="CJ280" s="203"/>
      <c r="CK280" s="203"/>
      <c r="CL280" s="203"/>
      <c r="CM280" s="203"/>
      <c r="CN280" s="203"/>
      <c r="CO280" s="203"/>
      <c r="CP280" s="203"/>
      <c r="CQ280" s="203"/>
      <c r="CR280" s="203"/>
      <c r="CS280" s="203"/>
      <c r="CT280" s="203"/>
      <c r="CU280" s="203"/>
      <c r="CV280" s="203"/>
      <c r="CW280" s="203"/>
      <c r="CX280" s="203"/>
      <c r="CY280" s="203"/>
      <c r="CZ280" s="203"/>
      <c r="DA280" s="203"/>
      <c r="DB280" s="203"/>
      <c r="DC280" s="203"/>
      <c r="DD280" s="203"/>
      <c r="DE280" s="203"/>
      <c r="DF280" s="203"/>
      <c r="DG280" s="203"/>
      <c r="DH280" s="203"/>
      <c r="DI280" s="203"/>
      <c r="DJ280" s="203"/>
      <c r="DK280" s="203"/>
      <c r="DL280" s="203"/>
      <c r="DM280" s="203"/>
      <c r="DN280" s="203"/>
      <c r="DO280" s="203"/>
      <c r="DP280" s="203"/>
      <c r="DQ280" s="203"/>
      <c r="DR280" s="203"/>
      <c r="DS280" s="203"/>
      <c r="DT280" s="203"/>
      <c r="DV280" s="203"/>
      <c r="DW280" s="203"/>
      <c r="DX280" s="203"/>
      <c r="DY280" s="203"/>
      <c r="DZ280" s="203"/>
      <c r="EA280" s="203"/>
      <c r="EB280" s="203"/>
      <c r="EX280" s="203"/>
      <c r="EY280" s="203"/>
      <c r="EZ280" s="203"/>
      <c r="FA280" s="203"/>
      <c r="FB280" s="203"/>
      <c r="FC280" s="203"/>
      <c r="FD280" s="203"/>
    </row>
    <row r="281" spans="1:160">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A281" s="203"/>
      <c r="CB281" s="203"/>
      <c r="CC281" s="203"/>
      <c r="CD281" s="203"/>
      <c r="CE281" s="203"/>
      <c r="CF281" s="203"/>
      <c r="CG281" s="203"/>
      <c r="CH281" s="203"/>
      <c r="CI281" s="203"/>
      <c r="CJ281" s="203"/>
      <c r="CK281" s="203"/>
      <c r="CL281" s="203"/>
      <c r="CM281" s="203"/>
      <c r="CN281" s="203"/>
      <c r="CO281" s="203"/>
      <c r="CP281" s="203"/>
      <c r="CQ281" s="203"/>
      <c r="CR281" s="203"/>
      <c r="CS281" s="203"/>
      <c r="CT281" s="203"/>
      <c r="CU281" s="203"/>
      <c r="CV281" s="203"/>
      <c r="CW281" s="203"/>
      <c r="CX281" s="203"/>
      <c r="CY281" s="203"/>
      <c r="CZ281" s="203"/>
      <c r="DA281" s="203"/>
      <c r="DB281" s="203"/>
      <c r="DC281" s="203"/>
      <c r="DD281" s="203"/>
      <c r="DE281" s="203"/>
      <c r="DF281" s="203"/>
      <c r="DG281" s="203"/>
      <c r="DH281" s="203"/>
      <c r="DI281" s="203"/>
      <c r="DJ281" s="203"/>
      <c r="DK281" s="203"/>
      <c r="DL281" s="203"/>
      <c r="DM281" s="203"/>
      <c r="DN281" s="203"/>
      <c r="DO281" s="203"/>
      <c r="DP281" s="203"/>
      <c r="DQ281" s="203"/>
      <c r="DR281" s="203"/>
      <c r="DS281" s="203"/>
      <c r="DT281" s="203"/>
      <c r="DV281" s="203"/>
      <c r="DW281" s="203"/>
      <c r="DX281" s="203"/>
      <c r="DY281" s="203"/>
      <c r="DZ281" s="203"/>
      <c r="EA281" s="203"/>
      <c r="EB281" s="203"/>
      <c r="EX281" s="203"/>
      <c r="EY281" s="203"/>
      <c r="EZ281" s="203"/>
      <c r="FA281" s="203"/>
      <c r="FB281" s="203"/>
      <c r="FC281" s="203"/>
      <c r="FD281" s="203"/>
    </row>
    <row r="282" spans="1:160">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3"/>
      <c r="BM282" s="203"/>
      <c r="BN282" s="203"/>
      <c r="BO282" s="203"/>
      <c r="BP282" s="203"/>
      <c r="BQ282" s="203"/>
      <c r="BR282" s="203"/>
      <c r="BS282" s="203"/>
      <c r="BT282" s="203"/>
      <c r="BU282" s="203"/>
      <c r="BV282" s="203"/>
      <c r="BW282" s="203"/>
      <c r="BX282" s="203"/>
      <c r="BY282" s="203"/>
      <c r="BZ282" s="203"/>
      <c r="CA282" s="203"/>
      <c r="CB282" s="203"/>
      <c r="CC282" s="203"/>
      <c r="CD282" s="203"/>
      <c r="CE282" s="203"/>
      <c r="CF282" s="203"/>
      <c r="CG282" s="203"/>
      <c r="CH282" s="203"/>
      <c r="CI282" s="203"/>
      <c r="CJ282" s="203"/>
      <c r="CK282" s="203"/>
      <c r="CL282" s="203"/>
      <c r="CM282" s="203"/>
      <c r="CN282" s="203"/>
      <c r="CO282" s="203"/>
      <c r="CP282" s="203"/>
      <c r="CQ282" s="203"/>
      <c r="CR282" s="203"/>
      <c r="CS282" s="203"/>
      <c r="CT282" s="203"/>
      <c r="CU282" s="203"/>
      <c r="CV282" s="203"/>
      <c r="CW282" s="203"/>
      <c r="CX282" s="203"/>
      <c r="CY282" s="203"/>
      <c r="CZ282" s="203"/>
      <c r="DA282" s="203"/>
      <c r="DB282" s="203"/>
      <c r="DC282" s="203"/>
      <c r="DD282" s="203"/>
      <c r="DE282" s="203"/>
      <c r="DF282" s="203"/>
      <c r="DG282" s="203"/>
      <c r="DH282" s="203"/>
      <c r="DI282" s="203"/>
      <c r="DJ282" s="203"/>
      <c r="DK282" s="203"/>
      <c r="DL282" s="203"/>
      <c r="DM282" s="203"/>
      <c r="DN282" s="203"/>
      <c r="DO282" s="203"/>
      <c r="DP282" s="203"/>
      <c r="DQ282" s="203"/>
      <c r="DR282" s="203"/>
      <c r="DS282" s="203"/>
      <c r="DT282" s="203"/>
      <c r="DV282" s="203"/>
      <c r="DW282" s="203"/>
      <c r="DX282" s="203"/>
      <c r="DY282" s="203"/>
      <c r="DZ282" s="203"/>
      <c r="EA282" s="203"/>
      <c r="EB282" s="203"/>
      <c r="EX282" s="203"/>
      <c r="EY282" s="203"/>
      <c r="EZ282" s="203"/>
      <c r="FA282" s="203"/>
      <c r="FB282" s="203"/>
      <c r="FC282" s="203"/>
      <c r="FD282" s="203"/>
    </row>
    <row r="283" spans="1:160">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c r="BM283" s="203"/>
      <c r="BN283" s="203"/>
      <c r="BO283" s="203"/>
      <c r="BP283" s="203"/>
      <c r="BQ283" s="203"/>
      <c r="BR283" s="203"/>
      <c r="BS283" s="203"/>
      <c r="BT283" s="203"/>
      <c r="BU283" s="203"/>
      <c r="BV283" s="203"/>
      <c r="BW283" s="203"/>
      <c r="BX283" s="203"/>
      <c r="BY283" s="203"/>
      <c r="BZ283" s="203"/>
      <c r="CA283" s="203"/>
      <c r="CB283" s="203"/>
      <c r="CC283" s="203"/>
      <c r="CD283" s="203"/>
      <c r="CE283" s="203"/>
      <c r="CF283" s="203"/>
      <c r="CG283" s="203"/>
      <c r="CH283" s="203"/>
      <c r="CI283" s="203"/>
      <c r="CJ283" s="203"/>
      <c r="CK283" s="203"/>
      <c r="CL283" s="203"/>
      <c r="CM283" s="203"/>
      <c r="CN283" s="203"/>
      <c r="CO283" s="203"/>
      <c r="CP283" s="203"/>
      <c r="CQ283" s="203"/>
      <c r="CR283" s="203"/>
      <c r="CS283" s="203"/>
      <c r="CT283" s="203"/>
      <c r="CU283" s="203"/>
      <c r="CV283" s="203"/>
      <c r="CW283" s="203"/>
      <c r="CX283" s="203"/>
      <c r="CY283" s="203"/>
      <c r="CZ283" s="203"/>
      <c r="DA283" s="203"/>
      <c r="DB283" s="203"/>
      <c r="DC283" s="203"/>
      <c r="DD283" s="203"/>
      <c r="DE283" s="203"/>
      <c r="DF283" s="203"/>
      <c r="DG283" s="203"/>
      <c r="DH283" s="203"/>
      <c r="DI283" s="203"/>
      <c r="DJ283" s="203"/>
      <c r="DK283" s="203"/>
      <c r="DL283" s="203"/>
      <c r="DM283" s="203"/>
      <c r="DN283" s="203"/>
      <c r="DO283" s="203"/>
      <c r="DP283" s="203"/>
      <c r="DQ283" s="203"/>
      <c r="DR283" s="203"/>
      <c r="DS283" s="203"/>
      <c r="DT283" s="203"/>
      <c r="DV283" s="203"/>
      <c r="DW283" s="203"/>
      <c r="DX283" s="203"/>
      <c r="DY283" s="203"/>
      <c r="DZ283" s="203"/>
      <c r="EA283" s="203"/>
      <c r="EB283" s="203"/>
      <c r="EX283" s="203"/>
      <c r="EY283" s="203"/>
      <c r="EZ283" s="203"/>
      <c r="FA283" s="203"/>
      <c r="FB283" s="203"/>
      <c r="FC283" s="203"/>
      <c r="FD283" s="203"/>
    </row>
    <row r="284" spans="1:160">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A284" s="203"/>
      <c r="CB284" s="203"/>
      <c r="CC284" s="203"/>
      <c r="CD284" s="203"/>
      <c r="CE284" s="203"/>
      <c r="CF284" s="203"/>
      <c r="CG284" s="203"/>
      <c r="CH284" s="203"/>
      <c r="CI284" s="203"/>
      <c r="CJ284" s="203"/>
      <c r="CK284" s="203"/>
      <c r="CL284" s="203"/>
      <c r="CM284" s="203"/>
      <c r="CN284" s="203"/>
      <c r="CO284" s="203"/>
      <c r="CP284" s="203"/>
      <c r="CQ284" s="203"/>
      <c r="CR284" s="203"/>
      <c r="CS284" s="203"/>
      <c r="CT284" s="203"/>
      <c r="CU284" s="203"/>
      <c r="CV284" s="203"/>
      <c r="CW284" s="203"/>
      <c r="CX284" s="203"/>
      <c r="CY284" s="203"/>
      <c r="CZ284" s="203"/>
      <c r="DA284" s="203"/>
      <c r="DB284" s="203"/>
      <c r="DC284" s="203"/>
      <c r="DD284" s="203"/>
      <c r="DE284" s="203"/>
      <c r="DF284" s="203"/>
      <c r="DG284" s="203"/>
      <c r="DH284" s="203"/>
      <c r="DI284" s="203"/>
      <c r="DJ284" s="203"/>
      <c r="DK284" s="203"/>
      <c r="DL284" s="203"/>
      <c r="DM284" s="203"/>
      <c r="DN284" s="203"/>
      <c r="DO284" s="203"/>
      <c r="DP284" s="203"/>
      <c r="DQ284" s="203"/>
      <c r="DR284" s="203"/>
      <c r="DS284" s="203"/>
      <c r="DT284" s="203"/>
      <c r="DV284" s="203"/>
      <c r="DW284" s="203"/>
      <c r="DX284" s="203"/>
      <c r="DY284" s="203"/>
      <c r="DZ284" s="203"/>
      <c r="EA284" s="203"/>
      <c r="EB284" s="203"/>
      <c r="EX284" s="203"/>
      <c r="EY284" s="203"/>
      <c r="EZ284" s="203"/>
      <c r="FA284" s="203"/>
      <c r="FB284" s="203"/>
      <c r="FC284" s="203"/>
      <c r="FD284" s="203"/>
    </row>
    <row r="285" spans="1:160">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c r="BH285" s="203"/>
      <c r="BI285" s="203"/>
      <c r="BJ285" s="203"/>
      <c r="BK285" s="203"/>
      <c r="BL285" s="203"/>
      <c r="BM285" s="203"/>
      <c r="BN285" s="203"/>
      <c r="BO285" s="203"/>
      <c r="BP285" s="203"/>
      <c r="BQ285" s="203"/>
      <c r="BR285" s="203"/>
      <c r="BS285" s="203"/>
      <c r="BT285" s="203"/>
      <c r="BU285" s="203"/>
      <c r="BV285" s="203"/>
      <c r="BW285" s="203"/>
      <c r="BX285" s="203"/>
      <c r="BY285" s="203"/>
      <c r="BZ285" s="203"/>
      <c r="CA285" s="203"/>
      <c r="CB285" s="203"/>
      <c r="CC285" s="203"/>
      <c r="CD285" s="203"/>
      <c r="CE285" s="203"/>
      <c r="CF285" s="203"/>
      <c r="CG285" s="203"/>
      <c r="CH285" s="203"/>
      <c r="CI285" s="203"/>
      <c r="CJ285" s="203"/>
      <c r="CK285" s="203"/>
      <c r="CL285" s="203"/>
      <c r="CM285" s="203"/>
      <c r="CN285" s="203"/>
      <c r="CO285" s="203"/>
      <c r="CP285" s="203"/>
      <c r="CQ285" s="203"/>
      <c r="CR285" s="203"/>
      <c r="CS285" s="203"/>
      <c r="CT285" s="203"/>
      <c r="CU285" s="203"/>
      <c r="CV285" s="203"/>
      <c r="CW285" s="203"/>
      <c r="CX285" s="203"/>
      <c r="CY285" s="203"/>
      <c r="CZ285" s="203"/>
      <c r="DA285" s="203"/>
      <c r="DB285" s="203"/>
      <c r="DC285" s="203"/>
      <c r="DD285" s="203"/>
      <c r="DE285" s="203"/>
      <c r="DF285" s="203"/>
      <c r="DG285" s="203"/>
      <c r="DH285" s="203"/>
      <c r="DI285" s="203"/>
      <c r="DJ285" s="203"/>
      <c r="DK285" s="203"/>
      <c r="DL285" s="203"/>
      <c r="DM285" s="203"/>
      <c r="DN285" s="203"/>
      <c r="DO285" s="203"/>
      <c r="DP285" s="203"/>
      <c r="DQ285" s="203"/>
      <c r="DR285" s="203"/>
      <c r="DS285" s="203"/>
      <c r="DT285" s="203"/>
      <c r="DV285" s="203"/>
      <c r="DW285" s="203"/>
      <c r="DX285" s="203"/>
      <c r="DY285" s="203"/>
      <c r="DZ285" s="203"/>
      <c r="EA285" s="203"/>
      <c r="EB285" s="203"/>
      <c r="EX285" s="203"/>
      <c r="EY285" s="203"/>
      <c r="EZ285" s="203"/>
      <c r="FA285" s="203"/>
      <c r="FB285" s="203"/>
      <c r="FC285" s="203"/>
      <c r="FD285" s="203"/>
    </row>
    <row r="286" spans="1:160">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c r="CI286" s="203"/>
      <c r="CJ286" s="203"/>
      <c r="CK286" s="203"/>
      <c r="CL286" s="203"/>
      <c r="CM286" s="203"/>
      <c r="CN286" s="203"/>
      <c r="CO286" s="203"/>
      <c r="CP286" s="203"/>
      <c r="CQ286" s="203"/>
      <c r="CR286" s="203"/>
      <c r="CS286" s="203"/>
      <c r="CT286" s="203"/>
      <c r="CU286" s="203"/>
      <c r="CV286" s="203"/>
      <c r="CW286" s="203"/>
      <c r="CX286" s="203"/>
      <c r="CY286" s="203"/>
      <c r="CZ286" s="203"/>
      <c r="DA286" s="203"/>
      <c r="DB286" s="203"/>
      <c r="DC286" s="203"/>
      <c r="DD286" s="203"/>
      <c r="DE286" s="203"/>
      <c r="DF286" s="203"/>
      <c r="DG286" s="203"/>
      <c r="DH286" s="203"/>
      <c r="DI286" s="203"/>
      <c r="DJ286" s="203"/>
      <c r="DK286" s="203"/>
      <c r="DL286" s="203"/>
      <c r="DM286" s="203"/>
      <c r="DN286" s="203"/>
      <c r="DO286" s="203"/>
      <c r="DP286" s="203"/>
      <c r="DQ286" s="203"/>
      <c r="DR286" s="203"/>
      <c r="DS286" s="203"/>
      <c r="DT286" s="203"/>
      <c r="DV286" s="203"/>
      <c r="DW286" s="203"/>
      <c r="DX286" s="203"/>
      <c r="DY286" s="203"/>
      <c r="DZ286" s="203"/>
      <c r="EA286" s="203"/>
      <c r="EB286" s="203"/>
      <c r="EX286" s="203"/>
      <c r="EY286" s="203"/>
      <c r="EZ286" s="203"/>
      <c r="FA286" s="203"/>
      <c r="FB286" s="203"/>
      <c r="FC286" s="203"/>
      <c r="FD286" s="203"/>
    </row>
    <row r="287" spans="1:160">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3"/>
      <c r="BM287" s="203"/>
      <c r="BN287" s="203"/>
      <c r="BO287" s="203"/>
      <c r="BP287" s="203"/>
      <c r="BQ287" s="203"/>
      <c r="BR287" s="203"/>
      <c r="BS287" s="203"/>
      <c r="BT287" s="203"/>
      <c r="BU287" s="203"/>
      <c r="BV287" s="203"/>
      <c r="BW287" s="203"/>
      <c r="BX287" s="203"/>
      <c r="BY287" s="203"/>
      <c r="BZ287" s="203"/>
      <c r="CA287" s="203"/>
      <c r="CB287" s="203"/>
      <c r="CC287" s="203"/>
      <c r="CD287" s="203"/>
      <c r="CE287" s="203"/>
      <c r="CF287" s="203"/>
      <c r="CG287" s="203"/>
      <c r="CH287" s="203"/>
      <c r="CI287" s="203"/>
      <c r="CJ287" s="203"/>
      <c r="CK287" s="203"/>
      <c r="CL287" s="203"/>
      <c r="CM287" s="203"/>
      <c r="CN287" s="203"/>
      <c r="CO287" s="203"/>
      <c r="CP287" s="203"/>
      <c r="CQ287" s="203"/>
      <c r="CR287" s="203"/>
      <c r="CS287" s="203"/>
      <c r="CT287" s="203"/>
      <c r="CU287" s="203"/>
      <c r="CV287" s="203"/>
      <c r="CW287" s="203"/>
      <c r="CX287" s="203"/>
      <c r="CY287" s="203"/>
      <c r="CZ287" s="203"/>
      <c r="DA287" s="203"/>
      <c r="DB287" s="203"/>
      <c r="DC287" s="203"/>
      <c r="DD287" s="203"/>
      <c r="DE287" s="203"/>
      <c r="DF287" s="203"/>
      <c r="DG287" s="203"/>
      <c r="DH287" s="203"/>
      <c r="DI287" s="203"/>
      <c r="DJ287" s="203"/>
      <c r="DK287" s="203"/>
      <c r="DL287" s="203"/>
      <c r="DM287" s="203"/>
      <c r="DN287" s="203"/>
      <c r="DO287" s="203"/>
      <c r="DP287" s="203"/>
      <c r="DQ287" s="203"/>
      <c r="DR287" s="203"/>
      <c r="DS287" s="203"/>
      <c r="DT287" s="203"/>
      <c r="DV287" s="203"/>
      <c r="DW287" s="203"/>
      <c r="DX287" s="203"/>
      <c r="DY287" s="203"/>
      <c r="DZ287" s="203"/>
      <c r="EA287" s="203"/>
      <c r="EB287" s="203"/>
      <c r="EX287" s="203"/>
      <c r="EY287" s="203"/>
      <c r="EZ287" s="203"/>
      <c r="FA287" s="203"/>
      <c r="FB287" s="203"/>
      <c r="FC287" s="203"/>
      <c r="FD287" s="203"/>
    </row>
    <row r="288" spans="1:160">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A288" s="203"/>
      <c r="CB288" s="203"/>
      <c r="CC288" s="203"/>
      <c r="CD288" s="203"/>
      <c r="CE288" s="203"/>
      <c r="CF288" s="203"/>
      <c r="CG288" s="203"/>
      <c r="CH288" s="203"/>
      <c r="CI288" s="203"/>
      <c r="CJ288" s="203"/>
      <c r="CK288" s="203"/>
      <c r="CL288" s="203"/>
      <c r="CM288" s="203"/>
      <c r="CN288" s="203"/>
      <c r="CO288" s="203"/>
      <c r="CP288" s="203"/>
      <c r="CQ288" s="203"/>
      <c r="CR288" s="203"/>
      <c r="CS288" s="203"/>
      <c r="CT288" s="203"/>
      <c r="CU288" s="203"/>
      <c r="CV288" s="203"/>
      <c r="CW288" s="203"/>
      <c r="CX288" s="203"/>
      <c r="CY288" s="203"/>
      <c r="CZ288" s="203"/>
      <c r="DA288" s="203"/>
      <c r="DB288" s="203"/>
      <c r="DC288" s="203"/>
      <c r="DD288" s="203"/>
      <c r="DE288" s="203"/>
      <c r="DF288" s="203"/>
      <c r="DG288" s="203"/>
      <c r="DH288" s="203"/>
      <c r="DI288" s="203"/>
      <c r="DJ288" s="203"/>
      <c r="DK288" s="203"/>
      <c r="DL288" s="203"/>
      <c r="DM288" s="203"/>
      <c r="DN288" s="203"/>
      <c r="DO288" s="203"/>
      <c r="DP288" s="203"/>
      <c r="DQ288" s="203"/>
      <c r="DR288" s="203"/>
      <c r="DS288" s="203"/>
      <c r="DT288" s="203"/>
      <c r="DV288" s="203"/>
      <c r="DW288" s="203"/>
      <c r="DX288" s="203"/>
      <c r="DY288" s="203"/>
      <c r="DZ288" s="203"/>
      <c r="EA288" s="203"/>
      <c r="EB288" s="203"/>
      <c r="EX288" s="203"/>
      <c r="EY288" s="203"/>
      <c r="EZ288" s="203"/>
      <c r="FA288" s="203"/>
      <c r="FB288" s="203"/>
      <c r="FC288" s="203"/>
      <c r="FD288" s="203"/>
    </row>
    <row r="289" spans="1:160">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A289" s="203"/>
      <c r="CB289" s="203"/>
      <c r="CC289" s="203"/>
      <c r="CD289" s="203"/>
      <c r="CE289" s="203"/>
      <c r="CF289" s="203"/>
      <c r="CG289" s="203"/>
      <c r="CH289" s="203"/>
      <c r="CI289" s="203"/>
      <c r="CJ289" s="203"/>
      <c r="CK289" s="203"/>
      <c r="CL289" s="203"/>
      <c r="CM289" s="203"/>
      <c r="CN289" s="203"/>
      <c r="CO289" s="203"/>
      <c r="CP289" s="203"/>
      <c r="CQ289" s="203"/>
      <c r="CR289" s="203"/>
      <c r="CS289" s="203"/>
      <c r="CT289" s="203"/>
      <c r="CU289" s="203"/>
      <c r="CV289" s="203"/>
      <c r="CW289" s="203"/>
      <c r="CX289" s="203"/>
      <c r="CY289" s="203"/>
      <c r="CZ289" s="203"/>
      <c r="DA289" s="203"/>
      <c r="DB289" s="203"/>
      <c r="DC289" s="203"/>
      <c r="DD289" s="203"/>
      <c r="DE289" s="203"/>
      <c r="DF289" s="203"/>
      <c r="DG289" s="203"/>
      <c r="DH289" s="203"/>
      <c r="DI289" s="203"/>
      <c r="DJ289" s="203"/>
      <c r="DK289" s="203"/>
      <c r="DL289" s="203"/>
      <c r="DM289" s="203"/>
      <c r="DN289" s="203"/>
      <c r="DO289" s="203"/>
      <c r="DP289" s="203"/>
      <c r="DQ289" s="203"/>
      <c r="DR289" s="203"/>
      <c r="DS289" s="203"/>
      <c r="DT289" s="203"/>
      <c r="DV289" s="203"/>
      <c r="DW289" s="203"/>
      <c r="DX289" s="203"/>
      <c r="DY289" s="203"/>
      <c r="DZ289" s="203"/>
      <c r="EA289" s="203"/>
      <c r="EB289" s="203"/>
      <c r="EX289" s="203"/>
      <c r="EY289" s="203"/>
      <c r="EZ289" s="203"/>
      <c r="FA289" s="203"/>
      <c r="FB289" s="203"/>
      <c r="FC289" s="203"/>
      <c r="FD289" s="203"/>
    </row>
    <row r="290" spans="1:160">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203"/>
      <c r="CD290" s="203"/>
      <c r="CE290" s="203"/>
      <c r="CF290" s="203"/>
      <c r="CG290" s="203"/>
      <c r="CH290" s="203"/>
      <c r="CI290" s="203"/>
      <c r="CJ290" s="203"/>
      <c r="CK290" s="203"/>
      <c r="CL290" s="203"/>
      <c r="CM290" s="203"/>
      <c r="CN290" s="203"/>
      <c r="CO290" s="203"/>
      <c r="CP290" s="203"/>
      <c r="CQ290" s="203"/>
      <c r="CR290" s="203"/>
      <c r="CS290" s="203"/>
      <c r="CT290" s="203"/>
      <c r="CU290" s="203"/>
      <c r="CV290" s="203"/>
      <c r="CW290" s="203"/>
      <c r="CX290" s="203"/>
      <c r="CY290" s="203"/>
      <c r="CZ290" s="203"/>
      <c r="DA290" s="203"/>
      <c r="DB290" s="203"/>
      <c r="DC290" s="203"/>
      <c r="DD290" s="203"/>
      <c r="DE290" s="203"/>
      <c r="DF290" s="203"/>
      <c r="DG290" s="203"/>
      <c r="DH290" s="203"/>
      <c r="DI290" s="203"/>
      <c r="DJ290" s="203"/>
      <c r="DK290" s="203"/>
      <c r="DL290" s="203"/>
      <c r="DM290" s="203"/>
      <c r="DN290" s="203"/>
      <c r="DO290" s="203"/>
      <c r="DP290" s="203"/>
      <c r="DQ290" s="203"/>
      <c r="DR290" s="203"/>
      <c r="DS290" s="203"/>
      <c r="DT290" s="203"/>
      <c r="DV290" s="203"/>
      <c r="DW290" s="203"/>
      <c r="DX290" s="203"/>
      <c r="DY290" s="203"/>
      <c r="DZ290" s="203"/>
      <c r="EA290" s="203"/>
      <c r="EB290" s="203"/>
      <c r="EX290" s="203"/>
      <c r="EY290" s="203"/>
      <c r="EZ290" s="203"/>
      <c r="FA290" s="203"/>
      <c r="FB290" s="203"/>
      <c r="FC290" s="203"/>
      <c r="FD290" s="203"/>
    </row>
    <row r="291" spans="1:160">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c r="BM291" s="203"/>
      <c r="BN291" s="203"/>
      <c r="BO291" s="203"/>
      <c r="BP291" s="203"/>
      <c r="BQ291" s="203"/>
      <c r="BR291" s="203"/>
      <c r="BS291" s="203"/>
      <c r="BT291" s="203"/>
      <c r="BU291" s="203"/>
      <c r="BV291" s="203"/>
      <c r="BW291" s="203"/>
      <c r="BX291" s="203"/>
      <c r="BY291" s="203"/>
      <c r="BZ291" s="203"/>
      <c r="CA291" s="203"/>
      <c r="CB291" s="203"/>
      <c r="CC291" s="203"/>
      <c r="CD291" s="203"/>
      <c r="CE291" s="203"/>
      <c r="CF291" s="203"/>
      <c r="CG291" s="203"/>
      <c r="CH291" s="203"/>
      <c r="CI291" s="203"/>
      <c r="CJ291" s="203"/>
      <c r="CK291" s="203"/>
      <c r="CL291" s="203"/>
      <c r="CM291" s="203"/>
      <c r="CN291" s="203"/>
      <c r="CO291" s="203"/>
      <c r="CP291" s="203"/>
      <c r="CQ291" s="203"/>
      <c r="CR291" s="203"/>
      <c r="CS291" s="203"/>
      <c r="CT291" s="203"/>
      <c r="CU291" s="203"/>
      <c r="CV291" s="203"/>
      <c r="CW291" s="203"/>
      <c r="CX291" s="203"/>
      <c r="CY291" s="203"/>
      <c r="CZ291" s="203"/>
      <c r="DA291" s="203"/>
      <c r="DB291" s="203"/>
      <c r="DC291" s="203"/>
      <c r="DD291" s="203"/>
      <c r="DE291" s="203"/>
      <c r="DF291" s="203"/>
      <c r="DG291" s="203"/>
      <c r="DH291" s="203"/>
      <c r="DI291" s="203"/>
      <c r="DJ291" s="203"/>
      <c r="DK291" s="203"/>
      <c r="DL291" s="203"/>
      <c r="DM291" s="203"/>
      <c r="DN291" s="203"/>
      <c r="DO291" s="203"/>
      <c r="DP291" s="203"/>
      <c r="DQ291" s="203"/>
      <c r="DR291" s="203"/>
      <c r="DS291" s="203"/>
      <c r="DT291" s="203"/>
      <c r="DV291" s="203"/>
      <c r="DW291" s="203"/>
      <c r="DX291" s="203"/>
      <c r="DY291" s="203"/>
      <c r="DZ291" s="203"/>
      <c r="EA291" s="203"/>
      <c r="EB291" s="203"/>
      <c r="EX291" s="203"/>
      <c r="EY291" s="203"/>
      <c r="EZ291" s="203"/>
      <c r="FA291" s="203"/>
      <c r="FB291" s="203"/>
      <c r="FC291" s="203"/>
      <c r="FD291" s="203"/>
    </row>
    <row r="292" spans="1:160">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c r="BM292" s="203"/>
      <c r="BN292" s="203"/>
      <c r="BO292" s="203"/>
      <c r="BP292" s="203"/>
      <c r="BQ292" s="203"/>
      <c r="BR292" s="203"/>
      <c r="BS292" s="203"/>
      <c r="BT292" s="203"/>
      <c r="BU292" s="203"/>
      <c r="BV292" s="203"/>
      <c r="BW292" s="203"/>
      <c r="BX292" s="203"/>
      <c r="BY292" s="203"/>
      <c r="BZ292" s="203"/>
      <c r="CA292" s="203"/>
      <c r="CB292" s="203"/>
      <c r="CC292" s="203"/>
      <c r="CD292" s="203"/>
      <c r="CE292" s="203"/>
      <c r="CF292" s="203"/>
      <c r="CG292" s="203"/>
      <c r="CH292" s="203"/>
      <c r="CI292" s="203"/>
      <c r="CJ292" s="203"/>
      <c r="CK292" s="203"/>
      <c r="CL292" s="203"/>
      <c r="CM292" s="203"/>
      <c r="CN292" s="203"/>
      <c r="CO292" s="203"/>
      <c r="CP292" s="203"/>
      <c r="CQ292" s="203"/>
      <c r="CR292" s="203"/>
      <c r="CS292" s="203"/>
      <c r="CT292" s="203"/>
      <c r="CU292" s="203"/>
      <c r="CV292" s="203"/>
      <c r="CW292" s="203"/>
      <c r="CX292" s="203"/>
      <c r="CY292" s="203"/>
      <c r="CZ292" s="203"/>
      <c r="DA292" s="203"/>
      <c r="DB292" s="203"/>
      <c r="DC292" s="203"/>
      <c r="DD292" s="203"/>
      <c r="DE292" s="203"/>
      <c r="DF292" s="203"/>
      <c r="DG292" s="203"/>
      <c r="DH292" s="203"/>
      <c r="DI292" s="203"/>
      <c r="DJ292" s="203"/>
      <c r="DK292" s="203"/>
      <c r="DL292" s="203"/>
      <c r="DM292" s="203"/>
      <c r="DN292" s="203"/>
      <c r="DO292" s="203"/>
      <c r="DP292" s="203"/>
      <c r="DQ292" s="203"/>
      <c r="DR292" s="203"/>
      <c r="DS292" s="203"/>
      <c r="DT292" s="203"/>
      <c r="DV292" s="203"/>
      <c r="DW292" s="203"/>
      <c r="DX292" s="203"/>
      <c r="DY292" s="203"/>
      <c r="DZ292" s="203"/>
      <c r="EA292" s="203"/>
      <c r="EB292" s="203"/>
      <c r="EX292" s="203"/>
      <c r="EY292" s="203"/>
      <c r="EZ292" s="203"/>
      <c r="FA292" s="203"/>
      <c r="FB292" s="203"/>
      <c r="FC292" s="203"/>
      <c r="FD292" s="203"/>
    </row>
    <row r="293" spans="1:160">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203"/>
      <c r="BN293" s="203"/>
      <c r="BO293" s="203"/>
      <c r="BP293" s="203"/>
      <c r="BQ293" s="203"/>
      <c r="BR293" s="203"/>
      <c r="BS293" s="203"/>
      <c r="BT293" s="203"/>
      <c r="BU293" s="203"/>
      <c r="BV293" s="203"/>
      <c r="BW293" s="203"/>
      <c r="BX293" s="203"/>
      <c r="BY293" s="203"/>
      <c r="BZ293" s="203"/>
      <c r="CA293" s="203"/>
      <c r="CB293" s="203"/>
      <c r="CC293" s="203"/>
      <c r="CD293" s="203"/>
      <c r="CE293" s="203"/>
      <c r="CF293" s="203"/>
      <c r="CG293" s="203"/>
      <c r="CH293" s="203"/>
      <c r="CI293" s="203"/>
      <c r="CJ293" s="203"/>
      <c r="CK293" s="203"/>
      <c r="CL293" s="203"/>
      <c r="CM293" s="203"/>
      <c r="CN293" s="203"/>
      <c r="CO293" s="203"/>
      <c r="CP293" s="203"/>
      <c r="CQ293" s="203"/>
      <c r="CR293" s="203"/>
      <c r="CS293" s="203"/>
      <c r="CT293" s="203"/>
      <c r="CU293" s="203"/>
      <c r="CV293" s="203"/>
      <c r="CW293" s="203"/>
      <c r="CX293" s="203"/>
      <c r="CY293" s="203"/>
      <c r="CZ293" s="203"/>
      <c r="DA293" s="203"/>
      <c r="DB293" s="203"/>
      <c r="DC293" s="203"/>
      <c r="DD293" s="203"/>
      <c r="DE293" s="203"/>
      <c r="DF293" s="203"/>
      <c r="DG293" s="203"/>
      <c r="DH293" s="203"/>
      <c r="DI293" s="203"/>
      <c r="DJ293" s="203"/>
      <c r="DK293" s="203"/>
      <c r="DL293" s="203"/>
      <c r="DM293" s="203"/>
      <c r="DN293" s="203"/>
      <c r="DO293" s="203"/>
      <c r="DP293" s="203"/>
      <c r="DQ293" s="203"/>
      <c r="DR293" s="203"/>
      <c r="DS293" s="203"/>
      <c r="DT293" s="203"/>
      <c r="DV293" s="203"/>
      <c r="DW293" s="203"/>
      <c r="DX293" s="203"/>
      <c r="DY293" s="203"/>
      <c r="DZ293" s="203"/>
      <c r="EA293" s="203"/>
      <c r="EB293" s="203"/>
      <c r="EX293" s="203"/>
      <c r="EY293" s="203"/>
      <c r="EZ293" s="203"/>
      <c r="FA293" s="203"/>
      <c r="FB293" s="203"/>
      <c r="FC293" s="203"/>
      <c r="FD293" s="203"/>
    </row>
    <row r="294" spans="1:160">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c r="BM294" s="203"/>
      <c r="BN294" s="203"/>
      <c r="BO294" s="203"/>
      <c r="BP294" s="203"/>
      <c r="BQ294" s="203"/>
      <c r="BR294" s="203"/>
      <c r="BS294" s="203"/>
      <c r="BT294" s="203"/>
      <c r="BU294" s="203"/>
      <c r="BV294" s="203"/>
      <c r="BW294" s="203"/>
      <c r="BX294" s="203"/>
      <c r="BY294" s="203"/>
      <c r="BZ294" s="203"/>
      <c r="CA294" s="203"/>
      <c r="CB294" s="203"/>
      <c r="CC294" s="203"/>
      <c r="CD294" s="203"/>
      <c r="CE294" s="203"/>
      <c r="CF294" s="203"/>
      <c r="CG294" s="203"/>
      <c r="CH294" s="203"/>
      <c r="CI294" s="203"/>
      <c r="CJ294" s="203"/>
      <c r="CK294" s="203"/>
      <c r="CL294" s="203"/>
      <c r="CM294" s="203"/>
      <c r="CN294" s="203"/>
      <c r="CO294" s="203"/>
      <c r="CP294" s="203"/>
      <c r="CQ294" s="203"/>
      <c r="CR294" s="203"/>
      <c r="CS294" s="203"/>
      <c r="CT294" s="203"/>
      <c r="CU294" s="203"/>
      <c r="CV294" s="203"/>
      <c r="CW294" s="203"/>
      <c r="CX294" s="203"/>
      <c r="CY294" s="203"/>
      <c r="CZ294" s="203"/>
      <c r="DA294" s="203"/>
      <c r="DB294" s="203"/>
      <c r="DC294" s="203"/>
      <c r="DD294" s="203"/>
      <c r="DE294" s="203"/>
      <c r="DF294" s="203"/>
      <c r="DG294" s="203"/>
      <c r="DH294" s="203"/>
      <c r="DI294" s="203"/>
      <c r="DJ294" s="203"/>
      <c r="DK294" s="203"/>
      <c r="DL294" s="203"/>
      <c r="DM294" s="203"/>
      <c r="DN294" s="203"/>
      <c r="DO294" s="203"/>
      <c r="DP294" s="203"/>
      <c r="DQ294" s="203"/>
      <c r="DR294" s="203"/>
      <c r="DS294" s="203"/>
      <c r="DT294" s="203"/>
      <c r="DV294" s="203"/>
      <c r="DW294" s="203"/>
      <c r="DX294" s="203"/>
      <c r="DY294" s="203"/>
      <c r="DZ294" s="203"/>
      <c r="EA294" s="203"/>
      <c r="EB294" s="203"/>
      <c r="EX294" s="203"/>
      <c r="EY294" s="203"/>
      <c r="EZ294" s="203"/>
      <c r="FA294" s="203"/>
      <c r="FB294" s="203"/>
      <c r="FC294" s="203"/>
      <c r="FD294" s="203"/>
    </row>
    <row r="295" spans="1:160">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A295" s="203"/>
      <c r="CB295" s="203"/>
      <c r="CC295" s="203"/>
      <c r="CD295" s="203"/>
      <c r="CE295" s="203"/>
      <c r="CF295" s="203"/>
      <c r="CG295" s="203"/>
      <c r="CH295" s="203"/>
      <c r="CI295" s="203"/>
      <c r="CJ295" s="203"/>
      <c r="CK295" s="203"/>
      <c r="CL295" s="203"/>
      <c r="CM295" s="203"/>
      <c r="CN295" s="203"/>
      <c r="CO295" s="203"/>
      <c r="CP295" s="203"/>
      <c r="CQ295" s="203"/>
      <c r="CR295" s="203"/>
      <c r="CS295" s="203"/>
      <c r="CT295" s="203"/>
      <c r="CU295" s="203"/>
      <c r="CV295" s="203"/>
      <c r="CW295" s="203"/>
      <c r="CX295" s="203"/>
      <c r="CY295" s="203"/>
      <c r="CZ295" s="203"/>
      <c r="DA295" s="203"/>
      <c r="DB295" s="203"/>
      <c r="DC295" s="203"/>
      <c r="DD295" s="203"/>
      <c r="DE295" s="203"/>
      <c r="DF295" s="203"/>
      <c r="DG295" s="203"/>
      <c r="DH295" s="203"/>
      <c r="DI295" s="203"/>
      <c r="DJ295" s="203"/>
      <c r="DK295" s="203"/>
      <c r="DL295" s="203"/>
      <c r="DM295" s="203"/>
      <c r="DN295" s="203"/>
      <c r="DO295" s="203"/>
      <c r="DP295" s="203"/>
      <c r="DQ295" s="203"/>
      <c r="DR295" s="203"/>
      <c r="DS295" s="203"/>
      <c r="DT295" s="203"/>
      <c r="DV295" s="203"/>
      <c r="DW295" s="203"/>
      <c r="DX295" s="203"/>
      <c r="DY295" s="203"/>
      <c r="DZ295" s="203"/>
      <c r="EA295" s="203"/>
      <c r="EB295" s="203"/>
      <c r="EX295" s="203"/>
      <c r="EY295" s="203"/>
      <c r="EZ295" s="203"/>
      <c r="FA295" s="203"/>
      <c r="FB295" s="203"/>
      <c r="FC295" s="203"/>
      <c r="FD295" s="203"/>
    </row>
    <row r="296" spans="1:160">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A296" s="203"/>
      <c r="CB296" s="203"/>
      <c r="CC296" s="203"/>
      <c r="CD296" s="203"/>
      <c r="CE296" s="203"/>
      <c r="CF296" s="203"/>
      <c r="CG296" s="203"/>
      <c r="CH296" s="203"/>
      <c r="CI296" s="203"/>
      <c r="CJ296" s="203"/>
      <c r="CK296" s="203"/>
      <c r="CL296" s="203"/>
      <c r="CM296" s="203"/>
      <c r="CN296" s="203"/>
      <c r="CO296" s="203"/>
      <c r="CP296" s="203"/>
      <c r="CQ296" s="203"/>
      <c r="CR296" s="203"/>
      <c r="CS296" s="203"/>
      <c r="CT296" s="203"/>
      <c r="CU296" s="203"/>
      <c r="CV296" s="203"/>
      <c r="CW296" s="203"/>
      <c r="CX296" s="203"/>
      <c r="CY296" s="203"/>
      <c r="CZ296" s="203"/>
      <c r="DA296" s="203"/>
      <c r="DB296" s="203"/>
      <c r="DC296" s="203"/>
      <c r="DD296" s="203"/>
      <c r="DE296" s="203"/>
      <c r="DF296" s="203"/>
      <c r="DG296" s="203"/>
      <c r="DH296" s="203"/>
      <c r="DI296" s="203"/>
      <c r="DJ296" s="203"/>
      <c r="DK296" s="203"/>
      <c r="DL296" s="203"/>
      <c r="DM296" s="203"/>
      <c r="DN296" s="203"/>
      <c r="DO296" s="203"/>
      <c r="DP296" s="203"/>
      <c r="DQ296" s="203"/>
      <c r="DR296" s="203"/>
      <c r="DS296" s="203"/>
      <c r="DT296" s="203"/>
      <c r="DV296" s="203"/>
      <c r="DW296" s="203"/>
      <c r="DX296" s="203"/>
      <c r="DY296" s="203"/>
      <c r="DZ296" s="203"/>
      <c r="EA296" s="203"/>
      <c r="EB296" s="203"/>
      <c r="EX296" s="203"/>
      <c r="EY296" s="203"/>
      <c r="EZ296" s="203"/>
      <c r="FA296" s="203"/>
      <c r="FB296" s="203"/>
      <c r="FC296" s="203"/>
      <c r="FD296" s="203"/>
    </row>
    <row r="297" spans="1:160">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c r="BH297" s="203"/>
      <c r="BI297" s="203"/>
      <c r="BJ297" s="203"/>
      <c r="BK297" s="203"/>
      <c r="BL297" s="203"/>
      <c r="BM297" s="203"/>
      <c r="BN297" s="203"/>
      <c r="BO297" s="203"/>
      <c r="BP297" s="203"/>
      <c r="BQ297" s="203"/>
      <c r="BR297" s="203"/>
      <c r="BS297" s="203"/>
      <c r="BT297" s="203"/>
      <c r="BU297" s="203"/>
      <c r="BV297" s="203"/>
      <c r="BW297" s="203"/>
      <c r="BX297" s="203"/>
      <c r="BY297" s="203"/>
      <c r="BZ297" s="203"/>
      <c r="CA297" s="203"/>
      <c r="CB297" s="203"/>
      <c r="CC297" s="203"/>
      <c r="CD297" s="203"/>
      <c r="CE297" s="203"/>
      <c r="CF297" s="203"/>
      <c r="CG297" s="203"/>
      <c r="CH297" s="203"/>
      <c r="CI297" s="203"/>
      <c r="CJ297" s="203"/>
      <c r="CK297" s="203"/>
      <c r="CL297" s="203"/>
      <c r="CM297" s="203"/>
      <c r="CN297" s="203"/>
      <c r="CO297" s="203"/>
      <c r="CP297" s="203"/>
      <c r="CQ297" s="203"/>
      <c r="CR297" s="203"/>
      <c r="CS297" s="203"/>
      <c r="CT297" s="203"/>
      <c r="CU297" s="203"/>
      <c r="CV297" s="203"/>
      <c r="CW297" s="203"/>
      <c r="CX297" s="203"/>
      <c r="CY297" s="203"/>
      <c r="CZ297" s="203"/>
      <c r="DA297" s="203"/>
      <c r="DB297" s="203"/>
      <c r="DC297" s="203"/>
      <c r="DD297" s="203"/>
      <c r="DE297" s="203"/>
      <c r="DF297" s="203"/>
      <c r="DG297" s="203"/>
      <c r="DH297" s="203"/>
      <c r="DI297" s="203"/>
      <c r="DJ297" s="203"/>
      <c r="DK297" s="203"/>
      <c r="DL297" s="203"/>
      <c r="DM297" s="203"/>
      <c r="DN297" s="203"/>
      <c r="DO297" s="203"/>
      <c r="DP297" s="203"/>
      <c r="DQ297" s="203"/>
      <c r="DR297" s="203"/>
      <c r="DS297" s="203"/>
      <c r="DT297" s="203"/>
      <c r="DV297" s="203"/>
      <c r="DW297" s="203"/>
      <c r="DX297" s="203"/>
      <c r="DY297" s="203"/>
      <c r="DZ297" s="203"/>
      <c r="EA297" s="203"/>
      <c r="EB297" s="203"/>
      <c r="EX297" s="203"/>
      <c r="EY297" s="203"/>
      <c r="EZ297" s="203"/>
      <c r="FA297" s="203"/>
      <c r="FB297" s="203"/>
      <c r="FC297" s="203"/>
      <c r="FD297" s="203"/>
    </row>
    <row r="298" spans="1:160">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A298" s="203"/>
      <c r="CB298" s="203"/>
      <c r="CC298" s="203"/>
      <c r="CD298" s="203"/>
      <c r="CE298" s="203"/>
      <c r="CF298" s="203"/>
      <c r="CG298" s="203"/>
      <c r="CH298" s="203"/>
      <c r="CI298" s="203"/>
      <c r="CJ298" s="203"/>
      <c r="CK298" s="203"/>
      <c r="CL298" s="203"/>
      <c r="CM298" s="203"/>
      <c r="CN298" s="203"/>
      <c r="CO298" s="203"/>
      <c r="CP298" s="203"/>
      <c r="CQ298" s="203"/>
      <c r="CR298" s="203"/>
      <c r="CS298" s="203"/>
      <c r="CT298" s="203"/>
      <c r="CU298" s="203"/>
      <c r="CV298" s="203"/>
      <c r="CW298" s="203"/>
      <c r="CX298" s="203"/>
      <c r="CY298" s="203"/>
      <c r="CZ298" s="203"/>
      <c r="DA298" s="203"/>
      <c r="DB298" s="203"/>
      <c r="DC298" s="203"/>
      <c r="DD298" s="203"/>
      <c r="DE298" s="203"/>
      <c r="DF298" s="203"/>
      <c r="DG298" s="203"/>
      <c r="DH298" s="203"/>
      <c r="DI298" s="203"/>
      <c r="DJ298" s="203"/>
      <c r="DK298" s="203"/>
      <c r="DL298" s="203"/>
      <c r="DM298" s="203"/>
      <c r="DN298" s="203"/>
      <c r="DO298" s="203"/>
      <c r="DP298" s="203"/>
      <c r="DQ298" s="203"/>
      <c r="DR298" s="203"/>
      <c r="DS298" s="203"/>
      <c r="DT298" s="203"/>
      <c r="DV298" s="203"/>
      <c r="DW298" s="203"/>
      <c r="DX298" s="203"/>
      <c r="DY298" s="203"/>
      <c r="DZ298" s="203"/>
      <c r="EA298" s="203"/>
      <c r="EB298" s="203"/>
      <c r="EX298" s="203"/>
      <c r="EY298" s="203"/>
      <c r="EZ298" s="203"/>
      <c r="FA298" s="203"/>
      <c r="FB298" s="203"/>
      <c r="FC298" s="203"/>
      <c r="FD298" s="203"/>
    </row>
    <row r="299" spans="1:160">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203"/>
      <c r="BS299" s="203"/>
      <c r="BT299" s="203"/>
      <c r="BU299" s="203"/>
      <c r="BV299" s="203"/>
      <c r="BW299" s="203"/>
      <c r="BX299" s="203"/>
      <c r="BY299" s="203"/>
      <c r="BZ299" s="203"/>
      <c r="CA299" s="203"/>
      <c r="CB299" s="203"/>
      <c r="CC299" s="203"/>
      <c r="CD299" s="203"/>
      <c r="CE299" s="203"/>
      <c r="CF299" s="203"/>
      <c r="CG299" s="203"/>
      <c r="CH299" s="203"/>
      <c r="CI299" s="203"/>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V299" s="203"/>
      <c r="DW299" s="203"/>
      <c r="DX299" s="203"/>
      <c r="DY299" s="203"/>
      <c r="DZ299" s="203"/>
      <c r="EA299" s="203"/>
      <c r="EB299" s="203"/>
      <c r="EX299" s="203"/>
      <c r="EY299" s="203"/>
      <c r="EZ299" s="203"/>
      <c r="FA299" s="203"/>
      <c r="FB299" s="203"/>
      <c r="FC299" s="203"/>
      <c r="FD299" s="203"/>
    </row>
    <row r="300" spans="1:160">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s="203"/>
      <c r="BN300" s="203"/>
      <c r="BO300" s="203"/>
      <c r="BP300" s="203"/>
      <c r="BQ300" s="203"/>
      <c r="BR300" s="203"/>
      <c r="BS300" s="203"/>
      <c r="BT300" s="203"/>
      <c r="BU300" s="203"/>
      <c r="BV300" s="203"/>
      <c r="BW300" s="203"/>
      <c r="BX300" s="203"/>
      <c r="BY300" s="203"/>
      <c r="BZ300" s="203"/>
      <c r="CA300" s="203"/>
      <c r="CB300" s="203"/>
      <c r="CC300" s="203"/>
      <c r="CD300" s="203"/>
      <c r="CE300" s="203"/>
      <c r="CF300" s="203"/>
      <c r="CG300" s="203"/>
      <c r="CH300" s="203"/>
      <c r="CI300" s="203"/>
      <c r="CJ300" s="203"/>
      <c r="CK300" s="203"/>
      <c r="CL300" s="203"/>
      <c r="CM300" s="203"/>
      <c r="CN300" s="203"/>
      <c r="CO300" s="203"/>
      <c r="CP300" s="203"/>
      <c r="CQ300" s="203"/>
      <c r="CR300" s="203"/>
      <c r="CS300" s="203"/>
      <c r="CT300" s="203"/>
      <c r="CU300" s="203"/>
      <c r="CV300" s="203"/>
      <c r="CW300" s="203"/>
      <c r="CX300" s="203"/>
      <c r="CY300" s="203"/>
      <c r="CZ300" s="203"/>
      <c r="DA300" s="203"/>
      <c r="DB300" s="203"/>
      <c r="DC300" s="203"/>
      <c r="DD300" s="203"/>
      <c r="DE300" s="203"/>
      <c r="DF300" s="203"/>
      <c r="DG300" s="203"/>
      <c r="DH300" s="203"/>
      <c r="DI300" s="203"/>
      <c r="DJ300" s="203"/>
      <c r="DK300" s="203"/>
      <c r="DL300" s="203"/>
      <c r="DM300" s="203"/>
      <c r="DN300" s="203"/>
      <c r="DO300" s="203"/>
      <c r="DP300" s="203"/>
      <c r="DQ300" s="203"/>
      <c r="DR300" s="203"/>
      <c r="DS300" s="203"/>
      <c r="DT300" s="203"/>
      <c r="DV300" s="203"/>
      <c r="DW300" s="203"/>
      <c r="DX300" s="203"/>
      <c r="DY300" s="203"/>
      <c r="DZ300" s="203"/>
      <c r="EA300" s="203"/>
      <c r="EB300" s="203"/>
      <c r="EX300" s="203"/>
      <c r="EY300" s="203"/>
      <c r="EZ300" s="203"/>
      <c r="FA300" s="203"/>
      <c r="FB300" s="203"/>
      <c r="FC300" s="203"/>
      <c r="FD300" s="203"/>
    </row>
    <row r="301" spans="1:160">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A301" s="203"/>
      <c r="CB301" s="203"/>
      <c r="CC301" s="203"/>
      <c r="CD301" s="203"/>
      <c r="CE301" s="203"/>
      <c r="CF301" s="203"/>
      <c r="CG301" s="203"/>
      <c r="CH301" s="203"/>
      <c r="CI301" s="203"/>
      <c r="CJ301" s="203"/>
      <c r="CK301" s="203"/>
      <c r="CL301" s="203"/>
      <c r="CM301" s="203"/>
      <c r="CN301" s="203"/>
      <c r="CO301" s="203"/>
      <c r="CP301" s="203"/>
      <c r="CQ301" s="203"/>
      <c r="CR301" s="203"/>
      <c r="CS301" s="203"/>
      <c r="CT301" s="203"/>
      <c r="CU301" s="203"/>
      <c r="CV301" s="203"/>
      <c r="CW301" s="203"/>
      <c r="CX301" s="203"/>
      <c r="CY301" s="203"/>
      <c r="CZ301" s="203"/>
      <c r="DA301" s="203"/>
      <c r="DB301" s="203"/>
      <c r="DC301" s="203"/>
      <c r="DD301" s="203"/>
      <c r="DE301" s="203"/>
      <c r="DF301" s="203"/>
      <c r="DG301" s="203"/>
      <c r="DH301" s="203"/>
      <c r="DI301" s="203"/>
      <c r="DJ301" s="203"/>
      <c r="DK301" s="203"/>
      <c r="DL301" s="203"/>
      <c r="DM301" s="203"/>
      <c r="DN301" s="203"/>
      <c r="DO301" s="203"/>
      <c r="DP301" s="203"/>
      <c r="DQ301" s="203"/>
      <c r="DR301" s="203"/>
      <c r="DS301" s="203"/>
      <c r="DT301" s="203"/>
      <c r="DV301" s="203"/>
      <c r="DW301" s="203"/>
      <c r="DX301" s="203"/>
      <c r="DY301" s="203"/>
      <c r="DZ301" s="203"/>
      <c r="EA301" s="203"/>
      <c r="EB301" s="203"/>
      <c r="EX301" s="203"/>
      <c r="EY301" s="203"/>
      <c r="EZ301" s="203"/>
      <c r="FA301" s="203"/>
      <c r="FB301" s="203"/>
      <c r="FC301" s="203"/>
      <c r="FD301" s="203"/>
    </row>
  </sheetData>
  <pageMargins left="0.70866141732283472" right="0.70866141732283472" top="0.74803149606299213" bottom="0.74803149606299213" header="0.31496062992125984" footer="0.31496062992125984"/>
  <pageSetup paperSize="9" scale="34" fitToHeight="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006B-4634-475E-B1DC-1E78D6B7BAE6}">
  <dimension ref="B1:BI167"/>
  <sheetViews>
    <sheetView showGridLines="0" zoomScale="72" zoomScaleNormal="72" workbookViewId="0">
      <selection activeCell="M99" sqref="M99"/>
    </sheetView>
  </sheetViews>
  <sheetFormatPr defaultColWidth="8.85546875" defaultRowHeight="15" outlineLevelRow="1"/>
  <cols>
    <col min="1" max="1" width="2.7109375" style="203" customWidth="1"/>
    <col min="2" max="2" width="20.85546875" style="203" customWidth="1"/>
    <col min="3" max="13" width="10.7109375" style="203" customWidth="1"/>
    <col min="14" max="14" width="8.85546875" style="203"/>
    <col min="15" max="26" width="8.85546875" style="203" customWidth="1"/>
    <col min="27" max="27" width="21.140625" style="203" customWidth="1"/>
    <col min="28" max="35" width="8.85546875" style="203" customWidth="1"/>
    <col min="36" max="37" width="9.42578125" style="203" bestFit="1" customWidth="1"/>
    <col min="38" max="38" width="8.42578125" style="203" bestFit="1" customWidth="1"/>
    <col min="39" max="16384" width="8.85546875" style="203"/>
  </cols>
  <sheetData>
    <row r="1" spans="2:61" ht="15.75" thickBot="1">
      <c r="B1" s="201" t="s">
        <v>541</v>
      </c>
      <c r="C1" s="202"/>
      <c r="D1" s="202"/>
      <c r="E1" s="202"/>
      <c r="F1" s="202"/>
      <c r="G1" s="202"/>
      <c r="H1" s="202"/>
      <c r="I1" s="202"/>
      <c r="J1" s="202"/>
      <c r="K1" s="202"/>
      <c r="L1" s="202"/>
      <c r="M1" s="202"/>
      <c r="N1" s="202"/>
      <c r="O1" s="202"/>
      <c r="P1" s="202"/>
      <c r="Q1" s="202"/>
      <c r="R1" s="202"/>
      <c r="S1" s="202"/>
      <c r="T1" s="202"/>
      <c r="U1" s="202"/>
      <c r="V1" s="202"/>
    </row>
    <row r="2" spans="2:61" ht="15.75">
      <c r="B2" s="312"/>
      <c r="E2" s="332"/>
      <c r="F2" s="332"/>
      <c r="G2" s="332"/>
      <c r="H2" s="332"/>
      <c r="I2" s="332"/>
      <c r="L2" s="332" t="s">
        <v>1232</v>
      </c>
      <c r="N2" s="543" t="s">
        <v>1232</v>
      </c>
      <c r="O2" s="544" t="s">
        <v>1730</v>
      </c>
      <c r="P2" s="332"/>
      <c r="W2" s="202"/>
      <c r="X2" s="202"/>
      <c r="AA2" s="312"/>
      <c r="AB2" s="332"/>
      <c r="AC2" s="332" t="s">
        <v>1232</v>
      </c>
      <c r="AD2" s="332"/>
      <c r="AE2" s="332" t="s">
        <v>1730</v>
      </c>
      <c r="AF2" s="332"/>
      <c r="AJ2" s="332" t="s">
        <v>1232</v>
      </c>
      <c r="AK2" s="332" t="s">
        <v>1730</v>
      </c>
      <c r="AL2" s="332" t="s">
        <v>3042</v>
      </c>
    </row>
    <row r="3" spans="2:61" ht="15.75">
      <c r="B3" s="313" t="s">
        <v>195</v>
      </c>
      <c r="C3" s="538" t="str">
        <f t="shared" ref="C3:I3" si="0">O29</f>
        <v>Q1 22</v>
      </c>
      <c r="D3" s="538" t="str">
        <f t="shared" si="0"/>
        <v>Q2 22</v>
      </c>
      <c r="E3" s="538" t="str">
        <f t="shared" si="0"/>
        <v>Q3 22</v>
      </c>
      <c r="F3" s="538" t="str">
        <f t="shared" si="0"/>
        <v>Q4 22</v>
      </c>
      <c r="G3" s="538" t="str">
        <f t="shared" si="0"/>
        <v>Q1 23</v>
      </c>
      <c r="H3" s="538" t="str">
        <f t="shared" si="0"/>
        <v>Q2 23</v>
      </c>
      <c r="I3" s="538" t="str">
        <f t="shared" si="0"/>
        <v>Q3 23</v>
      </c>
      <c r="J3" s="538" t="s">
        <v>3162</v>
      </c>
      <c r="K3" s="538" t="s">
        <v>3210</v>
      </c>
      <c r="L3" s="538" t="s">
        <v>3210</v>
      </c>
      <c r="N3" s="545" t="s">
        <v>2595</v>
      </c>
      <c r="O3" s="546" t="s">
        <v>2595</v>
      </c>
      <c r="P3" s="427" t="s">
        <v>2544</v>
      </c>
      <c r="W3" s="205"/>
      <c r="X3" s="205"/>
      <c r="Y3" s="205"/>
      <c r="Z3" s="205"/>
      <c r="AA3" s="313" t="s">
        <v>195</v>
      </c>
      <c r="AB3" s="538" t="str">
        <f>K3</f>
        <v>Q1 24</v>
      </c>
      <c r="AC3" s="427" t="s">
        <v>3078</v>
      </c>
      <c r="AD3" s="427" t="s">
        <v>3163</v>
      </c>
      <c r="AE3" s="427" t="s">
        <v>3078</v>
      </c>
      <c r="AF3" s="427" t="s">
        <v>3163</v>
      </c>
      <c r="AG3" s="427" t="s">
        <v>2890</v>
      </c>
      <c r="AH3" s="427" t="s">
        <v>3163</v>
      </c>
      <c r="AI3" s="206"/>
      <c r="AJ3" s="427" t="s">
        <v>543</v>
      </c>
      <c r="AK3" s="427" t="s">
        <v>543</v>
      </c>
      <c r="AL3" s="427" t="s">
        <v>1730</v>
      </c>
      <c r="AM3" s="206"/>
      <c r="AN3" s="206"/>
      <c r="AO3" s="206"/>
      <c r="AP3" s="206"/>
      <c r="AQ3" s="205"/>
      <c r="AY3" s="207"/>
      <c r="AZ3" s="207"/>
      <c r="BA3" s="207"/>
      <c r="BB3" s="207"/>
      <c r="BC3" s="207"/>
      <c r="BD3" s="207"/>
      <c r="BE3" s="207"/>
      <c r="BF3" s="207"/>
      <c r="BG3" s="207"/>
      <c r="BH3" s="207"/>
      <c r="BI3" s="207"/>
    </row>
    <row r="4" spans="2:61" ht="15.75">
      <c r="B4" s="316" t="s">
        <v>411</v>
      </c>
      <c r="C4" s="539">
        <f>Quarts!BG57</f>
        <v>6562.4260000000004</v>
      </c>
      <c r="D4" s="539">
        <f>Quarts!BH57</f>
        <v>6681.1859999999997</v>
      </c>
      <c r="E4" s="539">
        <f>Quarts!BI57</f>
        <v>6736.8850000000002</v>
      </c>
      <c r="F4" s="539">
        <f>Quarts!BJ57</f>
        <v>7175.058</v>
      </c>
      <c r="G4" s="539">
        <f>Quarts!BK57</f>
        <v>7152.1880000000001</v>
      </c>
      <c r="H4" s="539">
        <f>Quarts!BL57</f>
        <v>7373.6940000000004</v>
      </c>
      <c r="I4" s="539">
        <f>Quarts!BM57</f>
        <v>7490.7309999999998</v>
      </c>
      <c r="J4" s="539">
        <f>Quarts!BN57</f>
        <v>7853.9269999999997</v>
      </c>
      <c r="K4" s="539">
        <f>Quarts!BO57</f>
        <v>7984.6030000000001</v>
      </c>
      <c r="L4" s="539" t="e">
        <f>Quarts!#REF!</f>
        <v>#REF!</v>
      </c>
      <c r="N4" s="547">
        <f>Quarts!FA57</f>
        <v>7638.7077108040739</v>
      </c>
      <c r="O4" s="548">
        <v>7768</v>
      </c>
      <c r="P4" s="540">
        <f>J4/O4-1</f>
        <v>1.1061663233779662E-2</v>
      </c>
      <c r="AA4" s="314" t="s">
        <v>411</v>
      </c>
      <c r="AB4" s="428">
        <f>K4</f>
        <v>7984.6030000000001</v>
      </c>
      <c r="AC4" s="428" t="e">
        <f>L4</f>
        <v>#REF!</v>
      </c>
      <c r="AD4" s="598" t="e">
        <f>AB4/AC4-1</f>
        <v>#REF!</v>
      </c>
      <c r="AE4" s="428">
        <v>8013.2</v>
      </c>
      <c r="AF4" s="598">
        <f>AB4/AE4-1</f>
        <v>-3.5687365846353014E-3</v>
      </c>
      <c r="AG4" s="428">
        <f>G4</f>
        <v>7152.1880000000001</v>
      </c>
      <c r="AH4" s="598">
        <f>AB4/AG4-1</f>
        <v>0.11638606255875827</v>
      </c>
      <c r="AI4" s="209"/>
      <c r="AJ4" s="430" t="e">
        <f>AC4/AB4-1</f>
        <v>#REF!</v>
      </c>
      <c r="AK4" s="430">
        <f>AE4/AB4-1</f>
        <v>3.5815180792331258E-3</v>
      </c>
      <c r="AL4" s="430" t="e">
        <f>AC4/AE4-1</f>
        <v>#REF!</v>
      </c>
      <c r="AM4" s="209"/>
      <c r="AN4" s="209"/>
      <c r="AO4" s="209"/>
      <c r="AP4" s="209"/>
      <c r="AY4" s="209"/>
      <c r="AZ4" s="209"/>
      <c r="BA4" s="209"/>
      <c r="BB4" s="209"/>
      <c r="BC4" s="209"/>
      <c r="BD4" s="209"/>
      <c r="BE4" s="209"/>
      <c r="BF4" s="209"/>
      <c r="BG4" s="209"/>
      <c r="BH4" s="209"/>
      <c r="BI4" s="209"/>
    </row>
    <row r="5" spans="2:61" ht="15.75">
      <c r="B5" s="312" t="s">
        <v>3151</v>
      </c>
      <c r="C5" s="431">
        <f>Quarts!BG103</f>
        <v>6022.0550000000003</v>
      </c>
      <c r="D5" s="431">
        <f>Quarts!BH103</f>
        <v>6104.3189999999995</v>
      </c>
      <c r="E5" s="431">
        <f>Quarts!BI103</f>
        <v>6133.61</v>
      </c>
      <c r="F5" s="431">
        <f>Quarts!BJ103</f>
        <v>6308</v>
      </c>
      <c r="G5" s="431">
        <f>Quarts!BK103</f>
        <v>6516.4530000000004</v>
      </c>
      <c r="H5" s="431">
        <f>Quarts!BL103</f>
        <v>6717.518</v>
      </c>
      <c r="I5" s="431">
        <f>Quarts!BM103</f>
        <v>6907.5460000000003</v>
      </c>
      <c r="J5" s="431">
        <f>Quarts!BN103</f>
        <v>7167.9380000000001</v>
      </c>
      <c r="K5" s="431">
        <f>Quarts!BO103</f>
        <v>7330.2929999999997</v>
      </c>
      <c r="L5" s="431" t="e">
        <f>Quarts!#REF!</f>
        <v>#REF!</v>
      </c>
      <c r="N5" s="549">
        <f>Quarts!FA103</f>
        <v>7038.8037108040735</v>
      </c>
      <c r="O5" s="550">
        <f>2740+2697+662+746+215</f>
        <v>7060</v>
      </c>
      <c r="P5" s="432">
        <f>J5/O5-1</f>
        <v>1.5288668555240914E-2</v>
      </c>
      <c r="AA5" s="312" t="s">
        <v>1371</v>
      </c>
      <c r="AB5" s="431">
        <f>K5</f>
        <v>7330.2929999999997</v>
      </c>
      <c r="AC5" s="431" t="e">
        <f>L5</f>
        <v>#REF!</v>
      </c>
      <c r="AD5" s="602" t="e">
        <f t="shared" ref="AD5:AD20" si="1">AB5/AC5-1</f>
        <v>#REF!</v>
      </c>
      <c r="AE5" s="431"/>
      <c r="AF5" s="602"/>
      <c r="AG5" s="431">
        <f>G5</f>
        <v>6516.4530000000004</v>
      </c>
      <c r="AH5" s="602">
        <f t="shared" ref="AH5:AH20" si="2">AB5/AG5-1</f>
        <v>0.12489002836358964</v>
      </c>
      <c r="AI5" s="209"/>
      <c r="AJ5" s="433" t="e">
        <f>AC5/AB5-1</f>
        <v>#REF!</v>
      </c>
      <c r="AK5" s="433"/>
      <c r="AL5" s="433"/>
      <c r="AM5" s="209"/>
      <c r="AN5" s="209"/>
      <c r="AO5" s="209"/>
      <c r="AP5" s="209"/>
      <c r="AY5" s="209"/>
      <c r="AZ5" s="209"/>
      <c r="BA5" s="209"/>
      <c r="BB5" s="209"/>
      <c r="BC5" s="209"/>
      <c r="BD5" s="209"/>
      <c r="BE5" s="209"/>
      <c r="BF5" s="209"/>
      <c r="BG5" s="209"/>
      <c r="BH5" s="209"/>
      <c r="BI5" s="209"/>
    </row>
    <row r="6" spans="2:61" ht="15.75">
      <c r="B6" s="314" t="s">
        <v>3153</v>
      </c>
      <c r="C6" s="428">
        <f>C4-C5</f>
        <v>540.37100000000009</v>
      </c>
      <c r="D6" s="428">
        <f t="shared" ref="D6:I6" si="3">D4-D5</f>
        <v>576.86700000000019</v>
      </c>
      <c r="E6" s="428">
        <f t="shared" si="3"/>
        <v>603.27500000000055</v>
      </c>
      <c r="F6" s="428">
        <f t="shared" si="3"/>
        <v>867.05799999999999</v>
      </c>
      <c r="G6" s="428">
        <f t="shared" si="3"/>
        <v>635.73499999999967</v>
      </c>
      <c r="H6" s="428">
        <f t="shared" si="3"/>
        <v>656.17600000000039</v>
      </c>
      <c r="I6" s="428">
        <f t="shared" si="3"/>
        <v>583.18499999999949</v>
      </c>
      <c r="J6" s="428">
        <f>J4-J5</f>
        <v>685.98899999999958</v>
      </c>
      <c r="K6" s="428">
        <f>K4-K5</f>
        <v>654.3100000000004</v>
      </c>
      <c r="L6" s="428" t="e">
        <f>L4-L5</f>
        <v>#REF!</v>
      </c>
      <c r="N6" s="551">
        <f>N4-N5</f>
        <v>599.90400000000045</v>
      </c>
      <c r="O6" s="552">
        <f>O4-O5</f>
        <v>708</v>
      </c>
      <c r="P6" s="429">
        <f>J6/O6-1</f>
        <v>-3.1088983050848062E-2</v>
      </c>
      <c r="AA6" s="314"/>
      <c r="AB6" s="428"/>
      <c r="AC6" s="428"/>
      <c r="AD6" s="599"/>
      <c r="AE6" s="428"/>
      <c r="AF6" s="599"/>
      <c r="AG6" s="428"/>
      <c r="AH6" s="599"/>
      <c r="AI6" s="209"/>
      <c r="AJ6" s="430"/>
      <c r="AK6" s="430"/>
      <c r="AL6" s="430"/>
      <c r="AM6" s="209"/>
      <c r="AN6" s="209"/>
      <c r="AO6" s="209"/>
      <c r="AP6" s="209"/>
      <c r="AY6" s="209"/>
      <c r="AZ6" s="209"/>
      <c r="BA6" s="209"/>
      <c r="BB6" s="209"/>
      <c r="BC6" s="209"/>
      <c r="BD6" s="209"/>
      <c r="BE6" s="209"/>
      <c r="BF6" s="209"/>
      <c r="BG6" s="209"/>
      <c r="BH6" s="209"/>
      <c r="BI6" s="209"/>
    </row>
    <row r="7" spans="2:61" ht="15.75">
      <c r="B7" s="333" t="s">
        <v>16</v>
      </c>
      <c r="C7" s="541">
        <f>Quarts!BG133</f>
        <v>3228.4879999999998</v>
      </c>
      <c r="D7" s="541">
        <f>Quarts!BH133</f>
        <v>3257.6019999999999</v>
      </c>
      <c r="E7" s="541">
        <f>Quarts!BI133</f>
        <v>3168.0259999999998</v>
      </c>
      <c r="F7" s="541">
        <f>Quarts!BJ133</f>
        <v>3114.9029999999998</v>
      </c>
      <c r="G7" s="541">
        <f>Quarts!BK133</f>
        <v>3268.6950000000002</v>
      </c>
      <c r="H7" s="541">
        <f>Quarts!BL133</f>
        <v>3287.3739999999998</v>
      </c>
      <c r="I7" s="541">
        <f>Quarts!BM133</f>
        <v>3306.2489999999998</v>
      </c>
      <c r="J7" s="541">
        <f>Quarts!BN133</f>
        <v>3457.6759999999999</v>
      </c>
      <c r="K7" s="541">
        <f>Quarts!BO133</f>
        <v>3680.6039999999998</v>
      </c>
      <c r="L7" s="541" t="e">
        <f>Quarts!#REF!</f>
        <v>#REF!</v>
      </c>
      <c r="N7" s="553">
        <f>Quarts!FA133</f>
        <v>3265.6787251928654</v>
      </c>
      <c r="O7" s="554">
        <v>3356</v>
      </c>
      <c r="P7" s="542">
        <f>I7/O7-1</f>
        <v>-1.4824493444576925E-2</v>
      </c>
      <c r="AA7" s="312" t="s">
        <v>16</v>
      </c>
      <c r="AB7" s="431">
        <f t="shared" ref="AB7:AC10" si="4">K7</f>
        <v>3680.6039999999998</v>
      </c>
      <c r="AC7" s="431" t="e">
        <f t="shared" si="4"/>
        <v>#REF!</v>
      </c>
      <c r="AD7" s="602" t="e">
        <f t="shared" si="1"/>
        <v>#REF!</v>
      </c>
      <c r="AE7" s="431">
        <v>3610.2</v>
      </c>
      <c r="AF7" s="602">
        <f t="shared" ref="AF7:AF20" si="5">AB7/AE7-1</f>
        <v>1.9501412664118423E-2</v>
      </c>
      <c r="AG7" s="431">
        <f>G7</f>
        <v>3268.6950000000002</v>
      </c>
      <c r="AH7" s="602">
        <f t="shared" si="2"/>
        <v>0.12601634597293399</v>
      </c>
      <c r="AI7" s="209"/>
      <c r="AJ7" s="433" t="e">
        <f>AC7/AB7-1</f>
        <v>#REF!</v>
      </c>
      <c r="AK7" s="433">
        <f>AE7/AB7-1</f>
        <v>-1.9128382189445015E-2</v>
      </c>
      <c r="AL7" s="433" t="e">
        <f>AC7/AE7-1</f>
        <v>#REF!</v>
      </c>
      <c r="AM7" s="209"/>
      <c r="AN7" s="209"/>
      <c r="AO7" s="209"/>
      <c r="AP7" s="209"/>
      <c r="AY7" s="209"/>
      <c r="AZ7" s="209"/>
      <c r="BA7" s="209"/>
      <c r="BB7" s="209"/>
      <c r="BC7" s="209"/>
      <c r="BD7" s="209"/>
      <c r="BE7" s="209"/>
      <c r="BF7" s="209"/>
      <c r="BG7" s="209"/>
      <c r="BH7" s="209"/>
      <c r="BI7" s="209"/>
    </row>
    <row r="8" spans="2:61" ht="15.75">
      <c r="B8" s="314" t="s">
        <v>200</v>
      </c>
      <c r="C8" s="430">
        <f t="shared" ref="C8:I8" si="6">C7/C4</f>
        <v>0.49196562368855656</v>
      </c>
      <c r="D8" s="430">
        <f t="shared" si="6"/>
        <v>0.48757840299611477</v>
      </c>
      <c r="E8" s="430">
        <f t="shared" si="6"/>
        <v>0.47025086519956921</v>
      </c>
      <c r="F8" s="430">
        <f t="shared" si="6"/>
        <v>0.4341293129616513</v>
      </c>
      <c r="G8" s="430">
        <f t="shared" si="6"/>
        <v>0.45702028526095795</v>
      </c>
      <c r="H8" s="430">
        <f t="shared" si="6"/>
        <v>0.44582457585031321</v>
      </c>
      <c r="I8" s="430">
        <f t="shared" si="6"/>
        <v>0.44137868520442131</v>
      </c>
      <c r="J8" s="430">
        <f>J7/J4</f>
        <v>0.44024804406763651</v>
      </c>
      <c r="K8" s="430">
        <f>K7/K4</f>
        <v>0.46096268029856963</v>
      </c>
      <c r="L8" s="430" t="e">
        <f>L7/L4</f>
        <v>#REF!</v>
      </c>
      <c r="N8" s="555">
        <f>N7/N4</f>
        <v>0.42751717290791719</v>
      </c>
      <c r="O8" s="556">
        <f>O7/O4</f>
        <v>0.43202883625128735</v>
      </c>
      <c r="P8" s="430"/>
      <c r="AA8" s="314" t="s">
        <v>200</v>
      </c>
      <c r="AB8" s="430">
        <f t="shared" si="4"/>
        <v>0.46096268029856963</v>
      </c>
      <c r="AC8" s="430" t="e">
        <f t="shared" si="4"/>
        <v>#REF!</v>
      </c>
      <c r="AD8" s="599" t="e">
        <f t="shared" si="1"/>
        <v>#REF!</v>
      </c>
      <c r="AE8" s="430">
        <f>AE7/AE4</f>
        <v>0.4505316228223431</v>
      </c>
      <c r="AF8" s="599">
        <f t="shared" si="5"/>
        <v>2.3152775405378856E-2</v>
      </c>
      <c r="AG8" s="430">
        <f>G8</f>
        <v>0.45702028526095795</v>
      </c>
      <c r="AH8" s="599">
        <f t="shared" si="2"/>
        <v>8.6263020805752433E-3</v>
      </c>
      <c r="AI8" s="209"/>
      <c r="AJ8" s="430"/>
      <c r="AK8" s="430"/>
      <c r="AL8" s="430" t="e">
        <f>AC8/AE8-1</f>
        <v>#REF!</v>
      </c>
      <c r="AM8" s="209"/>
      <c r="AN8" s="209"/>
      <c r="AO8" s="209"/>
      <c r="AP8" s="209"/>
      <c r="AY8" s="209"/>
      <c r="AZ8" s="209"/>
      <c r="BA8" s="209"/>
      <c r="BB8" s="209"/>
      <c r="BC8" s="209"/>
      <c r="BD8" s="209"/>
      <c r="BE8" s="209"/>
      <c r="BF8" s="209"/>
      <c r="BG8" s="209"/>
      <c r="BH8" s="209"/>
      <c r="BI8" s="209"/>
    </row>
    <row r="9" spans="2:61" ht="15.75">
      <c r="B9" s="312" t="s">
        <v>725</v>
      </c>
      <c r="C9" s="431">
        <f>Quarts!BG111</f>
        <v>3060.01</v>
      </c>
      <c r="D9" s="431">
        <f>Quarts!BH111</f>
        <v>3065.346</v>
      </c>
      <c r="E9" s="431">
        <f>Quarts!BI111</f>
        <v>2980.1610000000001</v>
      </c>
      <c r="F9" s="431">
        <f>Quarts!BJ111</f>
        <v>2958</v>
      </c>
      <c r="G9" s="431">
        <f>Quarts!BK111</f>
        <v>3084.652</v>
      </c>
      <c r="H9" s="431">
        <f>Quarts!BL111</f>
        <v>3093.5590000000002</v>
      </c>
      <c r="I9" s="431">
        <f>Quarts!BM111</f>
        <v>3139.6759999999999</v>
      </c>
      <c r="J9" s="431">
        <f>Quarts!BN111</f>
        <v>3295.3020000000001</v>
      </c>
      <c r="K9" s="431">
        <f>Quarts!BO111</f>
        <v>3466.7629999999999</v>
      </c>
      <c r="L9" s="431" t="e">
        <f>Quarts!#REF!</f>
        <v>#REF!</v>
      </c>
      <c r="N9" s="549">
        <f>Quarts!FA111</f>
        <v>3117.109725192865</v>
      </c>
      <c r="O9" s="550">
        <f>O7-O11</f>
        <v>3156</v>
      </c>
      <c r="P9" s="432">
        <f>J9/O9-1</f>
        <v>4.4138783269962012E-2</v>
      </c>
      <c r="AA9" s="312" t="s">
        <v>725</v>
      </c>
      <c r="AB9" s="431">
        <f t="shared" si="4"/>
        <v>3466.7629999999999</v>
      </c>
      <c r="AC9" s="431" t="e">
        <f t="shared" si="4"/>
        <v>#REF!</v>
      </c>
      <c r="AD9" s="602" t="e">
        <f t="shared" si="1"/>
        <v>#REF!</v>
      </c>
      <c r="AE9" s="431"/>
      <c r="AF9" s="602"/>
      <c r="AG9" s="431">
        <f>G9</f>
        <v>3084.652</v>
      </c>
      <c r="AH9" s="602">
        <f t="shared" si="2"/>
        <v>0.12387491360451675</v>
      </c>
      <c r="AI9" s="209"/>
      <c r="AJ9" s="433" t="e">
        <f>AC9/AB9-1</f>
        <v>#REF!</v>
      </c>
      <c r="AK9" s="433"/>
      <c r="AL9" s="433"/>
      <c r="AM9" s="209"/>
      <c r="AN9" s="209"/>
      <c r="AO9" s="209"/>
      <c r="AP9" s="209"/>
      <c r="AY9" s="209"/>
      <c r="AZ9" s="209"/>
      <c r="BA9" s="209"/>
      <c r="BB9" s="209"/>
      <c r="BC9" s="209"/>
      <c r="BD9" s="209"/>
      <c r="BE9" s="209"/>
      <c r="BF9" s="209"/>
      <c r="BG9" s="209"/>
      <c r="BH9" s="209"/>
      <c r="BI9" s="209"/>
    </row>
    <row r="10" spans="2:61" ht="15.75">
      <c r="B10" s="314" t="s">
        <v>200</v>
      </c>
      <c r="C10" s="430">
        <f>Quarts!BG112</f>
        <v>0.50813385131819622</v>
      </c>
      <c r="D10" s="430">
        <f>Quarts!BH112</f>
        <v>0.50216019182483751</v>
      </c>
      <c r="E10" s="430">
        <f>Quarts!BI112</f>
        <v>0.48587389807959752</v>
      </c>
      <c r="F10" s="430">
        <f>Quarts!BJ112</f>
        <v>0.46892834495878249</v>
      </c>
      <c r="G10" s="430">
        <f>Quarts!BK112</f>
        <v>0.47336365350904852</v>
      </c>
      <c r="H10" s="430">
        <f>Quarts!BL112</f>
        <v>0.46052113295416552</v>
      </c>
      <c r="I10" s="430">
        <f>Quarts!BM112</f>
        <v>0.45452842442163971</v>
      </c>
      <c r="J10" s="430">
        <f>Quarts!BN112</f>
        <v>0.4597280277814903</v>
      </c>
      <c r="K10" s="430">
        <f>Quarts!BO112</f>
        <v>0.47293648425785983</v>
      </c>
      <c r="L10" s="430" t="e">
        <f>Quarts!#REF!</f>
        <v>#REF!</v>
      </c>
      <c r="N10" s="555">
        <f>Quarts!FA112</f>
        <v>0.44284651955961191</v>
      </c>
      <c r="O10" s="556">
        <f>O9/O5</f>
        <v>0.44702549575070821</v>
      </c>
      <c r="P10" s="429"/>
      <c r="AA10" s="314" t="s">
        <v>200</v>
      </c>
      <c r="AB10" s="430">
        <f t="shared" si="4"/>
        <v>0.47293648425785983</v>
      </c>
      <c r="AC10" s="430" t="e">
        <f t="shared" si="4"/>
        <v>#REF!</v>
      </c>
      <c r="AD10" s="599" t="e">
        <f t="shared" si="1"/>
        <v>#REF!</v>
      </c>
      <c r="AE10" s="430"/>
      <c r="AF10" s="599"/>
      <c r="AG10" s="430">
        <f>G10</f>
        <v>0.47336365350904852</v>
      </c>
      <c r="AH10" s="599">
        <f t="shared" si="2"/>
        <v>-9.0241244341870974E-4</v>
      </c>
      <c r="AI10" s="209"/>
      <c r="AJ10" s="430" t="e">
        <f>AC10/AB10-1</f>
        <v>#REF!</v>
      </c>
      <c r="AK10" s="430"/>
      <c r="AL10" s="430"/>
      <c r="AM10" s="209"/>
      <c r="AN10" s="209"/>
      <c r="AO10" s="209"/>
      <c r="AP10" s="209"/>
      <c r="AY10" s="209"/>
      <c r="AZ10" s="209"/>
      <c r="BA10" s="209"/>
      <c r="BB10" s="209"/>
      <c r="BC10" s="209"/>
      <c r="BD10" s="209"/>
      <c r="BE10" s="209"/>
      <c r="BF10" s="209"/>
      <c r="BG10" s="209"/>
      <c r="BH10" s="209"/>
      <c r="BI10" s="209"/>
    </row>
    <row r="11" spans="2:61" ht="15.75">
      <c r="B11" s="312" t="s">
        <v>3152</v>
      </c>
      <c r="C11" s="431">
        <f>C7-C9</f>
        <v>168.47799999999961</v>
      </c>
      <c r="D11" s="431">
        <f t="shared" ref="D11:I11" si="7">D7-D9</f>
        <v>192.25599999999986</v>
      </c>
      <c r="E11" s="431">
        <f t="shared" si="7"/>
        <v>187.86499999999978</v>
      </c>
      <c r="F11" s="431">
        <f t="shared" si="7"/>
        <v>156.90299999999979</v>
      </c>
      <c r="G11" s="431">
        <f t="shared" si="7"/>
        <v>184.04300000000012</v>
      </c>
      <c r="H11" s="431">
        <f t="shared" si="7"/>
        <v>193.8149999999996</v>
      </c>
      <c r="I11" s="431">
        <f t="shared" si="7"/>
        <v>166.57299999999987</v>
      </c>
      <c r="J11" s="431">
        <f>J7-J9</f>
        <v>162.3739999999998</v>
      </c>
      <c r="K11" s="431">
        <f>K7-K9</f>
        <v>213.84099999999989</v>
      </c>
      <c r="L11" s="431" t="e">
        <f>L7-L9</f>
        <v>#REF!</v>
      </c>
      <c r="N11" s="549">
        <f>N7-N9</f>
        <v>148.56900000000041</v>
      </c>
      <c r="O11" s="550">
        <v>200</v>
      </c>
      <c r="P11" s="432">
        <f>J11/O11-1</f>
        <v>-0.18813000000000102</v>
      </c>
      <c r="AA11" s="331"/>
      <c r="AB11" s="597"/>
      <c r="AC11" s="597"/>
      <c r="AD11" s="601"/>
      <c r="AE11" s="597"/>
      <c r="AF11" s="601"/>
      <c r="AG11" s="431"/>
      <c r="AH11" s="601"/>
      <c r="AI11" s="209"/>
      <c r="AJ11" s="597"/>
      <c r="AK11" s="597"/>
      <c r="AL11" s="597"/>
      <c r="AM11" s="209"/>
      <c r="AN11" s="209"/>
      <c r="AO11" s="209"/>
      <c r="AP11" s="209"/>
      <c r="AY11" s="209"/>
      <c r="AZ11" s="209"/>
      <c r="BA11" s="209"/>
      <c r="BB11" s="209"/>
      <c r="BC11" s="209"/>
      <c r="BD11" s="209"/>
      <c r="BE11" s="209"/>
      <c r="BF11" s="209"/>
      <c r="BG11" s="209"/>
      <c r="BH11" s="209"/>
      <c r="BI11" s="209"/>
    </row>
    <row r="12" spans="2:61" ht="15.75">
      <c r="B12" s="314" t="s">
        <v>200</v>
      </c>
      <c r="C12" s="430">
        <f t="shared" ref="C12:I12" si="8">C11/C6</f>
        <v>0.31178209045266969</v>
      </c>
      <c r="D12" s="430">
        <f t="shared" si="8"/>
        <v>0.33327612777295251</v>
      </c>
      <c r="E12" s="430">
        <f t="shared" si="8"/>
        <v>0.31140856160125913</v>
      </c>
      <c r="F12" s="430">
        <f t="shared" si="8"/>
        <v>0.18096021258093437</v>
      </c>
      <c r="G12" s="430">
        <f t="shared" si="8"/>
        <v>0.28949640966755047</v>
      </c>
      <c r="H12" s="430">
        <f t="shared" si="8"/>
        <v>0.29537044939162588</v>
      </c>
      <c r="I12" s="430">
        <f t="shared" si="8"/>
        <v>0.28562634498486761</v>
      </c>
      <c r="J12" s="430">
        <f>J11/J6</f>
        <v>0.23670058849340134</v>
      </c>
      <c r="K12" s="430">
        <f>K11/K6</f>
        <v>0.32681909186776875</v>
      </c>
      <c r="L12" s="430" t="e">
        <f>L11/L6</f>
        <v>#REF!</v>
      </c>
      <c r="N12" s="555">
        <f>N11/N6</f>
        <v>0.24765462473995889</v>
      </c>
      <c r="O12" s="556">
        <f>O11/O6</f>
        <v>0.2824858757062147</v>
      </c>
      <c r="P12" s="430"/>
      <c r="AA12" s="314"/>
      <c r="AB12" s="430"/>
      <c r="AC12" s="430"/>
      <c r="AD12" s="599"/>
      <c r="AE12" s="430"/>
      <c r="AF12" s="599"/>
      <c r="AG12" s="430"/>
      <c r="AH12" s="599"/>
      <c r="AI12" s="209"/>
      <c r="AJ12" s="430"/>
      <c r="AK12" s="430"/>
      <c r="AL12" s="430"/>
      <c r="AM12" s="209"/>
      <c r="AN12" s="209"/>
      <c r="AO12" s="209"/>
      <c r="AP12" s="209"/>
      <c r="AY12" s="209"/>
      <c r="AZ12" s="209"/>
      <c r="BA12" s="209"/>
      <c r="BB12" s="209"/>
      <c r="BC12" s="209"/>
      <c r="BD12" s="209"/>
      <c r="BE12" s="209"/>
      <c r="BF12" s="209"/>
      <c r="BG12" s="209"/>
      <c r="BH12" s="209"/>
      <c r="BI12" s="209"/>
    </row>
    <row r="13" spans="2:61" ht="15.75">
      <c r="B13" s="312"/>
      <c r="C13" s="431"/>
      <c r="D13" s="431"/>
      <c r="E13" s="431"/>
      <c r="F13" s="431"/>
      <c r="G13" s="431"/>
      <c r="H13" s="431"/>
      <c r="I13" s="431"/>
      <c r="J13" s="431"/>
      <c r="K13" s="431"/>
      <c r="L13" s="431"/>
      <c r="N13" s="549"/>
      <c r="O13" s="550"/>
      <c r="P13" s="431"/>
      <c r="AA13" s="312"/>
      <c r="AB13" s="431"/>
      <c r="AC13" s="431"/>
      <c r="AD13" s="602"/>
      <c r="AE13" s="431"/>
      <c r="AF13" s="602"/>
      <c r="AG13" s="431"/>
      <c r="AH13" s="602"/>
      <c r="AI13" s="209"/>
      <c r="AJ13" s="433"/>
      <c r="AK13" s="433"/>
      <c r="AL13" s="433"/>
      <c r="AM13" s="209"/>
      <c r="AN13" s="209"/>
      <c r="AO13" s="209"/>
      <c r="AP13" s="209"/>
      <c r="AY13" s="209"/>
      <c r="AZ13" s="209"/>
      <c r="BA13" s="209"/>
      <c r="BB13" s="209"/>
      <c r="BC13" s="209"/>
      <c r="BD13" s="209"/>
      <c r="BE13" s="209"/>
      <c r="BF13" s="209"/>
      <c r="BG13" s="209"/>
      <c r="BH13" s="209"/>
      <c r="BI13" s="209"/>
    </row>
    <row r="14" spans="2:61" ht="15.75">
      <c r="B14" s="314" t="s">
        <v>542</v>
      </c>
      <c r="C14" s="428">
        <f>Quarts!BG179</f>
        <v>1788.7689999999998</v>
      </c>
      <c r="D14" s="428">
        <f>Quarts!BH179</f>
        <v>1720.8249999999998</v>
      </c>
      <c r="E14" s="428">
        <f>Quarts!BI179</f>
        <v>1574.1219999999998</v>
      </c>
      <c r="F14" s="428">
        <f>Quarts!BJ179</f>
        <v>1445.0849999999998</v>
      </c>
      <c r="G14" s="428">
        <f>Quarts!BK179</f>
        <v>1433.9940000000001</v>
      </c>
      <c r="H14" s="428">
        <f>Quarts!BL179</f>
        <v>1675.8729999999998</v>
      </c>
      <c r="I14" s="428">
        <f>Quarts!BM179</f>
        <v>1462.7429999999997</v>
      </c>
      <c r="J14" s="428">
        <f>Quarts!BN179</f>
        <v>1548.1699999999998</v>
      </c>
      <c r="K14" s="428">
        <f>Quarts!BO179</f>
        <v>1682.8679999999997</v>
      </c>
      <c r="L14" s="428" t="e">
        <f>Quarts!#REF!</f>
        <v>#REF!</v>
      </c>
      <c r="N14" s="551">
        <f>Quarts!FA179</f>
        <v>1380.7846572574733</v>
      </c>
      <c r="O14" s="552">
        <v>1662.2</v>
      </c>
      <c r="P14" s="428"/>
      <c r="AA14" s="314" t="s">
        <v>542</v>
      </c>
      <c r="AB14" s="428">
        <f t="shared" ref="AB14:AC20" si="9">K14</f>
        <v>1682.8679999999997</v>
      </c>
      <c r="AC14" s="428" t="e">
        <f t="shared" si="9"/>
        <v>#REF!</v>
      </c>
      <c r="AD14" s="599" t="e">
        <f t="shared" si="1"/>
        <v>#REF!</v>
      </c>
      <c r="AE14" s="428">
        <v>1687</v>
      </c>
      <c r="AF14" s="599">
        <f t="shared" si="5"/>
        <v>-2.4493183165383847E-3</v>
      </c>
      <c r="AG14" s="428">
        <f t="shared" ref="AG14:AG20" si="10">G14</f>
        <v>1433.9940000000001</v>
      </c>
      <c r="AH14" s="599">
        <f t="shared" si="2"/>
        <v>0.17355302741852441</v>
      </c>
      <c r="AI14" s="209"/>
      <c r="AJ14" s="430" t="e">
        <f t="shared" ref="AJ14:AJ20" si="11">AC14/AB14-1</f>
        <v>#REF!</v>
      </c>
      <c r="AK14" s="430">
        <f t="shared" ref="AK14:AK20" si="12">AE14/AB14-1</f>
        <v>2.4553322066853678E-3</v>
      </c>
      <c r="AL14" s="430" t="e">
        <f t="shared" ref="AL14:AL20" si="13">AC14/AE14-1</f>
        <v>#REF!</v>
      </c>
      <c r="AM14" s="209"/>
      <c r="AN14" s="209"/>
      <c r="AO14" s="209"/>
      <c r="AP14" s="209"/>
      <c r="AY14" s="209"/>
      <c r="AZ14" s="209"/>
      <c r="BA14" s="209"/>
      <c r="BB14" s="209"/>
      <c r="BC14" s="209"/>
      <c r="BD14" s="209"/>
      <c r="BE14" s="209"/>
      <c r="BF14" s="209"/>
      <c r="BG14" s="209"/>
      <c r="BH14" s="209"/>
      <c r="BI14" s="209"/>
    </row>
    <row r="15" spans="2:61" ht="15.75">
      <c r="B15" s="312" t="s">
        <v>544</v>
      </c>
      <c r="C15" s="431">
        <f>Quarts!BG182</f>
        <v>88.037999999999982</v>
      </c>
      <c r="D15" s="431">
        <f>Quarts!BH182</f>
        <v>129.08600000000001</v>
      </c>
      <c r="E15" s="431">
        <f>Quarts!BI182</f>
        <v>416.762</v>
      </c>
      <c r="F15" s="431">
        <f>Quarts!BJ182</f>
        <v>561.65</v>
      </c>
      <c r="G15" s="431">
        <f>Quarts!BK182</f>
        <v>239.06299999999999</v>
      </c>
      <c r="H15" s="431">
        <f>Quarts!BL182</f>
        <v>452.85700000000003</v>
      </c>
      <c r="I15" s="431">
        <f>Quarts!BM182</f>
        <v>653.94100000000003</v>
      </c>
      <c r="J15" s="431">
        <f>Quarts!BN182</f>
        <v>588.45899999999995</v>
      </c>
      <c r="K15" s="431">
        <f>Quarts!BO182</f>
        <v>538.78899999999999</v>
      </c>
      <c r="L15" s="431" t="e">
        <f>Quarts!#REF!</f>
        <v>#REF!</v>
      </c>
      <c r="N15" s="549">
        <f>Quarts!FA182</f>
        <v>558.60257845391732</v>
      </c>
      <c r="O15" s="550">
        <v>559.6</v>
      </c>
      <c r="P15" s="431"/>
      <c r="AA15" s="312" t="s">
        <v>544</v>
      </c>
      <c r="AB15" s="431">
        <f t="shared" si="9"/>
        <v>538.78899999999999</v>
      </c>
      <c r="AC15" s="431" t="e">
        <f t="shared" si="9"/>
        <v>#REF!</v>
      </c>
      <c r="AD15" s="602" t="e">
        <f t="shared" si="1"/>
        <v>#REF!</v>
      </c>
      <c r="AE15" s="431">
        <v>591.6</v>
      </c>
      <c r="AF15" s="602">
        <f t="shared" si="5"/>
        <v>-8.9268086544962877E-2</v>
      </c>
      <c r="AG15" s="431">
        <f t="shared" si="10"/>
        <v>239.06299999999999</v>
      </c>
      <c r="AH15" s="602">
        <f t="shared" si="2"/>
        <v>1.2537531947645602</v>
      </c>
      <c r="AI15" s="209"/>
      <c r="AJ15" s="433" t="e">
        <f t="shared" si="11"/>
        <v>#REF!</v>
      </c>
      <c r="AK15" s="433">
        <f t="shared" si="12"/>
        <v>9.8017962504802547E-2</v>
      </c>
      <c r="AL15" s="433" t="e">
        <f t="shared" si="13"/>
        <v>#REF!</v>
      </c>
      <c r="AM15" s="209"/>
      <c r="AN15" s="209"/>
      <c r="AO15" s="209"/>
      <c r="AP15" s="209"/>
      <c r="AY15" s="209"/>
      <c r="AZ15" s="209"/>
      <c r="BA15" s="209"/>
      <c r="BB15" s="209"/>
      <c r="BC15" s="209"/>
      <c r="BD15" s="209"/>
      <c r="BE15" s="209"/>
      <c r="BF15" s="209"/>
      <c r="BG15" s="209"/>
      <c r="BH15" s="209"/>
      <c r="BI15" s="209"/>
    </row>
    <row r="16" spans="2:61" ht="15.75">
      <c r="B16" s="314" t="s">
        <v>13</v>
      </c>
      <c r="C16" s="428">
        <f>Quarts!BG184</f>
        <v>1676.5669999999998</v>
      </c>
      <c r="D16" s="428">
        <f>Quarts!BH184</f>
        <v>1591.7599999999998</v>
      </c>
      <c r="E16" s="428">
        <f>Quarts!BI184</f>
        <v>1227.492</v>
      </c>
      <c r="F16" s="428">
        <f>Quarts!BJ184</f>
        <v>854.12099999999975</v>
      </c>
      <c r="G16" s="428">
        <f>Quarts!BK184</f>
        <v>1208.7270000000003</v>
      </c>
      <c r="H16" s="428">
        <f>Quarts!BL184</f>
        <v>1316.6659999999999</v>
      </c>
      <c r="I16" s="428">
        <f>Quarts!BM184</f>
        <v>828.19899999999961</v>
      </c>
      <c r="J16" s="428">
        <f>Quarts!BN184</f>
        <v>984.68899999999996</v>
      </c>
      <c r="K16" s="428">
        <f>Quarts!BO184</f>
        <v>1164.3169999999998</v>
      </c>
      <c r="L16" s="428" t="e">
        <f>Quarts!#REF!</f>
        <v>#REF!</v>
      </c>
      <c r="N16" s="551">
        <f>Quarts!FA184</f>
        <v>845.33907880355594</v>
      </c>
      <c r="O16" s="552">
        <v>1117.5</v>
      </c>
      <c r="P16" s="428"/>
      <c r="W16" s="603"/>
      <c r="AA16" s="314" t="s">
        <v>13</v>
      </c>
      <c r="AB16" s="428">
        <f t="shared" si="9"/>
        <v>1164.3169999999998</v>
      </c>
      <c r="AC16" s="428" t="e">
        <f t="shared" si="9"/>
        <v>#REF!</v>
      </c>
      <c r="AD16" s="599" t="e">
        <f t="shared" si="1"/>
        <v>#REF!</v>
      </c>
      <c r="AE16" s="428">
        <v>1112.8</v>
      </c>
      <c r="AF16" s="599">
        <f t="shared" si="5"/>
        <v>4.629493170381016E-2</v>
      </c>
      <c r="AG16" s="428">
        <f t="shared" si="10"/>
        <v>1208.7270000000003</v>
      </c>
      <c r="AH16" s="599">
        <f t="shared" si="2"/>
        <v>-3.674113344038854E-2</v>
      </c>
      <c r="AI16" s="209"/>
      <c r="AJ16" s="430" t="e">
        <f t="shared" si="11"/>
        <v>#REF!</v>
      </c>
      <c r="AK16" s="430">
        <f t="shared" si="12"/>
        <v>-4.424654110521431E-2</v>
      </c>
      <c r="AL16" s="430" t="e">
        <f t="shared" si="13"/>
        <v>#REF!</v>
      </c>
      <c r="AM16" s="209"/>
      <c r="AN16" s="209"/>
      <c r="AO16" s="209"/>
      <c r="AP16" s="209"/>
      <c r="AY16" s="209"/>
      <c r="AZ16" s="209"/>
      <c r="BA16" s="209"/>
      <c r="BB16" s="209"/>
      <c r="BC16" s="209"/>
      <c r="BD16" s="209"/>
      <c r="BE16" s="209"/>
      <c r="BF16" s="209"/>
      <c r="BG16" s="209"/>
      <c r="BH16" s="209"/>
      <c r="BI16" s="209"/>
    </row>
    <row r="17" spans="2:61" ht="15.75">
      <c r="B17" s="312" t="s">
        <v>539</v>
      </c>
      <c r="C17" s="431">
        <f>Quarts!BG186</f>
        <v>452.673</v>
      </c>
      <c r="D17" s="431">
        <f>Quarts!BH186</f>
        <v>515.87400000000002</v>
      </c>
      <c r="E17" s="431">
        <f>Quarts!BI186</f>
        <v>374.47199999999998</v>
      </c>
      <c r="F17" s="431">
        <f>Quarts!BJ186</f>
        <v>271.96199999999999</v>
      </c>
      <c r="G17" s="431">
        <f>Quarts!BK186</f>
        <v>362.61799999999999</v>
      </c>
      <c r="H17" s="431">
        <f>Quarts!BL186</f>
        <v>395</v>
      </c>
      <c r="I17" s="431">
        <f>Quarts!BM186</f>
        <v>248.46</v>
      </c>
      <c r="J17" s="431">
        <f>Quarts!BN186</f>
        <v>295.40699999999998</v>
      </c>
      <c r="K17" s="431">
        <f>Quarts!BO186</f>
        <v>349.29500000000002</v>
      </c>
      <c r="L17" s="431" t="e">
        <f>Quarts!#REF!</f>
        <v>#REF!</v>
      </c>
      <c r="N17" s="549">
        <f>Quarts!FA186</f>
        <v>249.09063442910195</v>
      </c>
      <c r="O17" s="550">
        <v>338.2</v>
      </c>
      <c r="P17" s="431"/>
      <c r="W17" s="604"/>
      <c r="AA17" s="312" t="s">
        <v>539</v>
      </c>
      <c r="AB17" s="431">
        <f t="shared" si="9"/>
        <v>349.29500000000002</v>
      </c>
      <c r="AC17" s="431" t="e">
        <f t="shared" si="9"/>
        <v>#REF!</v>
      </c>
      <c r="AD17" s="602" t="e">
        <f t="shared" si="1"/>
        <v>#REF!</v>
      </c>
      <c r="AE17" s="431">
        <v>333.8</v>
      </c>
      <c r="AF17" s="602">
        <f t="shared" si="5"/>
        <v>4.642001198322343E-2</v>
      </c>
      <c r="AG17" s="431">
        <f t="shared" si="10"/>
        <v>362.61799999999999</v>
      </c>
      <c r="AH17" s="602">
        <f t="shared" si="2"/>
        <v>-3.6741143572574964E-2</v>
      </c>
      <c r="AI17" s="209"/>
      <c r="AJ17" s="433" t="e">
        <f t="shared" si="11"/>
        <v>#REF!</v>
      </c>
      <c r="AK17" s="433">
        <f t="shared" si="12"/>
        <v>-4.4360783864641595E-2</v>
      </c>
      <c r="AL17" s="433" t="e">
        <f t="shared" si="13"/>
        <v>#REF!</v>
      </c>
      <c r="AM17" s="209"/>
      <c r="AN17" s="209"/>
      <c r="AO17" s="209"/>
      <c r="AP17" s="209"/>
      <c r="AY17" s="209"/>
      <c r="AZ17" s="209"/>
      <c r="BA17" s="209"/>
      <c r="BB17" s="209"/>
      <c r="BC17" s="209"/>
      <c r="BD17" s="209"/>
      <c r="BE17" s="209"/>
      <c r="BF17" s="209"/>
      <c r="BG17" s="209"/>
      <c r="BH17" s="209"/>
      <c r="BI17" s="209"/>
    </row>
    <row r="18" spans="2:61" ht="15.75">
      <c r="B18" s="314" t="s">
        <v>537</v>
      </c>
      <c r="C18" s="428">
        <f>Quarts!BG189</f>
        <v>-53.978000000000002</v>
      </c>
      <c r="D18" s="428">
        <f>Quarts!BH189</f>
        <v>-59.320999999999998</v>
      </c>
      <c r="E18" s="428">
        <f>Quarts!BI189</f>
        <v>-30.018000000000001</v>
      </c>
      <c r="F18" s="428">
        <f>Quarts!BJ189</f>
        <v>-25.094000000000001</v>
      </c>
      <c r="G18" s="428">
        <f>Quarts!BK189</f>
        <v>-49.494</v>
      </c>
      <c r="H18" s="428">
        <f>Quarts!BL189</f>
        <v>-53.862000000000002</v>
      </c>
      <c r="I18" s="428">
        <f>Quarts!BM189</f>
        <v>-48.415999999999997</v>
      </c>
      <c r="J18" s="428">
        <f>Quarts!BN189</f>
        <v>-41.360999999999997</v>
      </c>
      <c r="K18" s="428">
        <f>Quarts!BO189</f>
        <v>-13.743</v>
      </c>
      <c r="L18" s="428" t="e">
        <f>Quarts!#REF!</f>
        <v>#REF!</v>
      </c>
      <c r="N18" s="551">
        <f>Quarts!FA189</f>
        <v>-52.722000000000001</v>
      </c>
      <c r="O18" s="552">
        <v>-39.5</v>
      </c>
      <c r="P18" s="428"/>
      <c r="AA18" s="314" t="s">
        <v>537</v>
      </c>
      <c r="AB18" s="428">
        <f t="shared" si="9"/>
        <v>-13.743</v>
      </c>
      <c r="AC18" s="428" t="e">
        <f t="shared" si="9"/>
        <v>#REF!</v>
      </c>
      <c r="AD18" s="599" t="e">
        <f t="shared" si="1"/>
        <v>#REF!</v>
      </c>
      <c r="AE18" s="428">
        <v>-40.4</v>
      </c>
      <c r="AF18" s="599">
        <f t="shared" si="5"/>
        <v>-0.6598267326732673</v>
      </c>
      <c r="AG18" s="428">
        <f t="shared" si="10"/>
        <v>-49.494</v>
      </c>
      <c r="AH18" s="599">
        <f t="shared" si="2"/>
        <v>-0.72232997939144139</v>
      </c>
      <c r="AI18" s="209"/>
      <c r="AJ18" s="430" t="e">
        <f t="shared" si="11"/>
        <v>#REF!</v>
      </c>
      <c r="AK18" s="430">
        <f t="shared" si="12"/>
        <v>1.9396783817216035</v>
      </c>
      <c r="AL18" s="430" t="e">
        <f t="shared" si="13"/>
        <v>#REF!</v>
      </c>
      <c r="AM18" s="209"/>
      <c r="AN18" s="209"/>
      <c r="AO18" s="209"/>
      <c r="AP18" s="209"/>
      <c r="AY18" s="209"/>
      <c r="AZ18" s="209"/>
      <c r="BA18" s="209"/>
      <c r="BB18" s="209"/>
      <c r="BC18" s="209"/>
      <c r="BD18" s="209"/>
      <c r="BE18" s="209"/>
      <c r="BF18" s="209"/>
      <c r="BG18" s="209"/>
      <c r="BH18" s="209"/>
      <c r="BI18" s="209"/>
    </row>
    <row r="19" spans="2:61" ht="15.75">
      <c r="B19" s="312" t="s">
        <v>17</v>
      </c>
      <c r="C19" s="431">
        <f>Quarts!BG190</f>
        <v>1169.9159999999997</v>
      </c>
      <c r="D19" s="431">
        <f>Quarts!BH190</f>
        <v>1016.5649999999997</v>
      </c>
      <c r="E19" s="431">
        <f>Quarts!BI190</f>
        <v>823.00199999999995</v>
      </c>
      <c r="F19" s="431">
        <f>Quarts!BJ190</f>
        <v>557.06499999999971</v>
      </c>
      <c r="G19" s="431">
        <f>Quarts!BK190</f>
        <v>796.61500000000035</v>
      </c>
      <c r="H19" s="431">
        <f>Quarts!BL190</f>
        <v>867.80399999999997</v>
      </c>
      <c r="I19" s="431">
        <f>Quarts!BM190</f>
        <v>531.32299999999964</v>
      </c>
      <c r="J19" s="431">
        <f>Quarts!BN190</f>
        <v>647.92099999999994</v>
      </c>
      <c r="K19" s="431">
        <f ca="1">Quarts!BO190</f>
        <v>612.73088053094534</v>
      </c>
      <c r="L19" s="431" t="e">
        <f>Quarts!#REF!</f>
        <v>#REF!</v>
      </c>
      <c r="N19" s="549">
        <f>Quarts!FA190</f>
        <v>543.52644437445406</v>
      </c>
      <c r="O19" s="550">
        <v>739.7</v>
      </c>
      <c r="P19" s="432">
        <f>I19/O19-1</f>
        <v>-0.28170474516696009</v>
      </c>
      <c r="AA19" s="312" t="s">
        <v>17</v>
      </c>
      <c r="AB19" s="431">
        <f t="shared" ca="1" si="9"/>
        <v>612.73088053094534</v>
      </c>
      <c r="AC19" s="431" t="e">
        <f t="shared" si="9"/>
        <v>#REF!</v>
      </c>
      <c r="AD19" s="602" t="e">
        <f t="shared" ca="1" si="1"/>
        <v>#REF!</v>
      </c>
      <c r="AE19" s="431">
        <v>738.6</v>
      </c>
      <c r="AF19" s="602">
        <f t="shared" ca="1" si="5"/>
        <v>-0.170415812982744</v>
      </c>
      <c r="AG19" s="431">
        <f t="shared" si="10"/>
        <v>796.61500000000035</v>
      </c>
      <c r="AH19" s="602">
        <f t="shared" ca="1" si="2"/>
        <v>-0.23083185662968297</v>
      </c>
      <c r="AI19" s="209"/>
      <c r="AJ19" s="433" t="e">
        <f t="shared" ca="1" si="11"/>
        <v>#REF!</v>
      </c>
      <c r="AK19" s="433">
        <f t="shared" ca="1" si="12"/>
        <v>0.20542316940185268</v>
      </c>
      <c r="AL19" s="433" t="e">
        <f t="shared" si="13"/>
        <v>#REF!</v>
      </c>
      <c r="AM19" s="209"/>
      <c r="AN19" s="209"/>
      <c r="AO19" s="209"/>
      <c r="AP19" s="209"/>
      <c r="AY19" s="209"/>
      <c r="AZ19" s="209"/>
      <c r="BA19" s="209"/>
      <c r="BB19" s="209"/>
      <c r="BC19" s="209"/>
      <c r="BD19" s="209"/>
      <c r="BE19" s="209"/>
      <c r="BF19" s="209"/>
      <c r="BG19" s="209"/>
      <c r="BH19" s="209"/>
      <c r="BI19" s="209"/>
    </row>
    <row r="20" spans="2:61" ht="15.75">
      <c r="B20" s="329" t="s">
        <v>22</v>
      </c>
      <c r="C20" s="434">
        <f>Quarts!BG147</f>
        <v>2340</v>
      </c>
      <c r="D20" s="434">
        <f>Quarts!BH147</f>
        <v>2796</v>
      </c>
      <c r="E20" s="434">
        <f>Quarts!BI147</f>
        <v>2744.5770000000002</v>
      </c>
      <c r="F20" s="434">
        <f>Quarts!BJ147</f>
        <v>3955</v>
      </c>
      <c r="G20" s="434">
        <f>Quarts!BK147</f>
        <v>2235</v>
      </c>
      <c r="H20" s="434">
        <f>Quarts!BL147</f>
        <v>2930</v>
      </c>
      <c r="I20" s="434">
        <f>Quarts!BM147</f>
        <v>3794</v>
      </c>
      <c r="J20" s="434">
        <f>Quarts!BN147</f>
        <v>3990</v>
      </c>
      <c r="K20" s="434">
        <f>Quarts!BO147</f>
        <v>2354</v>
      </c>
      <c r="L20" s="434" t="e">
        <f>Quarts!#REF!</f>
        <v>#REF!</v>
      </c>
      <c r="N20" s="557">
        <f>Quarts!FA147</f>
        <v>3718.6496038687419</v>
      </c>
      <c r="O20" s="558">
        <v>3067</v>
      </c>
      <c r="P20" s="434"/>
      <c r="AA20" s="329" t="s">
        <v>22</v>
      </c>
      <c r="AB20" s="434">
        <f t="shared" si="9"/>
        <v>2354</v>
      </c>
      <c r="AC20" s="434" t="e">
        <f t="shared" si="9"/>
        <v>#REF!</v>
      </c>
      <c r="AD20" s="600" t="e">
        <f t="shared" si="1"/>
        <v>#REF!</v>
      </c>
      <c r="AE20" s="434">
        <v>2529.6</v>
      </c>
      <c r="AF20" s="600">
        <f t="shared" si="5"/>
        <v>-6.9418089816571715E-2</v>
      </c>
      <c r="AG20" s="434">
        <f t="shared" si="10"/>
        <v>2235</v>
      </c>
      <c r="AH20" s="600">
        <f t="shared" si="2"/>
        <v>5.3243847874720363E-2</v>
      </c>
      <c r="AI20" s="209"/>
      <c r="AJ20" s="435" t="e">
        <f t="shared" si="11"/>
        <v>#REF!</v>
      </c>
      <c r="AK20" s="435">
        <f t="shared" si="12"/>
        <v>7.4596431605777447E-2</v>
      </c>
      <c r="AL20" s="435" t="e">
        <f t="shared" si="13"/>
        <v>#REF!</v>
      </c>
      <c r="AM20" s="209"/>
      <c r="AN20" s="209"/>
      <c r="AO20" s="209"/>
      <c r="AP20" s="209"/>
      <c r="AY20" s="209"/>
      <c r="AZ20" s="209"/>
      <c r="BA20" s="209"/>
      <c r="BB20" s="209"/>
      <c r="BC20" s="209"/>
      <c r="BD20" s="209"/>
      <c r="BE20" s="209"/>
      <c r="BF20" s="209"/>
      <c r="BG20" s="209"/>
      <c r="BH20" s="209"/>
      <c r="BI20" s="209"/>
    </row>
    <row r="21" spans="2:61" ht="15.75">
      <c r="B21" s="312"/>
      <c r="C21" s="312"/>
      <c r="D21" s="312"/>
      <c r="E21" s="312"/>
      <c r="F21" s="312"/>
      <c r="G21" s="312"/>
      <c r="H21" s="312"/>
      <c r="I21" s="312"/>
      <c r="J21" s="312"/>
      <c r="K21" s="312"/>
      <c r="L21" s="312"/>
      <c r="N21" s="559"/>
      <c r="O21" s="560"/>
      <c r="P21" s="312"/>
      <c r="U21" s="208"/>
      <c r="V21" s="208"/>
      <c r="W21" s="209"/>
      <c r="X21" s="208"/>
      <c r="Y21" s="209"/>
      <c r="AB21" s="209"/>
      <c r="AC21" s="209"/>
      <c r="AD21" s="209"/>
      <c r="AE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row>
    <row r="22" spans="2:61" ht="15.75">
      <c r="B22" s="561" t="s">
        <v>546</v>
      </c>
      <c r="C22" s="314"/>
      <c r="D22" s="314"/>
      <c r="E22" s="314"/>
      <c r="F22" s="314"/>
      <c r="G22" s="314"/>
      <c r="H22" s="314"/>
      <c r="I22" s="314"/>
      <c r="J22" s="314"/>
      <c r="K22" s="314"/>
      <c r="L22" s="314"/>
      <c r="N22" s="562"/>
      <c r="O22" s="563"/>
      <c r="P22" s="314"/>
      <c r="U22" s="208"/>
      <c r="V22" s="208"/>
      <c r="W22" s="209"/>
      <c r="X22" s="208"/>
      <c r="Y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row>
    <row r="23" spans="2:61" ht="15.75">
      <c r="B23" s="312" t="s">
        <v>231</v>
      </c>
      <c r="C23" s="330">
        <f>Quarts!BG12</f>
        <v>2.1779999999998836</v>
      </c>
      <c r="D23" s="330">
        <f>Quarts!BH12</f>
        <v>1.4800000000000182</v>
      </c>
      <c r="E23" s="330">
        <f>Quarts!BI12</f>
        <v>48.710000000000036</v>
      </c>
      <c r="F23" s="330">
        <f>Quarts!BJ12</f>
        <v>83.42699999999968</v>
      </c>
      <c r="G23" s="330">
        <f>Quarts!BK12</f>
        <v>86.297000000000025</v>
      </c>
      <c r="H23" s="330">
        <f>Quarts!BL12</f>
        <v>83.932000000000244</v>
      </c>
      <c r="I23" s="330">
        <f>Quarts!BM12</f>
        <v>43.041999999999916</v>
      </c>
      <c r="J23" s="330">
        <f>Quarts!BN12</f>
        <v>25.204000000000178</v>
      </c>
      <c r="K23" s="330">
        <f>Quarts!BO12</f>
        <v>14.848999999999705</v>
      </c>
      <c r="L23" s="330" t="e">
        <f>Quarts!#REF!</f>
        <v>#REF!</v>
      </c>
      <c r="N23" s="564">
        <f>Quarts!FA12</f>
        <v>51.728999999999814</v>
      </c>
      <c r="O23" s="560"/>
      <c r="P23" s="312"/>
      <c r="U23" s="208"/>
      <c r="V23" s="208"/>
      <c r="W23" s="209"/>
      <c r="X23" s="208"/>
      <c r="Y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row>
    <row r="24" spans="2:61" ht="15.75">
      <c r="B24" s="314" t="s">
        <v>754</v>
      </c>
      <c r="C24" s="565">
        <f>Quarts!BG19</f>
        <v>59.403999999999996</v>
      </c>
      <c r="D24" s="565">
        <f>Quarts!BH19</f>
        <v>19.177999999999884</v>
      </c>
      <c r="E24" s="565">
        <f>Quarts!BI19</f>
        <v>100.65700000000015</v>
      </c>
      <c r="F24" s="565">
        <f>Quarts!BJ19</f>
        <v>124.72799999999961</v>
      </c>
      <c r="G24" s="565">
        <f>Quarts!BK19</f>
        <v>147.30500000000029</v>
      </c>
      <c r="H24" s="565">
        <f>Quarts!BL19</f>
        <v>163.3119999999999</v>
      </c>
      <c r="I24" s="565">
        <f>Quarts!BM19</f>
        <v>117.12700000000041</v>
      </c>
      <c r="J24" s="565">
        <f>Quarts!BN19</f>
        <v>155.94799999999941</v>
      </c>
      <c r="K24" s="565">
        <f>Quarts!BO19</f>
        <v>151.32999999999993</v>
      </c>
      <c r="L24" s="565" t="e">
        <f>Quarts!#REF!</f>
        <v>#REF!</v>
      </c>
      <c r="N24" s="566">
        <f>Quarts!FA19</f>
        <v>132.2559999999994</v>
      </c>
      <c r="O24" s="563"/>
      <c r="P24" s="314"/>
      <c r="U24" s="208"/>
      <c r="V24" s="208"/>
      <c r="W24" s="209"/>
      <c r="X24" s="208"/>
      <c r="Y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row>
    <row r="25" spans="2:61" ht="15.75">
      <c r="B25" s="567" t="s">
        <v>547</v>
      </c>
      <c r="C25" s="330"/>
      <c r="D25" s="330"/>
      <c r="E25" s="330"/>
      <c r="F25" s="330"/>
      <c r="G25" s="330"/>
      <c r="H25" s="330"/>
      <c r="I25" s="330"/>
      <c r="J25" s="330"/>
      <c r="K25" s="330"/>
      <c r="L25" s="330"/>
      <c r="N25" s="564"/>
      <c r="O25" s="560"/>
      <c r="P25" s="312"/>
      <c r="U25" s="208"/>
      <c r="V25" s="208"/>
      <c r="W25" s="209"/>
      <c r="X25" s="208"/>
      <c r="Y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row>
    <row r="26" spans="2:61" ht="15.75">
      <c r="B26" s="314" t="s">
        <v>231</v>
      </c>
      <c r="C26" s="565">
        <f>Quarts!BG40</f>
        <v>229</v>
      </c>
      <c r="D26" s="565">
        <f>Quarts!BH40</f>
        <v>230.7</v>
      </c>
      <c r="E26" s="565">
        <f>Quarts!BI40</f>
        <v>229.3</v>
      </c>
      <c r="F26" s="565">
        <f>Quarts!BJ40</f>
        <v>232.8</v>
      </c>
      <c r="G26" s="565">
        <f>Quarts!BK40</f>
        <v>233.9</v>
      </c>
      <c r="H26" s="565">
        <f>Quarts!BL40</f>
        <v>232.7</v>
      </c>
      <c r="I26" s="565">
        <f>Quarts!BM40</f>
        <v>232.4</v>
      </c>
      <c r="J26" s="565">
        <f>Quarts!BN40</f>
        <v>240.7</v>
      </c>
      <c r="K26" s="565">
        <f>Quarts!BO40</f>
        <v>238.5</v>
      </c>
      <c r="L26" s="565" t="e">
        <f>Quarts!#REF!</f>
        <v>#REF!</v>
      </c>
      <c r="N26" s="566">
        <f>Quarts!FA40</f>
        <v>234.22639747858452</v>
      </c>
      <c r="O26" s="563"/>
      <c r="P26" s="314"/>
      <c r="R26" s="211"/>
      <c r="S26" s="209"/>
    </row>
    <row r="27" spans="2:61" ht="16.5" thickBot="1">
      <c r="B27" s="315" t="s">
        <v>1121</v>
      </c>
      <c r="C27" s="568">
        <f>Quarts!BG41</f>
        <v>188.4</v>
      </c>
      <c r="D27" s="568">
        <f>Quarts!BH41</f>
        <v>194</v>
      </c>
      <c r="E27" s="568">
        <f>Quarts!BI41</f>
        <v>187.8</v>
      </c>
      <c r="F27" s="568">
        <f>Quarts!BJ41</f>
        <v>188.2</v>
      </c>
      <c r="G27" s="568">
        <f>Quarts!BK41</f>
        <v>189.3</v>
      </c>
      <c r="H27" s="568">
        <f>Quarts!BL41</f>
        <v>192.3</v>
      </c>
      <c r="I27" s="568">
        <f>Quarts!BM41</f>
        <v>193.4</v>
      </c>
      <c r="J27" s="568">
        <f>Quarts!BN41</f>
        <v>197.6</v>
      </c>
      <c r="K27" s="568">
        <f>Quarts!BO41</f>
        <v>198.7</v>
      </c>
      <c r="L27" s="568" t="e">
        <f>Quarts!#REF!</f>
        <v>#REF!</v>
      </c>
      <c r="N27" s="569">
        <f>Quarts!FA41</f>
        <v>194.75301311310156</v>
      </c>
      <c r="O27" s="570"/>
      <c r="P27" s="315"/>
      <c r="R27" s="211"/>
      <c r="S27" s="209"/>
    </row>
    <row r="28" spans="2:61">
      <c r="B28" s="202"/>
      <c r="R28" s="211"/>
      <c r="S28" s="209"/>
    </row>
    <row r="29" spans="2:61">
      <c r="B29" s="210" t="s">
        <v>1731</v>
      </c>
      <c r="C29" s="212" t="str">
        <f>Quarts!CV4</f>
        <v>Q1 19</v>
      </c>
      <c r="D29" s="212" t="str">
        <f>Quarts!CW4</f>
        <v>Q2 19</v>
      </c>
      <c r="E29" s="212" t="str">
        <f>Quarts!CX4</f>
        <v>Q3 19</v>
      </c>
      <c r="F29" s="212" t="str">
        <f>Quarts!CY4</f>
        <v>Q4 19</v>
      </c>
      <c r="G29" s="212" t="str">
        <f>Quarts!CZ4</f>
        <v>Q1 20</v>
      </c>
      <c r="H29" s="212" t="str">
        <f>Quarts!DA4</f>
        <v>Q2 20</v>
      </c>
      <c r="I29" s="212" t="str">
        <f>Quarts!DB4</f>
        <v>Q3 20</v>
      </c>
      <c r="J29" s="212" t="str">
        <f>Quarts!DC4</f>
        <v>Q4 20</v>
      </c>
      <c r="K29" s="212" t="str">
        <f>Quarts!DD4</f>
        <v>Q1 21</v>
      </c>
      <c r="L29" s="212" t="str">
        <f>Quarts!DE4</f>
        <v>Q2 21</v>
      </c>
      <c r="M29" s="212" t="str">
        <f>Quarts!DF4</f>
        <v>Q3 21</v>
      </c>
      <c r="N29" s="212" t="str">
        <f>Quarts!DG4</f>
        <v>Q4 21</v>
      </c>
      <c r="O29" s="212" t="str">
        <f>Quarts!DH4</f>
        <v>Q1 22</v>
      </c>
      <c r="P29" s="212" t="str">
        <f>Quarts!DI4</f>
        <v>Q2 22</v>
      </c>
      <c r="Q29" s="212" t="str">
        <f>Quarts!DJ4</f>
        <v>Q3 22</v>
      </c>
      <c r="R29" s="212" t="str">
        <f>Quarts!DK4</f>
        <v>Q4 22</v>
      </c>
      <c r="S29" s="212" t="str">
        <f>Quarts!DL4</f>
        <v>Q1 23</v>
      </c>
      <c r="T29" s="212" t="str">
        <f>Quarts!DM4</f>
        <v>Q2 23</v>
      </c>
      <c r="U29" s="212" t="str">
        <f>Quarts!DN4</f>
        <v>Q3 23</v>
      </c>
      <c r="V29" s="212" t="str">
        <f>Quarts!DO4</f>
        <v>Q4 23</v>
      </c>
      <c r="W29" s="212" t="str">
        <f>Quarts!DP4</f>
        <v>Q1 24</v>
      </c>
      <c r="AL29" s="213"/>
    </row>
    <row r="30" spans="2:61">
      <c r="B30" s="202" t="str">
        <f>Quarts!B52</f>
        <v>Video</v>
      </c>
      <c r="C30" s="214">
        <f>Quarts!CV52</f>
        <v>0.10121463290468902</v>
      </c>
      <c r="D30" s="214">
        <f>Quarts!CW52</f>
        <v>0.11936874139816256</v>
      </c>
      <c r="E30" s="214">
        <f>Quarts!CX52</f>
        <v>0.10050480615971358</v>
      </c>
      <c r="F30" s="214">
        <f>Quarts!CY52</f>
        <v>9.1636257879438743E-2</v>
      </c>
      <c r="G30" s="214">
        <f>Quarts!CZ52</f>
        <v>6.7547796293370155E-2</v>
      </c>
      <c r="H30" s="214">
        <f>Quarts!DA52</f>
        <v>1.6909721287870383E-2</v>
      </c>
      <c r="I30" s="214">
        <f>Quarts!DB52</f>
        <v>2.5048897777005141E-2</v>
      </c>
      <c r="J30" s="214">
        <f>Quarts!DC52</f>
        <v>1.6341089986141366E-2</v>
      </c>
      <c r="K30" s="214">
        <f>Quarts!DD52</f>
        <v>2.1514025582938245E-3</v>
      </c>
      <c r="L30" s="214">
        <f>Quarts!DE52</f>
        <v>2.7408497154435718E-2</v>
      </c>
      <c r="M30" s="214">
        <f>Quarts!DF52</f>
        <v>1.8036152392816973E-2</v>
      </c>
      <c r="N30" s="214">
        <f>Quarts!DG52</f>
        <v>5.3894562254654499E-2</v>
      </c>
      <c r="O30" s="214">
        <f>Quarts!DH52</f>
        <v>3.6268570385733501E-2</v>
      </c>
      <c r="P30" s="214">
        <f>Quarts!DI52</f>
        <v>4.8643730827354403E-2</v>
      </c>
      <c r="Q30" s="214">
        <f>Quarts!DJ52</f>
        <v>4.7829089471333353E-2</v>
      </c>
      <c r="R30" s="214">
        <f>Quarts!DK52</f>
        <v>3.4905405240624354E-2</v>
      </c>
      <c r="S30" s="214">
        <f>Quarts!DL52</f>
        <v>7.2700624448368334E-2</v>
      </c>
      <c r="T30" s="214">
        <f>Quarts!DM52</f>
        <v>8.3019640661369909E-2</v>
      </c>
      <c r="U30" s="214">
        <f>Quarts!DN52</f>
        <v>9.8607889166678619E-2</v>
      </c>
      <c r="V30" s="214">
        <f>Quarts!DO52</f>
        <v>0.11006967461008554</v>
      </c>
      <c r="W30" s="214">
        <f>Quarts!DP52</f>
        <v>7.5259843666011905E-2</v>
      </c>
    </row>
    <row r="31" spans="2:61">
      <c r="B31" s="202" t="str">
        <f>Quarts!B53</f>
        <v>Internet</v>
      </c>
      <c r="C31" s="214">
        <f>Quarts!CV53</f>
        <v>0.10039157377189012</v>
      </c>
      <c r="D31" s="214">
        <f>Quarts!CW53</f>
        <v>9.6909268096738055E-2</v>
      </c>
      <c r="E31" s="214">
        <f>Quarts!CX53</f>
        <v>8.8751768397329789E-2</v>
      </c>
      <c r="F31" s="214">
        <f>Quarts!CY53</f>
        <v>8.5343079421891233E-2</v>
      </c>
      <c r="G31" s="214">
        <f>Quarts!CZ53</f>
        <v>8.3463070725136257E-2</v>
      </c>
      <c r="H31" s="214">
        <f>Quarts!DA53</f>
        <v>6.2126002196344121E-2</v>
      </c>
      <c r="I31" s="214">
        <f>Quarts!DB53</f>
        <v>8.5478677991341678E-2</v>
      </c>
      <c r="J31" s="214">
        <f>Quarts!DC53</f>
        <v>0.10713325258318496</v>
      </c>
      <c r="K31" s="214">
        <f>Quarts!DD53</f>
        <v>0.13282540593314152</v>
      </c>
      <c r="L31" s="214">
        <f>Quarts!DE53</f>
        <v>0.16700440086968271</v>
      </c>
      <c r="M31" s="214">
        <f>Quarts!DF53</f>
        <v>0.14293787757847731</v>
      </c>
      <c r="N31" s="214">
        <f>Quarts!DG53</f>
        <v>0.12876813957488809</v>
      </c>
      <c r="O31" s="214">
        <f>Quarts!DH53</f>
        <v>0.10534108301937084</v>
      </c>
      <c r="P31" s="214">
        <f>Quarts!DI53</f>
        <v>0.11886839823434037</v>
      </c>
      <c r="Q31" s="214">
        <f>Quarts!DJ53</f>
        <v>8.3020919827339279E-2</v>
      </c>
      <c r="R31" s="214">
        <f>Quarts!DK53</f>
        <v>7.7800374569915842E-2</v>
      </c>
      <c r="S31" s="214">
        <f>Quarts!DL53</f>
        <v>9.5257445536249152E-2</v>
      </c>
      <c r="T31" s="214">
        <f>Quarts!DM53</f>
        <v>0.10906520015791021</v>
      </c>
      <c r="U31" s="214">
        <f>Quarts!DN53</f>
        <v>0.17125054115765881</v>
      </c>
      <c r="V31" s="214">
        <f>Quarts!DO53</f>
        <v>0.19629860111644937</v>
      </c>
      <c r="W31" s="214">
        <f>Quarts!DP53</f>
        <v>0.19563473410171239</v>
      </c>
    </row>
    <row r="32" spans="2:61">
      <c r="B32" s="210" t="str">
        <f>Quarts!B54</f>
        <v>Voice</v>
      </c>
      <c r="C32" s="215">
        <f>Quarts!CV54</f>
        <v>-4.5594728095510129E-2</v>
      </c>
      <c r="D32" s="215">
        <f>Quarts!CW54</f>
        <v>-3.4479941566645023E-2</v>
      </c>
      <c r="E32" s="215">
        <f>Quarts!CX54</f>
        <v>-5.5875725164312717E-2</v>
      </c>
      <c r="F32" s="215">
        <f>Quarts!CY54</f>
        <v>-1.2080778805402925E-2</v>
      </c>
      <c r="G32" s="215">
        <f>Quarts!CZ54</f>
        <v>0.18858184986528959</v>
      </c>
      <c r="H32" s="215">
        <f>Quarts!DA54</f>
        <v>9.9768401358484526E-2</v>
      </c>
      <c r="I32" s="215">
        <f>Quarts!DB54</f>
        <v>0.14316257588773684</v>
      </c>
      <c r="J32" s="215">
        <f>Quarts!DC54</f>
        <v>0.16464587044458412</v>
      </c>
      <c r="K32" s="215">
        <f>Quarts!DD54</f>
        <v>0.24390809140824588</v>
      </c>
      <c r="L32" s="215">
        <f>Quarts!DE54</f>
        <v>0.3224345531904933</v>
      </c>
      <c r="M32" s="215">
        <f>Quarts!DF54</f>
        <v>0.27758968985743326</v>
      </c>
      <c r="N32" s="215">
        <f>Quarts!DG54</f>
        <v>0.26015393392927311</v>
      </c>
      <c r="O32" s="215">
        <f>Quarts!DH54</f>
        <v>0.18993549119591124</v>
      </c>
      <c r="P32" s="215">
        <f>Quarts!DI54</f>
        <v>9.8724309008630051E-2</v>
      </c>
      <c r="Q32" s="215">
        <f>Quarts!DJ54</f>
        <v>-2.0757460937546379E-2</v>
      </c>
      <c r="R32" s="215">
        <f>Quarts!DK54</f>
        <v>-4.2261489980296219E-2</v>
      </c>
      <c r="S32" s="215">
        <f>Quarts!DL54</f>
        <v>-5.0049355136911777E-2</v>
      </c>
      <c r="T32" s="215">
        <f>Quarts!DM54</f>
        <v>1.3848509119047225E-2</v>
      </c>
      <c r="U32" s="215">
        <f>Quarts!DN54</f>
        <v>0.10702415678133859</v>
      </c>
      <c r="V32" s="215">
        <f>Quarts!DO54</f>
        <v>9.8131577488858479E-2</v>
      </c>
      <c r="W32" s="215">
        <f>Quarts!DP54</f>
        <v>0.11128995405153974</v>
      </c>
    </row>
    <row r="33" spans="2:38">
      <c r="B33" s="202" t="s">
        <v>1371</v>
      </c>
      <c r="C33" s="214">
        <f>Quarts!CV103</f>
        <v>9.2518063498788106E-2</v>
      </c>
      <c r="D33" s="214">
        <f>Quarts!CW103</f>
        <v>0.11523843993953453</v>
      </c>
      <c r="E33" s="214">
        <f>Quarts!CX103</f>
        <v>9.4150262390909623E-2</v>
      </c>
      <c r="F33" s="214">
        <f>Quarts!CY103</f>
        <v>7.4444788946657736E-2</v>
      </c>
      <c r="G33" s="214">
        <f>Quarts!CZ103</f>
        <v>7.9387117621714909E-2</v>
      </c>
      <c r="H33" s="214">
        <f>Quarts!DA103</f>
        <v>1.350615526185317E-2</v>
      </c>
      <c r="I33" s="214">
        <f>Quarts!DB103</f>
        <v>6.7481874999999913E-2</v>
      </c>
      <c r="J33" s="214">
        <f>Quarts!DC103</f>
        <v>8.5060236050259919E-2</v>
      </c>
      <c r="K33" s="214">
        <f>Quarts!DD103</f>
        <v>8.9488805042994501E-2</v>
      </c>
      <c r="L33" s="214">
        <f>Quarts!DE103</f>
        <v>0.11933043688411837</v>
      </c>
      <c r="M33" s="214">
        <f>Quarts!DF103</f>
        <v>9.7694672021168438E-2</v>
      </c>
      <c r="N33" s="214">
        <f>Quarts!DG103</f>
        <v>0.12241253664376783</v>
      </c>
      <c r="O33" s="214">
        <f>Quarts!DH103</f>
        <v>0.10316272509113578</v>
      </c>
      <c r="P33" s="214">
        <f>Quarts!DI103</f>
        <v>0.10106764069264051</v>
      </c>
      <c r="Q33" s="214">
        <f>Quarts!DJ103</f>
        <v>9.0518041451565612E-2</v>
      </c>
      <c r="R33" s="214">
        <f>Quarts!DK103</f>
        <v>6.6835881134052588E-2</v>
      </c>
      <c r="S33" s="214">
        <f>Quarts!DL103</f>
        <v>8.2097888511479811E-2</v>
      </c>
      <c r="T33" s="214">
        <f>Quarts!DM103</f>
        <v>0.10045330199814262</v>
      </c>
      <c r="U33" s="214">
        <f>Quarts!DN103</f>
        <v>0.12617952559748669</v>
      </c>
      <c r="V33" s="214">
        <f>Quarts!DO103</f>
        <v>0.1363249841471148</v>
      </c>
      <c r="W33" s="214">
        <f>Quarts!DP103</f>
        <v>0.12489002836358964</v>
      </c>
    </row>
    <row r="34" spans="2:38">
      <c r="B34" s="202"/>
    </row>
    <row r="35" spans="2:38" hidden="1" outlineLevel="1">
      <c r="B35" s="210" t="s">
        <v>545</v>
      </c>
    </row>
    <row r="36" spans="2:38" hidden="1" outlineLevel="1">
      <c r="B36" s="216" t="s">
        <v>188</v>
      </c>
    </row>
    <row r="37" spans="2:38" hidden="1" outlineLevel="1"/>
    <row r="38" spans="2:38" hidden="1" outlineLevel="1">
      <c r="B38" s="202"/>
      <c r="C38" s="217"/>
      <c r="D38" s="217"/>
      <c r="E38" s="217"/>
      <c r="F38" s="217"/>
      <c r="G38" s="217"/>
      <c r="H38" s="217"/>
      <c r="I38" s="217"/>
      <c r="J38" s="217"/>
      <c r="K38" s="217"/>
      <c r="L38" s="217"/>
      <c r="M38" s="217"/>
      <c r="N38" s="217"/>
      <c r="O38" s="217"/>
      <c r="P38" s="217"/>
      <c r="Q38" s="217"/>
      <c r="R38" s="217"/>
      <c r="S38" s="217"/>
      <c r="T38" s="217"/>
      <c r="U38" s="217"/>
      <c r="V38" s="217"/>
      <c r="W38" s="217"/>
      <c r="AL38" s="217"/>
    </row>
    <row r="39" spans="2:38" hidden="1" outlineLevel="1">
      <c r="B39" s="210" t="s">
        <v>560</v>
      </c>
      <c r="C39" s="217"/>
      <c r="D39" s="217"/>
      <c r="E39" s="217"/>
      <c r="F39" s="217"/>
      <c r="G39" s="217"/>
      <c r="H39" s="217"/>
      <c r="I39" s="217"/>
      <c r="J39" s="217"/>
      <c r="K39" s="217"/>
      <c r="L39" s="217"/>
      <c r="M39" s="217"/>
      <c r="N39" s="217"/>
      <c r="O39" s="217"/>
      <c r="P39" s="217"/>
      <c r="Q39" s="217"/>
      <c r="R39" s="217"/>
      <c r="S39" s="217"/>
      <c r="T39" s="217"/>
      <c r="U39" s="217"/>
      <c r="V39" s="217"/>
      <c r="W39" s="217"/>
      <c r="AL39" s="217"/>
    </row>
    <row r="40" spans="2:38" hidden="1" outlineLevel="1">
      <c r="B40" s="202" t="str">
        <f>Quarts!B60</f>
        <v xml:space="preserve"> - Metrocarrier</v>
      </c>
      <c r="C40" s="218"/>
      <c r="D40" s="218"/>
      <c r="E40" s="218"/>
      <c r="F40" s="218"/>
      <c r="G40" s="218"/>
      <c r="H40" s="218"/>
      <c r="I40" s="218"/>
      <c r="J40" s="218"/>
      <c r="K40" s="218"/>
      <c r="L40" s="218"/>
      <c r="M40" s="218"/>
      <c r="N40" s="218"/>
      <c r="O40" s="218"/>
      <c r="P40" s="218"/>
      <c r="Q40" s="218"/>
      <c r="R40" s="218"/>
      <c r="S40" s="218"/>
      <c r="T40" s="218"/>
      <c r="U40" s="218"/>
      <c r="V40" s="218"/>
      <c r="W40" s="218"/>
      <c r="AL40" s="218"/>
    </row>
    <row r="41" spans="2:38" hidden="1" outlineLevel="1">
      <c r="B41" s="202" t="str">
        <f>Quarts!B61</f>
        <v xml:space="preserve"> - MCM</v>
      </c>
      <c r="C41" s="218"/>
      <c r="D41" s="218"/>
      <c r="E41" s="218"/>
      <c r="F41" s="218"/>
      <c r="G41" s="218"/>
      <c r="H41" s="218"/>
      <c r="I41" s="218"/>
      <c r="J41" s="218"/>
      <c r="K41" s="218"/>
      <c r="L41" s="218"/>
      <c r="M41" s="218"/>
      <c r="N41" s="218"/>
      <c r="O41" s="218"/>
      <c r="P41" s="218"/>
      <c r="Q41" s="218"/>
      <c r="R41" s="218"/>
      <c r="S41" s="218"/>
      <c r="T41" s="218"/>
      <c r="U41" s="218"/>
      <c r="V41" s="218"/>
      <c r="W41" s="218"/>
      <c r="AL41" s="218"/>
    </row>
    <row r="42" spans="2:38" hidden="1" outlineLevel="1">
      <c r="B42" s="202" t="str">
        <f>Quarts!B62</f>
        <v xml:space="preserve"> - Ho1a</v>
      </c>
      <c r="C42" s="218"/>
      <c r="D42" s="218"/>
      <c r="E42" s="218"/>
      <c r="F42" s="218"/>
      <c r="G42" s="218"/>
      <c r="H42" s="218"/>
      <c r="I42" s="218"/>
      <c r="J42" s="218"/>
      <c r="K42" s="218"/>
      <c r="L42" s="218"/>
      <c r="M42" s="218"/>
      <c r="N42" s="218"/>
      <c r="O42" s="218"/>
      <c r="P42" s="218"/>
      <c r="Q42" s="218"/>
      <c r="R42" s="218"/>
      <c r="S42" s="218"/>
      <c r="T42" s="218"/>
      <c r="U42" s="218"/>
      <c r="V42" s="218"/>
      <c r="W42" s="218"/>
      <c r="AL42" s="218"/>
    </row>
    <row r="43" spans="2:38" hidden="1" outlineLevel="1">
      <c r="B43" s="210" t="str">
        <f>Quarts!B63</f>
        <v xml:space="preserve"> - PCTV</v>
      </c>
      <c r="C43" s="218"/>
      <c r="D43" s="218"/>
      <c r="E43" s="218"/>
      <c r="F43" s="218"/>
      <c r="G43" s="218"/>
      <c r="H43" s="218"/>
      <c r="I43" s="218"/>
      <c r="J43" s="218"/>
      <c r="K43" s="218"/>
      <c r="L43" s="218"/>
      <c r="M43" s="218"/>
      <c r="N43" s="218"/>
      <c r="O43" s="218"/>
      <c r="P43" s="218"/>
      <c r="Q43" s="218"/>
      <c r="R43" s="218"/>
      <c r="S43" s="218"/>
      <c r="T43" s="218"/>
      <c r="U43" s="218"/>
      <c r="V43" s="218"/>
      <c r="W43" s="218"/>
      <c r="AL43" s="218"/>
    </row>
    <row r="44" spans="2:38" hidden="1" outlineLevel="1">
      <c r="B44" s="202" t="s">
        <v>21</v>
      </c>
      <c r="C44" s="218"/>
      <c r="D44" s="218"/>
      <c r="E44" s="218"/>
      <c r="F44" s="218"/>
      <c r="G44" s="218"/>
      <c r="H44" s="218"/>
      <c r="I44" s="218"/>
      <c r="J44" s="218"/>
      <c r="K44" s="218"/>
      <c r="L44" s="218"/>
      <c r="M44" s="218"/>
      <c r="N44" s="218"/>
      <c r="O44" s="218"/>
      <c r="P44" s="218"/>
      <c r="Q44" s="218"/>
      <c r="R44" s="218"/>
      <c r="S44" s="218"/>
      <c r="T44" s="218"/>
      <c r="U44" s="218"/>
      <c r="V44" s="218"/>
      <c r="W44" s="218"/>
      <c r="AL44" s="218"/>
    </row>
    <row r="45" spans="2:38" hidden="1" outlineLevel="1"/>
    <row r="46" spans="2:38" hidden="1" outlineLevel="1"/>
    <row r="47" spans="2:38" collapsed="1">
      <c r="B47" s="210" t="s">
        <v>546</v>
      </c>
      <c r="C47" s="219" t="str">
        <f t="shared" ref="C47:O47" si="14">C29</f>
        <v>Q1 19</v>
      </c>
      <c r="D47" s="219" t="str">
        <f t="shared" si="14"/>
        <v>Q2 19</v>
      </c>
      <c r="E47" s="219" t="str">
        <f t="shared" si="14"/>
        <v>Q3 19</v>
      </c>
      <c r="F47" s="219" t="str">
        <f t="shared" si="14"/>
        <v>Q4 19</v>
      </c>
      <c r="G47" s="219" t="str">
        <f t="shared" si="14"/>
        <v>Q1 20</v>
      </c>
      <c r="H47" s="219" t="str">
        <f t="shared" si="14"/>
        <v>Q2 20</v>
      </c>
      <c r="I47" s="219" t="str">
        <f t="shared" si="14"/>
        <v>Q3 20</v>
      </c>
      <c r="J47" s="219" t="str">
        <f t="shared" si="14"/>
        <v>Q4 20</v>
      </c>
      <c r="K47" s="219" t="str">
        <f t="shared" si="14"/>
        <v>Q1 21</v>
      </c>
      <c r="L47" s="219" t="str">
        <f t="shared" si="14"/>
        <v>Q2 21</v>
      </c>
      <c r="M47" s="219" t="str">
        <f t="shared" si="14"/>
        <v>Q3 21</v>
      </c>
      <c r="N47" s="219" t="str">
        <f t="shared" si="14"/>
        <v>Q4 21</v>
      </c>
      <c r="O47" s="219" t="str">
        <f t="shared" si="14"/>
        <v>Q1 22</v>
      </c>
      <c r="P47" s="219" t="str">
        <f t="shared" ref="P47:Q47" si="15">P29</f>
        <v>Q2 22</v>
      </c>
      <c r="Q47" s="219" t="str">
        <f t="shared" si="15"/>
        <v>Q3 22</v>
      </c>
      <c r="R47" s="219" t="str">
        <f t="shared" ref="R47:S47" si="16">R29</f>
        <v>Q4 22</v>
      </c>
      <c r="S47" s="219" t="str">
        <f t="shared" si="16"/>
        <v>Q1 23</v>
      </c>
      <c r="T47" s="219" t="str">
        <f t="shared" ref="T47:U47" si="17">T29</f>
        <v>Q2 23</v>
      </c>
      <c r="U47" s="219" t="str">
        <f t="shared" si="17"/>
        <v>Q3 23</v>
      </c>
      <c r="V47" s="219" t="str">
        <f t="shared" ref="V47:W47" si="18">V29</f>
        <v>Q4 23</v>
      </c>
      <c r="W47" s="219" t="str">
        <f t="shared" si="18"/>
        <v>Q1 24</v>
      </c>
    </row>
    <row r="48" spans="2:38">
      <c r="B48" s="202" t="s">
        <v>350</v>
      </c>
      <c r="C48" s="220">
        <f>Quarts!AU12</f>
        <v>-5.3840000000000146</v>
      </c>
      <c r="D48" s="220">
        <f>Quarts!AV12</f>
        <v>20.760999999999967</v>
      </c>
      <c r="E48" s="220">
        <f>Quarts!AW12</f>
        <v>6.4389999999998508</v>
      </c>
      <c r="F48" s="220">
        <f>Quarts!AX12</f>
        <v>0.79799999999977445</v>
      </c>
      <c r="G48" s="220">
        <f>Quarts!AY12</f>
        <v>8.705000000000382</v>
      </c>
      <c r="H48" s="220">
        <f>Quarts!AZ12</f>
        <v>27.896999999999935</v>
      </c>
      <c r="I48" s="220">
        <f>Quarts!BA12</f>
        <v>100.07200000000012</v>
      </c>
      <c r="J48" s="220">
        <f>Quarts!BB12</f>
        <v>51.174999999999727</v>
      </c>
      <c r="K48" s="220">
        <f>Quarts!BC12</f>
        <v>23.619999999999891</v>
      </c>
      <c r="L48" s="220">
        <f>Quarts!BD12</f>
        <v>21.733000000000175</v>
      </c>
      <c r="M48" s="220">
        <f>Quarts!BE12</f>
        <v>58.19399999999996</v>
      </c>
      <c r="N48" s="220">
        <f>Quarts!BF12</f>
        <v>23.626000000000204</v>
      </c>
      <c r="O48" s="220">
        <f>Quarts!BG12</f>
        <v>2.1779999999998836</v>
      </c>
      <c r="P48" s="220">
        <f>Quarts!BH12</f>
        <v>1.4800000000000182</v>
      </c>
      <c r="Q48" s="220">
        <f>Quarts!BI12</f>
        <v>48.710000000000036</v>
      </c>
      <c r="R48" s="220">
        <f>Quarts!BJ12</f>
        <v>83.42699999999968</v>
      </c>
      <c r="S48" s="220">
        <f>Quarts!BK12</f>
        <v>86.297000000000025</v>
      </c>
      <c r="T48" s="220">
        <f>Quarts!BL12</f>
        <v>83.932000000000244</v>
      </c>
      <c r="U48" s="220">
        <f>Quarts!BM12</f>
        <v>43.041999999999916</v>
      </c>
      <c r="V48" s="220">
        <f>Quarts!BN12</f>
        <v>25.204000000000178</v>
      </c>
      <c r="W48" s="220">
        <f>Quarts!BO12</f>
        <v>14.848999999999705</v>
      </c>
    </row>
    <row r="49" spans="2:33">
      <c r="B49" s="202" t="s">
        <v>172</v>
      </c>
      <c r="C49" s="220">
        <f>Quarts!AU19</f>
        <v>11.197000000000116</v>
      </c>
      <c r="D49" s="220">
        <f>Quarts!AV19</f>
        <v>69.363000000000284</v>
      </c>
      <c r="E49" s="220">
        <f>Quarts!AW19</f>
        <v>44.036999999999807</v>
      </c>
      <c r="F49" s="220">
        <f>Quarts!AX19</f>
        <v>30.628000000000156</v>
      </c>
      <c r="G49" s="220">
        <f>Quarts!AY19</f>
        <v>48.752999999999702</v>
      </c>
      <c r="H49" s="220">
        <f>Quarts!AZ19</f>
        <v>83.019000000000233</v>
      </c>
      <c r="I49" s="220">
        <f>Quarts!BA19</f>
        <v>184.5949999999998</v>
      </c>
      <c r="J49" s="220">
        <f>Quarts!BB19</f>
        <v>96.329000000000178</v>
      </c>
      <c r="K49" s="220">
        <f>Quarts!BC19</f>
        <v>79.415999999999713</v>
      </c>
      <c r="L49" s="220">
        <f>Quarts!BD19</f>
        <v>58.160000000000309</v>
      </c>
      <c r="M49" s="220">
        <f>Quarts!BE19</f>
        <v>105.01199999999972</v>
      </c>
      <c r="N49" s="220">
        <f>Quarts!BF19</f>
        <v>80.981000000000222</v>
      </c>
      <c r="O49" s="220">
        <f>Quarts!BG19</f>
        <v>59.403999999999996</v>
      </c>
      <c r="P49" s="220">
        <f>Quarts!BH19</f>
        <v>19.177999999999884</v>
      </c>
      <c r="Q49" s="220">
        <f>Quarts!BI19</f>
        <v>100.65700000000015</v>
      </c>
      <c r="R49" s="220">
        <f>Quarts!BJ19</f>
        <v>124.72799999999961</v>
      </c>
      <c r="S49" s="220">
        <f>Quarts!BK19</f>
        <v>147.30500000000029</v>
      </c>
      <c r="T49" s="220">
        <f>Quarts!BL19</f>
        <v>163.3119999999999</v>
      </c>
      <c r="U49" s="220">
        <f>Quarts!BM19</f>
        <v>117.12700000000041</v>
      </c>
      <c r="V49" s="220">
        <f>Quarts!BN19</f>
        <v>155.94799999999941</v>
      </c>
      <c r="W49" s="220">
        <f>Quarts!BO19</f>
        <v>151.32999999999993</v>
      </c>
    </row>
    <row r="50" spans="2:33">
      <c r="B50" s="210" t="s">
        <v>197</v>
      </c>
      <c r="C50" s="221">
        <f>Quarts!AU24</f>
        <v>93.718999999999824</v>
      </c>
      <c r="D50" s="221">
        <f>Quarts!AV24</f>
        <v>81.50200000000018</v>
      </c>
      <c r="E50" s="221">
        <f>Quarts!AW24</f>
        <v>84.897999999999911</v>
      </c>
      <c r="F50" s="221">
        <f>Quarts!AX24</f>
        <v>57.538000000000011</v>
      </c>
      <c r="G50" s="221">
        <f>Quarts!AY24</f>
        <v>55.963000000000193</v>
      </c>
      <c r="H50" s="221">
        <f>Quarts!AZ24</f>
        <v>81.598999999999705</v>
      </c>
      <c r="I50" s="221">
        <f>Quarts!BA24</f>
        <v>243.48100000000022</v>
      </c>
      <c r="J50" s="221">
        <f>Quarts!BB24</f>
        <v>115.21699999999964</v>
      </c>
      <c r="K50" s="221">
        <f>Quarts!BC24</f>
        <v>100.67900000000009</v>
      </c>
      <c r="L50" s="221">
        <f>Quarts!BD24</f>
        <v>78.423000000000229</v>
      </c>
      <c r="M50" s="221">
        <f>Quarts!BE24</f>
        <v>128.63999999999987</v>
      </c>
      <c r="N50" s="221">
        <f>Quarts!BF24</f>
        <v>96.579000000000178</v>
      </c>
      <c r="O50" s="221">
        <f>Quarts!BG24</f>
        <v>58.096999999999753</v>
      </c>
      <c r="P50" s="221">
        <f>Quarts!BH24</f>
        <v>45.121000000000095</v>
      </c>
      <c r="Q50" s="221">
        <f>Quarts!BI24</f>
        <v>128.92599999999993</v>
      </c>
      <c r="R50" s="221">
        <f>Quarts!BJ24</f>
        <v>140.86200000000008</v>
      </c>
      <c r="S50" s="221">
        <f>Quarts!BK24</f>
        <v>174.46199999999999</v>
      </c>
      <c r="T50" s="221">
        <f>Quarts!BL24</f>
        <v>184.279</v>
      </c>
      <c r="U50" s="221">
        <f>Quarts!BM24</f>
        <v>143.56700000000001</v>
      </c>
      <c r="V50" s="221">
        <f>Quarts!BN24</f>
        <v>175.62199999999984</v>
      </c>
      <c r="W50" s="221">
        <f>Quarts!BO24</f>
        <v>173.11699999999973</v>
      </c>
    </row>
    <row r="51" spans="2:33">
      <c r="B51" s="202" t="s">
        <v>192</v>
      </c>
      <c r="C51" s="220">
        <f t="shared" ref="C51:O51" si="19">SUM(C48:C50)</f>
        <v>99.531999999999925</v>
      </c>
      <c r="D51" s="220">
        <f t="shared" si="19"/>
        <v>171.62600000000043</v>
      </c>
      <c r="E51" s="220">
        <f t="shared" si="19"/>
        <v>135.37399999999957</v>
      </c>
      <c r="F51" s="220">
        <f t="shared" si="19"/>
        <v>88.963999999999942</v>
      </c>
      <c r="G51" s="220">
        <f t="shared" si="19"/>
        <v>113.42100000000028</v>
      </c>
      <c r="H51" s="220">
        <f t="shared" si="19"/>
        <v>192.51499999999987</v>
      </c>
      <c r="I51" s="220">
        <f t="shared" si="19"/>
        <v>528.14800000000014</v>
      </c>
      <c r="J51" s="220">
        <f t="shared" si="19"/>
        <v>262.72099999999955</v>
      </c>
      <c r="K51" s="220">
        <f t="shared" si="19"/>
        <v>203.71499999999969</v>
      </c>
      <c r="L51" s="220">
        <f t="shared" si="19"/>
        <v>158.31600000000071</v>
      </c>
      <c r="M51" s="220">
        <f t="shared" si="19"/>
        <v>291.84599999999955</v>
      </c>
      <c r="N51" s="220">
        <f t="shared" si="19"/>
        <v>201.1860000000006</v>
      </c>
      <c r="O51" s="220">
        <f t="shared" si="19"/>
        <v>119.67899999999963</v>
      </c>
      <c r="P51" s="220">
        <f t="shared" ref="P51:Q51" si="20">SUM(P48:P50)</f>
        <v>65.778999999999996</v>
      </c>
      <c r="Q51" s="220">
        <f t="shared" si="20"/>
        <v>278.29300000000012</v>
      </c>
      <c r="R51" s="220">
        <f t="shared" ref="R51:S51" si="21">SUM(R48:R50)</f>
        <v>349.01699999999937</v>
      </c>
      <c r="S51" s="220">
        <f t="shared" si="21"/>
        <v>408.06400000000031</v>
      </c>
      <c r="T51" s="220">
        <f t="shared" ref="T51:U51" si="22">SUM(T48:T50)</f>
        <v>431.52300000000014</v>
      </c>
      <c r="U51" s="220">
        <f t="shared" si="22"/>
        <v>303.73600000000033</v>
      </c>
      <c r="V51" s="220">
        <f t="shared" ref="V51:W51" si="23">SUM(V48:V50)</f>
        <v>356.77399999999943</v>
      </c>
      <c r="W51" s="220">
        <f t="shared" si="23"/>
        <v>339.29599999999937</v>
      </c>
    </row>
    <row r="52" spans="2:33">
      <c r="B52" s="202" t="s">
        <v>187</v>
      </c>
      <c r="C52" s="220">
        <f>Quarts!AU33-Quarts!AT33</f>
        <v>-7</v>
      </c>
      <c r="D52" s="220">
        <f>Quarts!AV33-Quarts!AU33</f>
        <v>40</v>
      </c>
      <c r="E52" s="220">
        <f>Quarts!AW33-Quarts!AV33</f>
        <v>-3</v>
      </c>
      <c r="F52" s="220">
        <f>Quarts!AX33-Quarts!AW33</f>
        <v>5</v>
      </c>
      <c r="G52" s="220">
        <f>Quarts!AY33-Quarts!AX33</f>
        <v>33.760000000000218</v>
      </c>
      <c r="H52" s="220">
        <f>Quarts!AZ33-Quarts!AY33</f>
        <v>45.406999999999698</v>
      </c>
      <c r="I52" s="220">
        <f>Quarts!BA33-Quarts!AZ33</f>
        <v>148.47000000000025</v>
      </c>
      <c r="J52" s="220">
        <f>Quarts!BB33-Quarts!BA33</f>
        <v>76.971999999999753</v>
      </c>
      <c r="K52" s="220">
        <f>Quarts!BC33-Quarts!BB33</f>
        <v>56.391000000000076</v>
      </c>
      <c r="L52" s="220">
        <f>Quarts!BD33-Quarts!BC33</f>
        <v>32</v>
      </c>
      <c r="M52" s="220">
        <f>Quarts!BE33-Quarts!BD33</f>
        <v>79.768000000000029</v>
      </c>
      <c r="N52" s="220">
        <f>Quarts!BF33-Quarts!BE33</f>
        <v>52.278999999999542</v>
      </c>
      <c r="O52" s="220">
        <f>Quarts!BG33-Quarts!BF33</f>
        <v>25.953000000000429</v>
      </c>
      <c r="P52" s="220">
        <f>Quarts!BH33-Quarts!BG33</f>
        <v>11</v>
      </c>
      <c r="Q52" s="220">
        <f>Quarts!BI33-Quarts!BH33</f>
        <v>84</v>
      </c>
      <c r="R52" s="220">
        <f>Quarts!BJ33-Quarts!BI33</f>
        <v>123.99399999999969</v>
      </c>
      <c r="S52" s="220">
        <f>Quarts!BK33-Quarts!BJ33</f>
        <v>142.00600000000031</v>
      </c>
      <c r="T52" s="220">
        <f>Quarts!BL33-Quarts!BK33</f>
        <v>150.91899999999987</v>
      </c>
      <c r="U52" s="220">
        <f>Quarts!BM33-Quarts!BL33</f>
        <v>106.48000000000047</v>
      </c>
      <c r="V52" s="220">
        <f>Quarts!BN33-Quarts!BM33</f>
        <v>148.42699999999968</v>
      </c>
      <c r="W52" s="220">
        <f>Quarts!BO33-Quarts!BN33</f>
        <v>143.89900000000034</v>
      </c>
    </row>
    <row r="53" spans="2:33">
      <c r="B53" s="202" t="s">
        <v>548</v>
      </c>
      <c r="C53" s="222">
        <f>Quarts!AU35</f>
        <v>2.2467930842163972</v>
      </c>
      <c r="D53" s="222">
        <f>Quarts!AV35</f>
        <v>2.2693397683397682</v>
      </c>
      <c r="E53" s="222">
        <f>Quarts!AW35</f>
        <v>2.3085840463704113</v>
      </c>
      <c r="F53" s="222">
        <f>Quarts!AX35</f>
        <v>2.3299239250275634</v>
      </c>
      <c r="G53" s="222">
        <f>Quarts!AY35</f>
        <v>2.3394173839902122</v>
      </c>
      <c r="H53" s="222">
        <f>Quarts!AZ35</f>
        <v>2.3626936687772631</v>
      </c>
      <c r="I53" s="222">
        <f>Quarts!BA35</f>
        <v>2.4086935569920094</v>
      </c>
      <c r="J53" s="222">
        <f>Quarts!BB35</f>
        <v>2.4283545605474637</v>
      </c>
      <c r="K53" s="222">
        <f>Quarts!BC35</f>
        <v>2.445095011281023</v>
      </c>
      <c r="L53" s="222">
        <f>Quarts!BD35</f>
        <v>2.465008704302412</v>
      </c>
      <c r="M53" s="222">
        <f>Quarts!BE35</f>
        <v>2.4882280587441183</v>
      </c>
      <c r="N53" s="222">
        <f>Quarts!BF35</f>
        <v>2.5053489642664775</v>
      </c>
      <c r="O53" s="222">
        <f>Quarts!BG35</f>
        <v>2.5184280928451783</v>
      </c>
      <c r="P53" s="222">
        <f>Quarts!BH35</f>
        <v>2.5275155131264913</v>
      </c>
      <c r="Q53" s="222">
        <f>Quarts!BI35</f>
        <v>2.5429534394010291</v>
      </c>
      <c r="R53" s="222">
        <f>Quarts!BJ35</f>
        <v>2.550617395112408</v>
      </c>
      <c r="S53" s="222">
        <f>Quarts!BK35</f>
        <v>2.5607189427312771</v>
      </c>
      <c r="T53" s="222">
        <f>Quarts!BL35</f>
        <v>2.5703251324527243</v>
      </c>
      <c r="U53" s="222">
        <f>Quarts!BM35</f>
        <v>2.5765884805495642</v>
      </c>
      <c r="V53" s="222">
        <f>Quarts!BN35</f>
        <v>2.5714000047717005</v>
      </c>
      <c r="W53" s="222">
        <f>Quarts!BO35</f>
        <v>2.5653631581274032</v>
      </c>
    </row>
    <row r="54" spans="2:33">
      <c r="B54" s="202"/>
    </row>
    <row r="55" spans="2:33">
      <c r="B55" s="210" t="s">
        <v>233</v>
      </c>
      <c r="C55" s="219" t="str">
        <f t="shared" ref="C55:O55" si="24">C47</f>
        <v>Q1 19</v>
      </c>
      <c r="D55" s="219" t="str">
        <f t="shared" si="24"/>
        <v>Q2 19</v>
      </c>
      <c r="E55" s="219" t="str">
        <f t="shared" si="24"/>
        <v>Q3 19</v>
      </c>
      <c r="F55" s="219" t="str">
        <f t="shared" si="24"/>
        <v>Q4 19</v>
      </c>
      <c r="G55" s="219" t="str">
        <f t="shared" si="24"/>
        <v>Q1 20</v>
      </c>
      <c r="H55" s="219" t="str">
        <f t="shared" si="24"/>
        <v>Q2 20</v>
      </c>
      <c r="I55" s="219" t="str">
        <f t="shared" si="24"/>
        <v>Q3 20</v>
      </c>
      <c r="J55" s="219" t="str">
        <f t="shared" si="24"/>
        <v>Q4 20</v>
      </c>
      <c r="K55" s="219" t="str">
        <f t="shared" si="24"/>
        <v>Q1 21</v>
      </c>
      <c r="L55" s="219" t="str">
        <f t="shared" si="24"/>
        <v>Q2 21</v>
      </c>
      <c r="M55" s="219" t="str">
        <f t="shared" si="24"/>
        <v>Q3 21</v>
      </c>
      <c r="N55" s="219" t="str">
        <f t="shared" si="24"/>
        <v>Q4 21</v>
      </c>
      <c r="O55" s="219" t="str">
        <f t="shared" si="24"/>
        <v>Q1 22</v>
      </c>
      <c r="P55" s="219" t="str">
        <f t="shared" ref="P55:Q55" si="25">P47</f>
        <v>Q2 22</v>
      </c>
      <c r="Q55" s="219" t="str">
        <f t="shared" si="25"/>
        <v>Q3 22</v>
      </c>
      <c r="R55" s="219" t="str">
        <f t="shared" ref="R55:S55" si="26">R47</f>
        <v>Q4 22</v>
      </c>
      <c r="S55" s="219" t="str">
        <f t="shared" si="26"/>
        <v>Q1 23</v>
      </c>
      <c r="T55" s="219" t="str">
        <f t="shared" ref="T55:U55" si="27">T47</f>
        <v>Q2 23</v>
      </c>
      <c r="U55" s="219" t="str">
        <f t="shared" si="27"/>
        <v>Q3 23</v>
      </c>
      <c r="V55" s="219" t="str">
        <f t="shared" ref="V55:W55" si="28">V47</f>
        <v>Q4 23</v>
      </c>
      <c r="W55" s="219" t="str">
        <f t="shared" si="28"/>
        <v>Q1 24</v>
      </c>
    </row>
    <row r="56" spans="2:33">
      <c r="B56" s="202" t="str">
        <f>B48</f>
        <v>TV</v>
      </c>
      <c r="C56" s="214">
        <f>Quarts!AU87</f>
        <v>2.8000000000000001E-2</v>
      </c>
      <c r="D56" s="214">
        <f>Quarts!AV87</f>
        <v>2.8000000000000001E-2</v>
      </c>
      <c r="E56" s="214">
        <f>Quarts!AW87</f>
        <v>2.9000000000000001E-2</v>
      </c>
      <c r="F56" s="214">
        <f>Quarts!AX87</f>
        <v>2.4E-2</v>
      </c>
      <c r="G56" s="214">
        <f>Quarts!AY87</f>
        <v>2.1000000000000001E-2</v>
      </c>
      <c r="H56" s="214">
        <f>Quarts!AZ87</f>
        <v>1.7999999999999999E-2</v>
      </c>
      <c r="I56" s="214">
        <f>Quarts!BA87</f>
        <v>1.7000000000000001E-2</v>
      </c>
      <c r="J56" s="214">
        <f>Quarts!BB87</f>
        <v>1.6E-2</v>
      </c>
      <c r="K56" s="214">
        <f>Quarts!BC87</f>
        <v>1.7000000000000001E-2</v>
      </c>
      <c r="L56" s="214">
        <f>Quarts!BD87</f>
        <v>2.1999999999999999E-2</v>
      </c>
      <c r="M56" s="214">
        <f>Quarts!BE87</f>
        <v>2.3E-2</v>
      </c>
      <c r="N56" s="214">
        <f>Quarts!BF87</f>
        <v>2.1999999999999999E-2</v>
      </c>
      <c r="O56" s="214">
        <f>Quarts!BG87</f>
        <v>2.3E-2</v>
      </c>
      <c r="P56" s="214">
        <f>Quarts!BH87</f>
        <v>2.5999999999999999E-2</v>
      </c>
      <c r="Q56" s="214">
        <f>Quarts!BI87</f>
        <v>2.4E-2</v>
      </c>
      <c r="R56" s="214">
        <f>Quarts!BJ87</f>
        <v>1.7999999999999999E-2</v>
      </c>
      <c r="S56" s="214">
        <f>Quarts!BK87</f>
        <v>0.02</v>
      </c>
      <c r="T56" s="214">
        <f>Quarts!BL87</f>
        <v>0.02</v>
      </c>
      <c r="U56" s="214">
        <f>Quarts!BM87</f>
        <v>2.3E-2</v>
      </c>
      <c r="V56" s="214">
        <f>Quarts!BN87</f>
        <v>2.1999999999999999E-2</v>
      </c>
      <c r="W56" s="214">
        <f>Quarts!BO87</f>
        <v>2.1000000000000001E-2</v>
      </c>
    </row>
    <row r="57" spans="2:33">
      <c r="B57" s="202" t="str">
        <f>B49</f>
        <v>Internet</v>
      </c>
      <c r="C57" s="214">
        <f>Quarts!AU88</f>
        <v>2.7E-2</v>
      </c>
      <c r="D57" s="214">
        <f>Quarts!AV88</f>
        <v>2.7E-2</v>
      </c>
      <c r="E57" s="214">
        <f>Quarts!AW88</f>
        <v>2.8000000000000001E-2</v>
      </c>
      <c r="F57" s="214">
        <f>Quarts!AX88</f>
        <v>2.3E-2</v>
      </c>
      <c r="G57" s="214">
        <f>Quarts!AY88</f>
        <v>1.9E-2</v>
      </c>
      <c r="H57" s="214">
        <f>Quarts!AZ88</f>
        <v>1.6E-2</v>
      </c>
      <c r="I57" s="214">
        <f>Quarts!BA88</f>
        <v>1.4999999999999999E-2</v>
      </c>
      <c r="J57" s="214">
        <f>Quarts!BB88</f>
        <v>1.6E-2</v>
      </c>
      <c r="K57" s="214">
        <f>Quarts!BC88</f>
        <v>1.9E-2</v>
      </c>
      <c r="L57" s="214">
        <f>Quarts!BD88</f>
        <v>0.02</v>
      </c>
      <c r="M57" s="214">
        <f>Quarts!BE88</f>
        <v>0.02</v>
      </c>
      <c r="N57" s="214">
        <f>Quarts!BF88</f>
        <v>0.02</v>
      </c>
      <c r="O57" s="214">
        <f>Quarts!BG88</f>
        <v>2.1000000000000001E-2</v>
      </c>
      <c r="P57" s="214">
        <f>Quarts!BH88</f>
        <v>2.7E-2</v>
      </c>
      <c r="Q57" s="214">
        <f>Quarts!BI88</f>
        <v>2.3E-2</v>
      </c>
      <c r="R57" s="214">
        <f>Quarts!BJ88</f>
        <v>1.7000000000000001E-2</v>
      </c>
      <c r="S57" s="214">
        <f>Quarts!BK88</f>
        <v>1.9E-2</v>
      </c>
      <c r="T57" s="214">
        <f>Quarts!BL88</f>
        <v>1.9E-2</v>
      </c>
      <c r="U57" s="214">
        <f>Quarts!BM88</f>
        <v>2.1000000000000001E-2</v>
      </c>
      <c r="V57" s="214">
        <f>Quarts!BN88</f>
        <v>1.7999999999999999E-2</v>
      </c>
      <c r="W57" s="214">
        <f>Quarts!BO88</f>
        <v>1.7999999999999999E-2</v>
      </c>
    </row>
    <row r="58" spans="2:33">
      <c r="B58" s="202" t="str">
        <f>B50</f>
        <v>Voice</v>
      </c>
      <c r="C58" s="214">
        <f>Quarts!AU89</f>
        <v>3.9E-2</v>
      </c>
      <c r="D58" s="214">
        <f>Quarts!AV89</f>
        <v>3.9E-2</v>
      </c>
      <c r="E58" s="214">
        <f>Quarts!AW89</f>
        <v>3.6999999999999998E-2</v>
      </c>
      <c r="F58" s="214">
        <f>Quarts!AX89</f>
        <v>0.03</v>
      </c>
      <c r="G58" s="214">
        <f>Quarts!AY89</f>
        <v>2.5999999999999999E-2</v>
      </c>
      <c r="H58" s="214">
        <f>Quarts!AZ89</f>
        <v>2.4E-2</v>
      </c>
      <c r="I58" s="214">
        <f>Quarts!BA89</f>
        <v>2.1000000000000001E-2</v>
      </c>
      <c r="J58" s="214">
        <f>Quarts!BB89</f>
        <v>2.1000000000000001E-2</v>
      </c>
      <c r="K58" s="214">
        <f>Quarts!BC89</f>
        <v>2.1999999999999999E-2</v>
      </c>
      <c r="L58" s="214">
        <f>Quarts!BD89</f>
        <v>2.5000000000000001E-2</v>
      </c>
      <c r="M58" s="214">
        <f>Quarts!BE89</f>
        <v>2.5000000000000001E-2</v>
      </c>
      <c r="N58" s="214">
        <f>Quarts!BF89</f>
        <v>2.4E-2</v>
      </c>
      <c r="O58" s="214">
        <f>Quarts!BG89</f>
        <v>2.5000000000000001E-2</v>
      </c>
      <c r="P58" s="214">
        <f>Quarts!BH89</f>
        <v>2.9000000000000001E-2</v>
      </c>
      <c r="Q58" s="214">
        <f>Quarts!BI89</f>
        <v>2.5000000000000001E-2</v>
      </c>
      <c r="R58" s="214">
        <f>Quarts!BJ89</f>
        <v>1.9E-2</v>
      </c>
      <c r="S58" s="214">
        <f>Quarts!BK89</f>
        <v>2.1000000000000001E-2</v>
      </c>
      <c r="T58" s="214">
        <f>Quarts!BL89</f>
        <v>0.02</v>
      </c>
      <c r="U58" s="214">
        <f>Quarts!BM89</f>
        <v>2.1999999999999999E-2</v>
      </c>
      <c r="V58" s="214">
        <f>Quarts!BN89</f>
        <v>0.02</v>
      </c>
      <c r="W58" s="214">
        <f>Quarts!BO89</f>
        <v>2.1000000000000001E-2</v>
      </c>
    </row>
    <row r="59" spans="2:33">
      <c r="B59" s="202"/>
    </row>
    <row r="60" spans="2:33">
      <c r="B60" s="210" t="s">
        <v>558</v>
      </c>
      <c r="C60" s="219" t="str">
        <f t="shared" ref="C60:O60" si="29">C47</f>
        <v>Q1 19</v>
      </c>
      <c r="D60" s="219" t="str">
        <f t="shared" si="29"/>
        <v>Q2 19</v>
      </c>
      <c r="E60" s="219" t="str">
        <f t="shared" si="29"/>
        <v>Q3 19</v>
      </c>
      <c r="F60" s="219" t="str">
        <f t="shared" si="29"/>
        <v>Q4 19</v>
      </c>
      <c r="G60" s="219" t="str">
        <f t="shared" si="29"/>
        <v>Q1 20</v>
      </c>
      <c r="H60" s="219" t="str">
        <f t="shared" si="29"/>
        <v>Q2 20</v>
      </c>
      <c r="I60" s="219" t="str">
        <f t="shared" si="29"/>
        <v>Q3 20</v>
      </c>
      <c r="J60" s="219" t="str">
        <f t="shared" si="29"/>
        <v>Q4 20</v>
      </c>
      <c r="K60" s="219" t="str">
        <f t="shared" si="29"/>
        <v>Q1 21</v>
      </c>
      <c r="L60" s="219" t="str">
        <f t="shared" si="29"/>
        <v>Q2 21</v>
      </c>
      <c r="M60" s="219" t="str">
        <f t="shared" si="29"/>
        <v>Q3 21</v>
      </c>
      <c r="N60" s="219" t="str">
        <f t="shared" si="29"/>
        <v>Q4 21</v>
      </c>
      <c r="O60" s="219" t="str">
        <f t="shared" si="29"/>
        <v>Q1 22</v>
      </c>
      <c r="P60" s="219" t="str">
        <f t="shared" ref="P60:Q60" si="30">P47</f>
        <v>Q2 22</v>
      </c>
      <c r="Q60" s="219" t="str">
        <f t="shared" si="30"/>
        <v>Q3 22</v>
      </c>
      <c r="R60" s="219" t="str">
        <f t="shared" ref="R60:S60" si="31">R47</f>
        <v>Q4 22</v>
      </c>
      <c r="S60" s="219" t="str">
        <f t="shared" si="31"/>
        <v>Q1 23</v>
      </c>
      <c r="T60" s="219" t="str">
        <f t="shared" ref="T60:U60" si="32">T47</f>
        <v>Q2 23</v>
      </c>
      <c r="U60" s="219" t="str">
        <f t="shared" si="32"/>
        <v>Q3 23</v>
      </c>
      <c r="V60" s="219" t="str">
        <f t="shared" ref="V60:W60" si="33">V47</f>
        <v>Q4 23</v>
      </c>
      <c r="W60" s="219" t="str">
        <f t="shared" si="33"/>
        <v>Q1 24</v>
      </c>
    </row>
    <row r="61" spans="2:33">
      <c r="B61" s="202" t="s">
        <v>350</v>
      </c>
      <c r="C61" s="220">
        <f>Quarts!AU92</f>
        <v>263.59945600000003</v>
      </c>
      <c r="D61" s="220">
        <f>Quarts!AV92</f>
        <v>289.29219999999998</v>
      </c>
      <c r="E61" s="220">
        <f>Quarts!AW92</f>
        <v>286.36680699999988</v>
      </c>
      <c r="F61" s="220">
        <f>Quarts!AX92</f>
        <v>232.92599999999979</v>
      </c>
      <c r="G61" s="220">
        <f>Quarts!AY92</f>
        <v>211.86727400000038</v>
      </c>
      <c r="H61" s="220">
        <f>Quarts!AZ92</f>
        <v>202.50616199999993</v>
      </c>
      <c r="I61" s="220">
        <f>Quarts!BA92</f>
        <v>266.40340000000015</v>
      </c>
      <c r="J61" s="220">
        <f>Quarts!BB92</f>
        <v>212.52565599999974</v>
      </c>
      <c r="K61" s="220">
        <f>Quarts!BC92</f>
        <v>197.66499699999989</v>
      </c>
      <c r="L61" s="220">
        <f>Quarts!BD92</f>
        <v>248.52662200000017</v>
      </c>
      <c r="M61" s="220">
        <f>Quarts!BE92</f>
        <v>296.79599999999999</v>
      </c>
      <c r="N61" s="220">
        <f>Quarts!BF92</f>
        <v>255.6948040000002</v>
      </c>
      <c r="O61" s="220">
        <f>Quarts!BG92</f>
        <v>246.42557999999991</v>
      </c>
      <c r="P61" s="220">
        <f>Quarts!BH92</f>
        <v>277.75584400000002</v>
      </c>
      <c r="Q61" s="220">
        <f>Quarts!BI92</f>
        <v>303.84041600000006</v>
      </c>
      <c r="R61" s="220">
        <f>Quarts!BJ92</f>
        <v>277.40515199999965</v>
      </c>
      <c r="S61" s="220">
        <f>Quarts!BK92</f>
        <v>306.83389999999997</v>
      </c>
      <c r="T61" s="220">
        <f>Quarts!BL92</f>
        <v>309.64672000000019</v>
      </c>
      <c r="U61" s="220">
        <f>Quarts!BM92</f>
        <v>308.40523599999995</v>
      </c>
      <c r="V61" s="220">
        <f>Quarts!BN92</f>
        <v>281.87047600000017</v>
      </c>
      <c r="W61" s="220">
        <f>Quarts!BO92</f>
        <v>261.43666999999971</v>
      </c>
    </row>
    <row r="62" spans="2:33">
      <c r="B62" s="202" t="s">
        <v>172</v>
      </c>
      <c r="C62" s="220">
        <f>Quarts!AU93</f>
        <v>249.53164300000012</v>
      </c>
      <c r="D62" s="220">
        <f>Quarts!AV93</f>
        <v>308.60460000000029</v>
      </c>
      <c r="E62" s="220">
        <f>Quarts!AW93</f>
        <v>297.96589199999983</v>
      </c>
      <c r="F62" s="220">
        <f>Quarts!AX93</f>
        <v>242.25100000000018</v>
      </c>
      <c r="G62" s="220">
        <f>Quarts!AY93</f>
        <v>225.3177959999997</v>
      </c>
      <c r="H62" s="220">
        <f>Quarts!AZ93</f>
        <v>234.04528800000023</v>
      </c>
      <c r="I62" s="220">
        <f>Quarts!BA93</f>
        <v>329.91799999999978</v>
      </c>
      <c r="J62" s="220">
        <f>Quarts!BB93</f>
        <v>260.20076000000017</v>
      </c>
      <c r="K62" s="220">
        <f>Quarts!BC93</f>
        <v>279.50446799999969</v>
      </c>
      <c r="L62" s="220">
        <f>Quarts!BD93</f>
        <v>273.54440000000028</v>
      </c>
      <c r="M62" s="220">
        <f>Quarts!BE93</f>
        <v>323.88599999999974</v>
      </c>
      <c r="N62" s="220">
        <f>Quarts!BF93</f>
        <v>306.1557200000002</v>
      </c>
      <c r="O62" s="220">
        <f>Quarts!BG93</f>
        <v>300.93925899999999</v>
      </c>
      <c r="P62" s="220">
        <f>Quarts!BH93</f>
        <v>334.53505699999988</v>
      </c>
      <c r="Q62" s="220">
        <f>Quarts!BI93</f>
        <v>370.61777500000017</v>
      </c>
      <c r="R62" s="220">
        <f>Quarts!BJ93</f>
        <v>329.39773199999962</v>
      </c>
      <c r="S62" s="220">
        <f>Quarts!BK93</f>
        <v>383.16302000000024</v>
      </c>
      <c r="T62" s="220">
        <f>Quarts!BL93</f>
        <v>407.56640499999986</v>
      </c>
      <c r="U62" s="220">
        <f>Quarts!BM93</f>
        <v>397.38105100000041</v>
      </c>
      <c r="V62" s="220">
        <f>Quarts!BN93</f>
        <v>402.49061599999936</v>
      </c>
      <c r="W62" s="220">
        <f>Quarts!BO93</f>
        <v>406.2938079999999</v>
      </c>
    </row>
    <row r="63" spans="2:33">
      <c r="B63" s="210" t="s">
        <v>197</v>
      </c>
      <c r="C63" s="221">
        <f>Quarts!AU94</f>
        <v>305.82607699999983</v>
      </c>
      <c r="D63" s="221">
        <f>Quarts!AV94</f>
        <v>304.57420000000013</v>
      </c>
      <c r="E63" s="221">
        <f>Quarts!AW94</f>
        <v>305.57732199999987</v>
      </c>
      <c r="F63" s="221">
        <f>Quarts!AX94</f>
        <v>244.108</v>
      </c>
      <c r="G63" s="221">
        <f>Quarts!AY94</f>
        <v>222.14496400000019</v>
      </c>
      <c r="H63" s="221">
        <f>Quarts!AZ94</f>
        <v>239.02707199999975</v>
      </c>
      <c r="I63" s="221">
        <f>Quarts!BA94</f>
        <v>386.37130000000025</v>
      </c>
      <c r="J63" s="221">
        <f>Quarts!BB94</f>
        <v>273.44660299999964</v>
      </c>
      <c r="K63" s="221">
        <f>Quarts!BC94</f>
        <v>274.04766800000004</v>
      </c>
      <c r="L63" s="221">
        <f>Quarts!BD94</f>
        <v>282.98377500000026</v>
      </c>
      <c r="M63" s="221">
        <f>Quarts!BE94</f>
        <v>339.08249999999987</v>
      </c>
      <c r="N63" s="221">
        <f>Quarts!BF94</f>
        <v>307.86588000000017</v>
      </c>
      <c r="O63" s="221">
        <f>Quarts!BG94</f>
        <v>285.43092499999977</v>
      </c>
      <c r="P63" s="221">
        <f>Quarts!BH94</f>
        <v>313.88279200000011</v>
      </c>
      <c r="Q63" s="221">
        <f>Quarts!BI94</f>
        <v>364.00127499999996</v>
      </c>
      <c r="R63" s="221">
        <f>Quarts!BJ94</f>
        <v>326.86799100000007</v>
      </c>
      <c r="S63" s="221">
        <f>Quarts!BK94</f>
        <v>388.921875</v>
      </c>
      <c r="T63" s="221">
        <f>Quarts!BL94</f>
        <v>398.99421999999998</v>
      </c>
      <c r="U63" s="221">
        <f>Quarts!BM94</f>
        <v>391.916156</v>
      </c>
      <c r="V63" s="221">
        <f>Quarts!BN94</f>
        <v>410.00797999999986</v>
      </c>
      <c r="W63" s="221">
        <f>Quarts!BO94</f>
        <v>430.28646499999974</v>
      </c>
    </row>
    <row r="64" spans="2:33">
      <c r="B64" s="202" t="s">
        <v>559</v>
      </c>
      <c r="C64" s="220">
        <f>Quarts!AU95</f>
        <v>818.957176</v>
      </c>
      <c r="D64" s="220">
        <f>Quarts!AV95</f>
        <v>902.47100000000034</v>
      </c>
      <c r="E64" s="220">
        <f>Quarts!AW95</f>
        <v>889.91002099999957</v>
      </c>
      <c r="F64" s="220">
        <f>Quarts!AX95</f>
        <v>719.28499999999997</v>
      </c>
      <c r="G64" s="220">
        <f>Quarts!AY95</f>
        <v>659.3300340000003</v>
      </c>
      <c r="H64" s="220">
        <f>Quarts!AZ95</f>
        <v>675.57852199999991</v>
      </c>
      <c r="I64" s="220">
        <f>Quarts!BA95</f>
        <v>982.69270000000017</v>
      </c>
      <c r="J64" s="220">
        <f>Quarts!BB95</f>
        <v>746.17301899999961</v>
      </c>
      <c r="K64" s="220">
        <f>Quarts!BC95</f>
        <v>751.21713299999965</v>
      </c>
      <c r="L64" s="220">
        <f>Quarts!BD95</f>
        <v>805.05479700000069</v>
      </c>
      <c r="M64" s="220">
        <f>Quarts!BE95</f>
        <v>959.76449999999966</v>
      </c>
      <c r="N64" s="220">
        <f>Quarts!BF95</f>
        <v>869.71640400000058</v>
      </c>
      <c r="O64" s="220">
        <f>Quarts!BG95</f>
        <v>832.79576399999962</v>
      </c>
      <c r="P64" s="220">
        <f>Quarts!BH95</f>
        <v>926.17369299999996</v>
      </c>
      <c r="Q64" s="220">
        <f>Quarts!BI95</f>
        <v>1038.4594660000002</v>
      </c>
      <c r="R64" s="220">
        <f>Quarts!BJ95</f>
        <v>933.67087499999934</v>
      </c>
      <c r="S64" s="220">
        <f>Quarts!BK95</f>
        <v>1078.9187950000003</v>
      </c>
      <c r="T64" s="220">
        <f>Quarts!BL95</f>
        <v>1116.207345</v>
      </c>
      <c r="U64" s="220">
        <f>Quarts!BM95</f>
        <v>1097.7024430000004</v>
      </c>
      <c r="V64" s="220">
        <f>Quarts!BN95</f>
        <v>1094.3690719999995</v>
      </c>
      <c r="W64" s="220">
        <f>Quarts!BO95</f>
        <v>1098.0169429999994</v>
      </c>
      <c r="AG64" s="235">
        <f>6.60589/6.43811-1</f>
        <v>2.6060443204604988E-2</v>
      </c>
    </row>
    <row r="66" spans="2:39">
      <c r="B66" s="210" t="s">
        <v>547</v>
      </c>
      <c r="C66" s="219" t="str">
        <f>Quarts!AU4</f>
        <v>Q1 19</v>
      </c>
      <c r="D66" s="219" t="str">
        <f>Quarts!AV4</f>
        <v>Q2 19</v>
      </c>
      <c r="E66" s="219" t="str">
        <f>Quarts!AW4</f>
        <v>Q3 19</v>
      </c>
      <c r="F66" s="219" t="str">
        <f>Quarts!AX4</f>
        <v>Q4 19</v>
      </c>
      <c r="G66" s="219" t="str">
        <f>Quarts!AY4</f>
        <v>Q1 20</v>
      </c>
      <c r="H66" s="219" t="str">
        <f>Quarts!AZ4</f>
        <v>Q2 20</v>
      </c>
      <c r="I66" s="219" t="str">
        <f>Quarts!BA4</f>
        <v>Q3 20</v>
      </c>
      <c r="J66" s="219" t="str">
        <f>Quarts!BB4</f>
        <v>Q4 20</v>
      </c>
      <c r="K66" s="219" t="str">
        <f>Quarts!BC4</f>
        <v>Q1 21</v>
      </c>
      <c r="L66" s="219" t="str">
        <f>Quarts!BD4</f>
        <v>Q2 21</v>
      </c>
      <c r="M66" s="219" t="str">
        <f>Quarts!BE4</f>
        <v>Q3 21</v>
      </c>
      <c r="N66" s="219" t="str">
        <f>Quarts!BF4</f>
        <v>Q4 21</v>
      </c>
      <c r="O66" s="219" t="str">
        <f>Quarts!BG4</f>
        <v>Q1 22</v>
      </c>
      <c r="P66" s="219" t="str">
        <f>Quarts!BH4</f>
        <v>Q2 22</v>
      </c>
      <c r="Q66" s="219" t="str">
        <f>Quarts!BI4</f>
        <v>Q3 22</v>
      </c>
      <c r="R66" s="219" t="str">
        <f>Quarts!BJ4</f>
        <v>Q4 22</v>
      </c>
      <c r="S66" s="219" t="str">
        <f>Quarts!BK4</f>
        <v>Q1 23</v>
      </c>
      <c r="T66" s="219" t="str">
        <f>Quarts!BL4</f>
        <v>Q2 23</v>
      </c>
      <c r="U66" s="219" t="str">
        <f>Quarts!BM4</f>
        <v>Q3 23</v>
      </c>
      <c r="V66" s="219" t="str">
        <f>Quarts!BN4</f>
        <v>Q4 23</v>
      </c>
      <c r="W66" s="219" t="str">
        <f>Quarts!BO4</f>
        <v>Q1 24</v>
      </c>
    </row>
    <row r="67" spans="2:39">
      <c r="B67" s="202" t="str">
        <f>B48</f>
        <v>TV</v>
      </c>
      <c r="C67" s="214">
        <f>Quarts!CV40</f>
        <v>5.6865464632454898E-2</v>
      </c>
      <c r="D67" s="214">
        <f>Quarts!CW40</f>
        <v>9.1506335053965326E-2</v>
      </c>
      <c r="E67" s="214">
        <f>Quarts!CX40</f>
        <v>8.1974848625989916E-2</v>
      </c>
      <c r="F67" s="214">
        <f>Quarts!CY40</f>
        <v>8.3523505248744856E-2</v>
      </c>
      <c r="G67" s="214">
        <f>Quarts!CZ40</f>
        <v>5.7742782152230943E-2</v>
      </c>
      <c r="H67" s="214">
        <f>Quarts!DA40</f>
        <v>4.2992261392948983E-3</v>
      </c>
      <c r="I67" s="214">
        <f>Quarts!DB40</f>
        <v>-3.0133448127421802E-3</v>
      </c>
      <c r="J67" s="214">
        <f>Quarts!DC40</f>
        <v>-3.5383319292333626E-2</v>
      </c>
      <c r="K67" s="214">
        <f>Quarts!DD40</f>
        <v>-5.5004135649296959E-2</v>
      </c>
      <c r="L67" s="214">
        <f>Quarts!DE40</f>
        <v>-3.210616438356162E-2</v>
      </c>
      <c r="M67" s="214">
        <f>Quarts!DF40</f>
        <v>-3.3246977547495615E-2</v>
      </c>
      <c r="N67" s="214">
        <f>Quarts!DG40</f>
        <v>1.1790393013100475E-2</v>
      </c>
      <c r="O67" s="214">
        <f>Quarts!DH40</f>
        <v>2.1881838074397919E-3</v>
      </c>
      <c r="P67" s="214">
        <f>Quarts!DI40</f>
        <v>2.0344980097302123E-2</v>
      </c>
      <c r="Q67" s="214">
        <f>Quarts!DJ40</f>
        <v>2.4117909781152358E-2</v>
      </c>
      <c r="R67" s="214">
        <f>Quarts!DK40</f>
        <v>4.747518342684609E-3</v>
      </c>
      <c r="S67" s="214">
        <f>Quarts!DL40</f>
        <v>2.1397379912663883E-2</v>
      </c>
      <c r="T67" s="214">
        <f>Quarts!DM40</f>
        <v>8.6692674469006636E-3</v>
      </c>
      <c r="U67" s="214">
        <f>Quarts!DN40</f>
        <v>1.3519406890536434E-2</v>
      </c>
      <c r="V67" s="214">
        <f>Quarts!DO40</f>
        <v>3.3934707903779948E-2</v>
      </c>
      <c r="W67" s="214">
        <f>Quarts!DP40</f>
        <v>1.9666524155621978E-2</v>
      </c>
    </row>
    <row r="68" spans="2:39">
      <c r="B68" s="202" t="str">
        <f>B49</f>
        <v>Internet</v>
      </c>
      <c r="C68" s="214">
        <f>Quarts!CV41</f>
        <v>5.4975261132494957E-4</v>
      </c>
      <c r="D68" s="214">
        <f>Quarts!CW41</f>
        <v>1.8962632459564865E-2</v>
      </c>
      <c r="E68" s="214">
        <f>Quarts!CX41</f>
        <v>2.0763187429854169E-2</v>
      </c>
      <c r="F68" s="214">
        <f>Quarts!CY41</f>
        <v>2.8921023359288034E-2</v>
      </c>
      <c r="G68" s="214">
        <f>Quarts!CZ41</f>
        <v>2.3076923076922995E-2</v>
      </c>
      <c r="H68" s="214">
        <f>Quarts!DA41</f>
        <v>-4.3787629994526123E-3</v>
      </c>
      <c r="I68" s="214">
        <f>Quarts!DB41</f>
        <v>-4.9477735019242131E-3</v>
      </c>
      <c r="J68" s="214">
        <f>Quarts!DC41</f>
        <v>-1.5675675675675738E-2</v>
      </c>
      <c r="K68" s="214">
        <f>Quarts!DD41</f>
        <v>-3.759398496240518E-3</v>
      </c>
      <c r="L68" s="214">
        <f>Quarts!DE41</f>
        <v>2.8037383177569986E-2</v>
      </c>
      <c r="M68" s="214">
        <f>Quarts!DF41</f>
        <v>2.5966850828729182E-2</v>
      </c>
      <c r="N68" s="214">
        <f>Quarts!DG41</f>
        <v>3.0203185063152116E-2</v>
      </c>
      <c r="O68" s="214">
        <f>Quarts!DH41</f>
        <v>1.563342318059302E-2</v>
      </c>
      <c r="P68" s="214">
        <f>Quarts!DI41</f>
        <v>3.7433155080213831E-2</v>
      </c>
      <c r="Q68" s="214">
        <f>Quarts!DJ41</f>
        <v>1.1308562197092309E-2</v>
      </c>
      <c r="R68" s="214">
        <f>Quarts!DK41</f>
        <v>3.1982942430703876E-3</v>
      </c>
      <c r="S68" s="214">
        <f>Quarts!DL41</f>
        <v>4.7770700636942109E-3</v>
      </c>
      <c r="T68" s="214">
        <f>Quarts!DM41</f>
        <v>-8.7628865979381132E-3</v>
      </c>
      <c r="U68" s="214">
        <f>Quarts!DN41</f>
        <v>2.9818956336528091E-2</v>
      </c>
      <c r="V68" s="214">
        <f>Quarts!DO41</f>
        <v>4.9946865037194588E-2</v>
      </c>
      <c r="W68" s="214">
        <f>Quarts!DP41</f>
        <v>4.9656629688325182E-2</v>
      </c>
    </row>
    <row r="69" spans="2:39">
      <c r="B69" s="202" t="str">
        <f>B50</f>
        <v>Voice</v>
      </c>
      <c r="C69" s="214">
        <f>Quarts!CV42</f>
        <v>-0.22494172494172493</v>
      </c>
      <c r="D69" s="214">
        <f>Quarts!CW42</f>
        <v>-0.21212121212121215</v>
      </c>
      <c r="E69" s="214">
        <f>Quarts!CX42</f>
        <v>-0.21841794569067297</v>
      </c>
      <c r="F69" s="214">
        <f>Quarts!CY42</f>
        <v>-0.16666666666666663</v>
      </c>
      <c r="G69" s="214">
        <f>Quarts!CZ42</f>
        <v>2.4060150375939671E-2</v>
      </c>
      <c r="H69" s="214">
        <f>Quarts!DA42</f>
        <v>-3.8461538461538436E-2</v>
      </c>
      <c r="I69" s="214">
        <f>Quarts!DB42</f>
        <v>-2.8700906344410915E-2</v>
      </c>
      <c r="J69" s="214">
        <f>Quarts!DC42</f>
        <v>-4.5925925925925815E-2</v>
      </c>
      <c r="K69" s="214">
        <f>Quarts!DD42</f>
        <v>2.936857562408246E-3</v>
      </c>
      <c r="L69" s="214">
        <f>Quarts!DE42</f>
        <v>6.4615384615384741E-2</v>
      </c>
      <c r="M69" s="214">
        <f>Quarts!DF42</f>
        <v>6.3763608087091805E-2</v>
      </c>
      <c r="N69" s="214">
        <f>Quarts!DG42</f>
        <v>8.5403726708074501E-2</v>
      </c>
      <c r="O69" s="214">
        <f>Quarts!DH42</f>
        <v>4.0995607613469875E-2</v>
      </c>
      <c r="P69" s="214">
        <f>Quarts!DI42</f>
        <v>-2.3121387283237094E-2</v>
      </c>
      <c r="Q69" s="214">
        <f>Quarts!DJ42</f>
        <v>-0.12134502923976609</v>
      </c>
      <c r="R69" s="214">
        <f>Quarts!DK42</f>
        <v>-0.14306151645207443</v>
      </c>
      <c r="S69" s="214">
        <f>Quarts!DL42</f>
        <v>-0.16736990154711662</v>
      </c>
      <c r="T69" s="214">
        <f>Quarts!DM42</f>
        <v>-0.14053254437869811</v>
      </c>
      <c r="U69" s="214">
        <f>Quarts!DN42</f>
        <v>-7.6539101497504203E-2</v>
      </c>
      <c r="V69" s="214">
        <f>Quarts!DO42</f>
        <v>-8.347245409015025E-2</v>
      </c>
      <c r="W69" s="214">
        <f>Quarts!DP42</f>
        <v>-6.9256756756756799E-2</v>
      </c>
    </row>
    <row r="70" spans="2:39">
      <c r="B70" s="202"/>
      <c r="C70" s="218"/>
      <c r="D70" s="218"/>
      <c r="E70" s="218"/>
      <c r="F70" s="218"/>
      <c r="G70" s="218"/>
      <c r="H70" s="218"/>
      <c r="I70" s="218"/>
      <c r="J70" s="218"/>
      <c r="K70" s="218"/>
      <c r="L70" s="218"/>
      <c r="M70" s="218"/>
      <c r="N70" s="218"/>
      <c r="O70" s="218"/>
      <c r="P70" s="218"/>
      <c r="Q70" s="218"/>
      <c r="R70" s="218"/>
      <c r="AH70" s="218"/>
      <c r="AI70" s="218"/>
      <c r="AJ70" s="218"/>
      <c r="AK70" s="218"/>
      <c r="AL70" s="218"/>
      <c r="AM70" s="218"/>
    </row>
    <row r="71" spans="2:39">
      <c r="B71" s="202"/>
      <c r="C71" s="218"/>
      <c r="D71" s="218"/>
      <c r="E71" s="218"/>
      <c r="F71" s="218"/>
      <c r="G71" s="218"/>
      <c r="H71" s="218"/>
      <c r="I71" s="218"/>
      <c r="J71" s="218"/>
      <c r="K71" s="218"/>
      <c r="L71" s="218"/>
      <c r="M71" s="218"/>
      <c r="N71" s="218"/>
      <c r="O71" s="218"/>
      <c r="P71" s="218"/>
      <c r="Q71" s="218"/>
      <c r="R71" s="218"/>
      <c r="AH71" s="218"/>
      <c r="AI71" s="218"/>
      <c r="AJ71" s="218"/>
      <c r="AK71" s="218"/>
      <c r="AL71" s="218"/>
      <c r="AM71" s="218"/>
    </row>
    <row r="73" spans="2:39">
      <c r="B73" s="210" t="s">
        <v>280</v>
      </c>
      <c r="C73" s="223" t="str">
        <f>Quarts!AT4</f>
        <v>Q4 18</v>
      </c>
      <c r="D73" s="223" t="str">
        <f>Quarts!AU4</f>
        <v>Q1 19</v>
      </c>
      <c r="E73" s="223" t="str">
        <f>Quarts!AV4</f>
        <v>Q2 19</v>
      </c>
      <c r="F73" s="223" t="str">
        <f>Quarts!AW4</f>
        <v>Q3 19</v>
      </c>
      <c r="G73" s="223" t="str">
        <f>Quarts!AX4</f>
        <v>Q4 19</v>
      </c>
      <c r="H73" s="223" t="str">
        <f>Quarts!AY4</f>
        <v>Q1 20</v>
      </c>
      <c r="I73" s="223" t="str">
        <f>Quarts!AZ4</f>
        <v>Q2 20</v>
      </c>
      <c r="J73" s="223" t="str">
        <f>Quarts!BA4</f>
        <v>Q3 20</v>
      </c>
      <c r="K73" s="223" t="str">
        <f>Quarts!BB4</f>
        <v>Q4 20</v>
      </c>
      <c r="L73" s="223" t="str">
        <f>Quarts!BC4</f>
        <v>Q1 21</v>
      </c>
      <c r="M73" s="223" t="str">
        <f>Quarts!BD4</f>
        <v>Q2 21</v>
      </c>
      <c r="N73" s="223" t="str">
        <f>Quarts!BE4</f>
        <v>Q3 21</v>
      </c>
      <c r="O73" s="223" t="str">
        <f>Quarts!BF4</f>
        <v>Q4 21</v>
      </c>
      <c r="P73" s="223" t="str">
        <f>Quarts!BG4</f>
        <v>Q1 22</v>
      </c>
      <c r="Q73" s="223" t="str">
        <f>Quarts!BH4</f>
        <v>Q2 22</v>
      </c>
      <c r="R73" s="223" t="str">
        <f>Quarts!BI4</f>
        <v>Q3 22</v>
      </c>
      <c r="S73" s="223" t="str">
        <f>Quarts!BJ4</f>
        <v>Q4 22</v>
      </c>
      <c r="T73" s="223" t="str">
        <f>Quarts!BK4</f>
        <v>Q1 23</v>
      </c>
      <c r="U73" s="223" t="str">
        <f>Quarts!BL4</f>
        <v>Q2 23</v>
      </c>
      <c r="V73" s="223" t="str">
        <f>Quarts!BM4</f>
        <v>Q3 23</v>
      </c>
      <c r="W73" s="223" t="str">
        <f>Quarts!BN4</f>
        <v>Q4 23</v>
      </c>
      <c r="X73" s="223" t="str">
        <f>Quarts!BO4</f>
        <v>Q1 24</v>
      </c>
      <c r="AI73" s="224"/>
      <c r="AJ73" s="224"/>
      <c r="AK73" s="224"/>
      <c r="AL73" s="224"/>
      <c r="AM73" s="224"/>
    </row>
    <row r="74" spans="2:39">
      <c r="B74" s="202" t="s">
        <v>549</v>
      </c>
      <c r="C74" s="214">
        <f>Quarts!AT112</f>
        <v>0.47844496864845443</v>
      </c>
      <c r="D74" s="214">
        <f>Quarts!AU112</f>
        <v>0.5098925032313657</v>
      </c>
      <c r="E74" s="214">
        <f>Quarts!AV112</f>
        <v>0.50195060034291272</v>
      </c>
      <c r="F74" s="214">
        <f>Quarts!AW112</f>
        <v>0.47666666666666668</v>
      </c>
      <c r="G74" s="214">
        <f>Quarts!AX112</f>
        <v>0.47552689679860877</v>
      </c>
      <c r="H74" s="214">
        <f>Quarts!AY112</f>
        <v>0.51688738582760452</v>
      </c>
      <c r="I74" s="214">
        <f>Quarts!AZ112</f>
        <v>0.51224287855284956</v>
      </c>
      <c r="J74" s="214">
        <f>Quarts!BA112</f>
        <v>0.51091089954103441</v>
      </c>
      <c r="K74" s="214">
        <f>Quarts!BB112</f>
        <v>0.49384874454934935</v>
      </c>
      <c r="L74" s="214">
        <f>Quarts!BC112</f>
        <v>0.51968986425836705</v>
      </c>
      <c r="M74" s="214">
        <f>Quarts!BD112</f>
        <v>0.51190476190476186</v>
      </c>
      <c r="N74" s="214">
        <f>Quarts!BE112</f>
        <v>0.50632466007596777</v>
      </c>
      <c r="O74" s="214">
        <f>Quarts!BF112</f>
        <v>0.49878467301175816</v>
      </c>
      <c r="P74" s="214">
        <f>Quarts!BG112</f>
        <v>0.50813385131819622</v>
      </c>
      <c r="Q74" s="214">
        <f>Quarts!BH112</f>
        <v>0.50216019182483751</v>
      </c>
      <c r="R74" s="214">
        <f>Quarts!BI112</f>
        <v>0.48587389807959752</v>
      </c>
      <c r="S74" s="214">
        <f>Quarts!BJ112</f>
        <v>0.46892834495878249</v>
      </c>
      <c r="T74" s="214">
        <f>Quarts!BK112</f>
        <v>0.47336365350904852</v>
      </c>
      <c r="U74" s="214">
        <f>Quarts!BL112</f>
        <v>0.46052113295416552</v>
      </c>
      <c r="V74" s="214">
        <f>Quarts!BM112</f>
        <v>0.45452842442163971</v>
      </c>
      <c r="W74" s="214">
        <f>Quarts!BN112</f>
        <v>0.4597280277814903</v>
      </c>
      <c r="X74" s="214">
        <f>Quarts!BO112</f>
        <v>0.47293648425785983</v>
      </c>
      <c r="AI74" s="214"/>
      <c r="AJ74" s="214"/>
      <c r="AK74" s="214"/>
      <c r="AL74" s="214"/>
      <c r="AM74" s="214"/>
    </row>
    <row r="75" spans="2:39">
      <c r="B75" s="210" t="s">
        <v>550</v>
      </c>
      <c r="C75" s="215">
        <f>Quarts!AT124</f>
        <v>0.22061281337047303</v>
      </c>
      <c r="D75" s="215">
        <f>Quarts!AU124</f>
        <v>0.36106257378984685</v>
      </c>
      <c r="E75" s="215">
        <f>Quarts!AV124</f>
        <v>0.29681766305916196</v>
      </c>
      <c r="F75" s="215">
        <f>Quarts!AW124</f>
        <v>0.3218181818181815</v>
      </c>
      <c r="G75" s="215">
        <f>Quarts!AX124</f>
        <v>0.26818890826937974</v>
      </c>
      <c r="H75" s="215">
        <f>Quarts!AY124</f>
        <v>0.34688779254828606</v>
      </c>
      <c r="I75" s="215">
        <f>Quarts!AZ124</f>
        <v>0.36045382088734662</v>
      </c>
      <c r="J75" s="215">
        <f>Quarts!BA124</f>
        <v>0.33259427514674011</v>
      </c>
      <c r="K75" s="215">
        <f>Quarts!BB124</f>
        <v>0.32303013169823441</v>
      </c>
      <c r="L75" s="215">
        <f>Quarts!BC124</f>
        <v>0.33625759416767897</v>
      </c>
      <c r="M75" s="215">
        <f>Quarts!BD124</f>
        <v>0.33333333333333331</v>
      </c>
      <c r="N75" s="215">
        <f>Quarts!BE124</f>
        <v>0.32243281568844434</v>
      </c>
      <c r="O75" s="215">
        <f>Quarts!BF124</f>
        <v>0.24609374303170881</v>
      </c>
      <c r="P75" s="215">
        <f>Quarts!BG124</f>
        <v>0.31178209045266975</v>
      </c>
      <c r="Q75" s="215">
        <f>Quarts!BH124</f>
        <v>0.33322356220036792</v>
      </c>
      <c r="R75" s="215">
        <f>Quarts!BI124</f>
        <v>0.31140907779881077</v>
      </c>
      <c r="S75" s="215">
        <f>Quarts!BJ124</f>
        <v>0.1809723183391001</v>
      </c>
      <c r="T75" s="215">
        <f>Quarts!BK124</f>
        <v>0.28949640966755036</v>
      </c>
      <c r="U75" s="215">
        <f>Quarts!BL124</f>
        <v>0.29537044939162604</v>
      </c>
      <c r="V75" s="215">
        <f>Quarts!BM124</f>
        <v>0.28562634498486739</v>
      </c>
      <c r="W75" s="215">
        <f>Quarts!BN124</f>
        <v>0.2367295762532709</v>
      </c>
      <c r="X75" s="215">
        <f>Quarts!BO124</f>
        <v>0.32681909186776897</v>
      </c>
      <c r="AI75" s="214"/>
      <c r="AJ75" s="214"/>
      <c r="AK75" s="214"/>
      <c r="AL75" s="214"/>
      <c r="AM75" s="214"/>
    </row>
    <row r="76" spans="2:39">
      <c r="B76" s="202" t="s">
        <v>551</v>
      </c>
      <c r="C76" s="214">
        <f>Quarts!AT134</f>
        <v>0.45098996519149226</v>
      </c>
      <c r="D76" s="214">
        <f>Quarts!AU134</f>
        <v>0.49520659391868277</v>
      </c>
      <c r="E76" s="214">
        <f>Quarts!AV134</f>
        <v>0.48875810960153249</v>
      </c>
      <c r="F76" s="214">
        <f>Quarts!AW134</f>
        <v>0.45929995929995932</v>
      </c>
      <c r="G76" s="214">
        <f>Quarts!AX134</f>
        <v>0.44714530795829299</v>
      </c>
      <c r="H76" s="214">
        <f>Quarts!AY134</f>
        <v>0.50119427422275264</v>
      </c>
      <c r="I76" s="214">
        <f>Quarts!AZ134</f>
        <v>0.49813505235350403</v>
      </c>
      <c r="J76" s="214">
        <f>Quarts!BA134</f>
        <v>0.4951264240798216</v>
      </c>
      <c r="K76" s="214">
        <f>Quarts!BB134</f>
        <v>0.47869263141288226</v>
      </c>
      <c r="L76" s="214">
        <f>Quarts!BC134</f>
        <v>0.50453454220856619</v>
      </c>
      <c r="M76" s="214">
        <f>Quarts!BD134</f>
        <v>0.49655331640225597</v>
      </c>
      <c r="N76" s="214">
        <f>Quarts!BE134</f>
        <v>0.4907502547630353</v>
      </c>
      <c r="O76" s="214">
        <f>Quarts!BF134</f>
        <v>0.47689779020460499</v>
      </c>
      <c r="P76" s="214">
        <f>Quarts!BG134</f>
        <v>0.49196562368855656</v>
      </c>
      <c r="Q76" s="214">
        <f>Quarts!BH134</f>
        <v>0.48757840299611477</v>
      </c>
      <c r="R76" s="214">
        <f>Quarts!BI134</f>
        <v>0.47025086519956921</v>
      </c>
      <c r="S76" s="214">
        <f>Quarts!BJ134</f>
        <v>0.4341293129616513</v>
      </c>
      <c r="T76" s="214">
        <f>Quarts!BK134</f>
        <v>0.45702028526095795</v>
      </c>
      <c r="U76" s="214">
        <f>Quarts!BL134</f>
        <v>0.44582457585031321</v>
      </c>
      <c r="V76" s="214">
        <f>Quarts!BM134</f>
        <v>0.44137868520442131</v>
      </c>
      <c r="W76" s="214">
        <f>Quarts!BN134</f>
        <v>0.44024804406763651</v>
      </c>
      <c r="X76" s="214">
        <f>Quarts!BO134</f>
        <v>0.46096268029856963</v>
      </c>
      <c r="AI76" s="214"/>
      <c r="AJ76" s="214"/>
      <c r="AK76" s="214"/>
      <c r="AL76" s="214"/>
      <c r="AM76" s="214"/>
    </row>
    <row r="78" spans="2:39">
      <c r="B78" s="202" t="s">
        <v>557</v>
      </c>
      <c r="C78" s="218">
        <f>Quarts!CU129</f>
        <v>0</v>
      </c>
      <c r="D78" s="218">
        <f>Quarts!CV129</f>
        <v>0</v>
      </c>
      <c r="E78" s="218">
        <f>Quarts!CW129</f>
        <v>0</v>
      </c>
      <c r="F78" s="218">
        <f>Quarts!CX129</f>
        <v>0</v>
      </c>
      <c r="G78" s="218">
        <f>Quarts!CY129</f>
        <v>0</v>
      </c>
      <c r="H78" s="218">
        <f>Quarts!CZ129</f>
        <v>0</v>
      </c>
      <c r="I78" s="218">
        <f>Quarts!DA129</f>
        <v>0</v>
      </c>
      <c r="J78" s="218">
        <f>Quarts!DB129</f>
        <v>0</v>
      </c>
      <c r="K78" s="218">
        <f>Quarts!DC129</f>
        <v>0</v>
      </c>
      <c r="L78" s="218">
        <f>Quarts!DD129</f>
        <v>0</v>
      </c>
      <c r="M78" s="218">
        <f>Quarts!DE129</f>
        <v>0</v>
      </c>
      <c r="N78" s="218">
        <f>Quarts!DF129</f>
        <v>0</v>
      </c>
      <c r="O78" s="218">
        <f>Quarts!DG129</f>
        <v>0</v>
      </c>
      <c r="P78" s="218">
        <f>Quarts!DH129</f>
        <v>0</v>
      </c>
      <c r="Q78" s="218">
        <f>Quarts!DI129</f>
        <v>0</v>
      </c>
      <c r="R78" s="218">
        <f>Quarts!DJ129</f>
        <v>0</v>
      </c>
      <c r="S78" s="218">
        <f>Quarts!DK129</f>
        <v>0</v>
      </c>
      <c r="T78" s="218">
        <f>Quarts!DL129</f>
        <v>0</v>
      </c>
      <c r="U78" s="218">
        <f>Quarts!DM129</f>
        <v>0</v>
      </c>
      <c r="V78" s="218">
        <f>Quarts!DN129</f>
        <v>0</v>
      </c>
      <c r="W78" s="218">
        <f>Quarts!DO129</f>
        <v>0</v>
      </c>
      <c r="X78" s="218">
        <f>Quarts!DP129</f>
        <v>0</v>
      </c>
      <c r="AI78" s="218"/>
      <c r="AJ78" s="218"/>
      <c r="AK78" s="218"/>
      <c r="AL78" s="218"/>
      <c r="AM78" s="218"/>
    </row>
    <row r="79" spans="2:39">
      <c r="B79" s="202" t="s">
        <v>554</v>
      </c>
      <c r="C79" s="218">
        <f>Quarts!CU131</f>
        <v>0</v>
      </c>
      <c r="D79" s="218">
        <f>Quarts!CV131</f>
        <v>0</v>
      </c>
      <c r="E79" s="218">
        <f>Quarts!CW131</f>
        <v>0</v>
      </c>
      <c r="F79" s="218">
        <f>Quarts!CX131</f>
        <v>0</v>
      </c>
      <c r="G79" s="218">
        <f>Quarts!CY131</f>
        <v>0</v>
      </c>
      <c r="H79" s="218">
        <f>Quarts!CZ131</f>
        <v>0</v>
      </c>
      <c r="I79" s="218">
        <f>Quarts!DA131</f>
        <v>0</v>
      </c>
      <c r="J79" s="218">
        <f>Quarts!DB131</f>
        <v>0</v>
      </c>
      <c r="K79" s="218">
        <f>Quarts!DC131</f>
        <v>0</v>
      </c>
      <c r="L79" s="218">
        <f>Quarts!DD131</f>
        <v>0</v>
      </c>
      <c r="M79" s="218">
        <f>Quarts!DE131</f>
        <v>0</v>
      </c>
      <c r="N79" s="218">
        <f>Quarts!DF131</f>
        <v>0</v>
      </c>
      <c r="O79" s="218">
        <f>Quarts!DG131</f>
        <v>0</v>
      </c>
      <c r="P79" s="218">
        <f>Quarts!DH131</f>
        <v>0</v>
      </c>
      <c r="Q79" s="218">
        <f>Quarts!DI131</f>
        <v>0</v>
      </c>
      <c r="R79" s="218">
        <f>Quarts!DJ131</f>
        <v>0</v>
      </c>
      <c r="S79" s="218">
        <f>Quarts!DK131</f>
        <v>0</v>
      </c>
      <c r="T79" s="218">
        <f>Quarts!DL131</f>
        <v>0</v>
      </c>
      <c r="U79" s="218">
        <f>Quarts!DM131</f>
        <v>0</v>
      </c>
      <c r="V79" s="218">
        <f>Quarts!DN131</f>
        <v>0</v>
      </c>
      <c r="W79" s="218">
        <f>Quarts!DO131</f>
        <v>0</v>
      </c>
      <c r="X79" s="218">
        <f>Quarts!DP131</f>
        <v>0</v>
      </c>
      <c r="AI79" s="218"/>
      <c r="AJ79" s="218"/>
      <c r="AK79" s="218"/>
      <c r="AL79" s="218"/>
      <c r="AM79" s="218"/>
    </row>
    <row r="82" spans="2:23">
      <c r="B82" s="210" t="s">
        <v>1731</v>
      </c>
      <c r="C82" s="202"/>
      <c r="D82" s="202"/>
      <c r="E82" s="202"/>
      <c r="F82" s="202"/>
      <c r="G82" s="202"/>
      <c r="H82" s="202"/>
      <c r="I82" s="202"/>
      <c r="J82" s="202"/>
      <c r="K82" s="202"/>
      <c r="L82" s="202"/>
      <c r="M82" s="202"/>
      <c r="N82" s="202"/>
      <c r="O82" s="202"/>
      <c r="P82" s="202"/>
      <c r="Q82" s="202"/>
      <c r="R82" s="202"/>
      <c r="S82" s="202"/>
      <c r="T82" s="202"/>
      <c r="U82" s="202"/>
      <c r="V82" s="202"/>
      <c r="W82" s="202"/>
    </row>
    <row r="83" spans="2:23">
      <c r="B83" s="202" t="s">
        <v>2695</v>
      </c>
      <c r="C83" s="327">
        <f>Quarts!CV70</f>
        <v>7.8761584473596491E-2</v>
      </c>
      <c r="D83" s="327">
        <f>Quarts!CW70</f>
        <v>0.10589942046609591</v>
      </c>
      <c r="E83" s="327">
        <f>Quarts!CX70</f>
        <v>7.6920707334438454E-2</v>
      </c>
      <c r="F83" s="327">
        <f>Quarts!CY70</f>
        <v>7.837123786222655E-2</v>
      </c>
      <c r="G83" s="327">
        <f>Quarts!CZ70</f>
        <v>8.5221674876847286E-2</v>
      </c>
      <c r="H83" s="327">
        <f>Quarts!DA70</f>
        <v>3.0664912063128824E-2</v>
      </c>
      <c r="I83" s="327">
        <f>Quarts!DB70</f>
        <v>7.1767704728950221E-2</v>
      </c>
      <c r="J83" s="327">
        <f>Quarts!DC70</f>
        <v>7.5770539007439686E-2</v>
      </c>
      <c r="K83" s="327">
        <f>Quarts!DD70</f>
        <v>8.7866567548424257E-2</v>
      </c>
      <c r="L83" s="327">
        <f>Quarts!DE70</f>
        <v>0.12148916291184331</v>
      </c>
      <c r="M83" s="327">
        <f>Quarts!DF70</f>
        <v>9.7987070051890779E-2</v>
      </c>
      <c r="N83" s="327">
        <f>Quarts!DG70</f>
        <v>0.1146576156923993</v>
      </c>
      <c r="O83" s="327">
        <f>Quarts!DH70</f>
        <v>9.3221592856135072E-2</v>
      </c>
      <c r="P83" s="327">
        <f>Quarts!DI70</f>
        <v>9.275740115239417E-2</v>
      </c>
      <c r="Q83" s="327">
        <f>Quarts!DJ70</f>
        <v>6.4684167318125319E-2</v>
      </c>
      <c r="R83" s="327">
        <f>Quarts!DK70</f>
        <v>5.2376956520599371E-2</v>
      </c>
      <c r="S83" s="327">
        <f>Quarts!DL70</f>
        <v>7.2923940366890427E-2</v>
      </c>
      <c r="T83" s="327">
        <f>Quarts!DM70</f>
        <v>9.4708799224996865E-2</v>
      </c>
      <c r="U83" s="327">
        <f ca="1">Quarts!DN70</f>
        <v>0.13977077522163017</v>
      </c>
      <c r="V83" s="327">
        <f ca="1">Quarts!DO70</f>
        <v>0.14526916918697741</v>
      </c>
      <c r="W83" s="327">
        <f>Quarts!DP70</f>
        <v>0.13108332634455966</v>
      </c>
    </row>
    <row r="84" spans="2:23">
      <c r="B84" s="210" t="s">
        <v>1702</v>
      </c>
      <c r="C84" s="215">
        <f>Quarts!CV64</f>
        <v>0.18556958859572337</v>
      </c>
      <c r="D84" s="215">
        <f>Quarts!CW64</f>
        <v>0.19420522168554455</v>
      </c>
      <c r="E84" s="215">
        <f>Quarts!CX64</f>
        <v>0.29602713178294571</v>
      </c>
      <c r="F84" s="215">
        <f>Quarts!CY64</f>
        <v>0.26349379384781457</v>
      </c>
      <c r="G84" s="215">
        <f>Quarts!CZ64</f>
        <v>1.2423794958337675E-2</v>
      </c>
      <c r="H84" s="215">
        <f>Quarts!DA64</f>
        <v>-9.0788339698902099E-2</v>
      </c>
      <c r="I84" s="215">
        <f>Quarts!DB64</f>
        <v>-8.8523364485981304E-2</v>
      </c>
      <c r="J84" s="215">
        <f>Quarts!DC64</f>
        <v>-0.15511858175148885</v>
      </c>
      <c r="K84" s="215">
        <f>Quarts!DD64</f>
        <v>3.3255233211685997E-2</v>
      </c>
      <c r="L84" s="215">
        <f>Quarts!DE64</f>
        <v>5.9946067147737647E-2</v>
      </c>
      <c r="M84" s="215">
        <f>Quarts!DF64</f>
        <v>7.0004511524895507E-2</v>
      </c>
      <c r="N84" s="215">
        <f>Quarts!DG64</f>
        <v>0.14470482012373598</v>
      </c>
      <c r="O84" s="215">
        <f>Quarts!DH64</f>
        <v>0.1484805404315388</v>
      </c>
      <c r="P84" s="215">
        <f>Quarts!DI64</f>
        <v>0.14581765276430647</v>
      </c>
      <c r="Q84" s="215">
        <f>Quarts!DJ64</f>
        <v>0.25104690317894418</v>
      </c>
      <c r="R84" s="215">
        <f>Quarts!DK64</f>
        <v>0.37259751271905017</v>
      </c>
      <c r="S84" s="215">
        <f>Quarts!DL64</f>
        <v>0.17055070702849595</v>
      </c>
      <c r="T84" s="215">
        <f>Quarts!DM64</f>
        <v>0.14527933580397812</v>
      </c>
      <c r="U84" s="215">
        <f>Quarts!DN64</f>
        <v>-4.0581064467823946E-3</v>
      </c>
      <c r="V84" s="215">
        <f>Quarts!DO64</f>
        <v>-8.8565637065637137E-2</v>
      </c>
      <c r="W84" s="215">
        <f>Quarts!DP64</f>
        <v>5.2245841430222484E-2</v>
      </c>
    </row>
    <row r="85" spans="2:23">
      <c r="B85" s="202" t="s">
        <v>1371</v>
      </c>
      <c r="C85" s="328">
        <f>Quarts!CV103</f>
        <v>9.2518063498788106E-2</v>
      </c>
      <c r="D85" s="328">
        <f>Quarts!CW103</f>
        <v>0.11523843993953453</v>
      </c>
      <c r="E85" s="328">
        <f>Quarts!CX103</f>
        <v>9.4150262390909623E-2</v>
      </c>
      <c r="F85" s="328">
        <f>Quarts!CY103</f>
        <v>7.4444788946657736E-2</v>
      </c>
      <c r="G85" s="328">
        <f>Quarts!CZ103</f>
        <v>7.9387117621714909E-2</v>
      </c>
      <c r="H85" s="328">
        <f>Quarts!DA103</f>
        <v>1.350615526185317E-2</v>
      </c>
      <c r="I85" s="328">
        <f>Quarts!DB103</f>
        <v>6.7481874999999913E-2</v>
      </c>
      <c r="J85" s="328">
        <f>Quarts!DC103</f>
        <v>8.5060236050259919E-2</v>
      </c>
      <c r="K85" s="328">
        <f>Quarts!DD103</f>
        <v>8.9488805042994501E-2</v>
      </c>
      <c r="L85" s="328">
        <f>Quarts!DE103</f>
        <v>0.11933043688411837</v>
      </c>
      <c r="M85" s="328">
        <f>Quarts!DF103</f>
        <v>9.7694672021168438E-2</v>
      </c>
      <c r="N85" s="328">
        <f>Quarts!DG103</f>
        <v>0.12241253664376783</v>
      </c>
      <c r="O85" s="328">
        <f>Quarts!DH103</f>
        <v>0.10316272509113578</v>
      </c>
      <c r="P85" s="328">
        <f>Quarts!DI103</f>
        <v>0.10106764069264051</v>
      </c>
      <c r="Q85" s="328">
        <f>Quarts!DJ103</f>
        <v>9.0518041451565612E-2</v>
      </c>
      <c r="R85" s="328">
        <f>Quarts!DK103</f>
        <v>6.6835881134052588E-2</v>
      </c>
      <c r="S85" s="328">
        <f>Quarts!DL103</f>
        <v>8.2097888511479811E-2</v>
      </c>
      <c r="T85" s="328">
        <f>Quarts!DM103</f>
        <v>0.10045330199814262</v>
      </c>
      <c r="U85" s="328">
        <f>Quarts!DN103</f>
        <v>0.12617952559748669</v>
      </c>
      <c r="V85" s="328">
        <f>Quarts!DO103</f>
        <v>0.1363249841471148</v>
      </c>
      <c r="W85" s="328">
        <f>Quarts!DP103</f>
        <v>0.12489002836358964</v>
      </c>
    </row>
    <row r="89" spans="2:23">
      <c r="B89" s="202"/>
    </row>
    <row r="90" spans="2:23">
      <c r="B90" s="210" t="s">
        <v>558</v>
      </c>
      <c r="C90" s="219" t="str">
        <f>C60</f>
        <v>Q1 19</v>
      </c>
      <c r="D90" s="219" t="str">
        <f t="shared" ref="D90:Q90" si="34">D60</f>
        <v>Q2 19</v>
      </c>
      <c r="E90" s="219" t="str">
        <f t="shared" si="34"/>
        <v>Q3 19</v>
      </c>
      <c r="F90" s="219" t="str">
        <f t="shared" si="34"/>
        <v>Q4 19</v>
      </c>
      <c r="G90" s="219" t="str">
        <f t="shared" si="34"/>
        <v>Q1 20</v>
      </c>
      <c r="H90" s="219" t="str">
        <f t="shared" si="34"/>
        <v>Q2 20</v>
      </c>
      <c r="I90" s="219" t="str">
        <f t="shared" si="34"/>
        <v>Q3 20</v>
      </c>
      <c r="J90" s="219" t="str">
        <f t="shared" si="34"/>
        <v>Q4 20</v>
      </c>
      <c r="K90" s="219" t="str">
        <f t="shared" si="34"/>
        <v>Q1 21</v>
      </c>
      <c r="L90" s="219" t="str">
        <f t="shared" si="34"/>
        <v>Q2 21</v>
      </c>
      <c r="M90" s="219" t="str">
        <f t="shared" si="34"/>
        <v>Q3 21</v>
      </c>
      <c r="N90" s="219" t="str">
        <f t="shared" si="34"/>
        <v>Q4 21</v>
      </c>
      <c r="O90" s="219" t="str">
        <f t="shared" si="34"/>
        <v>Q1 22</v>
      </c>
      <c r="P90" s="219" t="str">
        <f t="shared" si="34"/>
        <v>Q2 22</v>
      </c>
      <c r="Q90" s="219" t="str">
        <f t="shared" si="34"/>
        <v>Q3 22</v>
      </c>
      <c r="R90" s="219" t="str">
        <f t="shared" ref="R90:S90" si="35">R60</f>
        <v>Q4 22</v>
      </c>
      <c r="S90" s="219" t="str">
        <f t="shared" si="35"/>
        <v>Q1 23</v>
      </c>
      <c r="T90" s="219" t="str">
        <f t="shared" ref="T90:U90" si="36">T60</f>
        <v>Q2 23</v>
      </c>
      <c r="U90" s="219" t="str">
        <f t="shared" si="36"/>
        <v>Q3 23</v>
      </c>
      <c r="V90" s="219" t="str">
        <f t="shared" ref="V90:W90" si="37">V60</f>
        <v>Q4 23</v>
      </c>
      <c r="W90" s="219" t="str">
        <f t="shared" si="37"/>
        <v>Q1 24</v>
      </c>
    </row>
    <row r="91" spans="2:23">
      <c r="B91" s="202" t="s">
        <v>350</v>
      </c>
      <c r="C91" s="220">
        <f>C61</f>
        <v>263.59945600000003</v>
      </c>
      <c r="D91" s="220">
        <f t="shared" ref="D91:Q91" si="38">D61</f>
        <v>289.29219999999998</v>
      </c>
      <c r="E91" s="220">
        <f t="shared" si="38"/>
        <v>286.36680699999988</v>
      </c>
      <c r="F91" s="220">
        <f t="shared" si="38"/>
        <v>232.92599999999979</v>
      </c>
      <c r="G91" s="220">
        <f t="shared" si="38"/>
        <v>211.86727400000038</v>
      </c>
      <c r="H91" s="220">
        <f t="shared" si="38"/>
        <v>202.50616199999993</v>
      </c>
      <c r="I91" s="220">
        <f t="shared" si="38"/>
        <v>266.40340000000015</v>
      </c>
      <c r="J91" s="220">
        <f t="shared" si="38"/>
        <v>212.52565599999974</v>
      </c>
      <c r="K91" s="220">
        <f t="shared" si="38"/>
        <v>197.66499699999989</v>
      </c>
      <c r="L91" s="220">
        <f t="shared" si="38"/>
        <v>248.52662200000017</v>
      </c>
      <c r="M91" s="220">
        <f t="shared" si="38"/>
        <v>296.79599999999999</v>
      </c>
      <c r="N91" s="220">
        <f t="shared" si="38"/>
        <v>255.6948040000002</v>
      </c>
      <c r="O91" s="220">
        <f t="shared" si="38"/>
        <v>246.42557999999991</v>
      </c>
      <c r="P91" s="220">
        <f t="shared" si="38"/>
        <v>277.75584400000002</v>
      </c>
      <c r="Q91" s="220">
        <f t="shared" si="38"/>
        <v>303.84041600000006</v>
      </c>
      <c r="R91" s="220">
        <f t="shared" ref="R91:S91" si="39">R61</f>
        <v>277.40515199999965</v>
      </c>
      <c r="S91" s="220">
        <f t="shared" si="39"/>
        <v>306.83389999999997</v>
      </c>
      <c r="T91" s="220">
        <f t="shared" ref="T91:U91" si="40">T61</f>
        <v>309.64672000000019</v>
      </c>
      <c r="U91" s="220">
        <f t="shared" si="40"/>
        <v>308.40523599999995</v>
      </c>
      <c r="V91" s="220">
        <f t="shared" ref="V91:W91" si="41">V61</f>
        <v>281.87047600000017</v>
      </c>
      <c r="W91" s="220">
        <f t="shared" si="41"/>
        <v>261.43666999999971</v>
      </c>
    </row>
    <row r="92" spans="2:23">
      <c r="B92" s="202" t="s">
        <v>2698</v>
      </c>
      <c r="C92" s="214">
        <f t="shared" ref="C92:Q92" si="42">C56</f>
        <v>2.8000000000000001E-2</v>
      </c>
      <c r="D92" s="214">
        <f t="shared" si="42"/>
        <v>2.8000000000000001E-2</v>
      </c>
      <c r="E92" s="214">
        <f t="shared" si="42"/>
        <v>2.9000000000000001E-2</v>
      </c>
      <c r="F92" s="214">
        <f t="shared" si="42"/>
        <v>2.4E-2</v>
      </c>
      <c r="G92" s="214">
        <f t="shared" si="42"/>
        <v>2.1000000000000001E-2</v>
      </c>
      <c r="H92" s="214">
        <f t="shared" si="42"/>
        <v>1.7999999999999999E-2</v>
      </c>
      <c r="I92" s="214">
        <f t="shared" si="42"/>
        <v>1.7000000000000001E-2</v>
      </c>
      <c r="J92" s="214">
        <f t="shared" si="42"/>
        <v>1.6E-2</v>
      </c>
      <c r="K92" s="214">
        <f t="shared" si="42"/>
        <v>1.7000000000000001E-2</v>
      </c>
      <c r="L92" s="214">
        <f t="shared" si="42"/>
        <v>2.1999999999999999E-2</v>
      </c>
      <c r="M92" s="214">
        <f t="shared" si="42"/>
        <v>2.3E-2</v>
      </c>
      <c r="N92" s="214">
        <f t="shared" si="42"/>
        <v>2.1999999999999999E-2</v>
      </c>
      <c r="O92" s="214">
        <f t="shared" si="42"/>
        <v>2.3E-2</v>
      </c>
      <c r="P92" s="214">
        <f t="shared" si="42"/>
        <v>2.5999999999999999E-2</v>
      </c>
      <c r="Q92" s="214">
        <f t="shared" si="42"/>
        <v>2.4E-2</v>
      </c>
      <c r="R92" s="214">
        <f t="shared" ref="R92:S92" si="43">R56</f>
        <v>1.7999999999999999E-2</v>
      </c>
      <c r="S92" s="214">
        <f t="shared" si="43"/>
        <v>0.02</v>
      </c>
      <c r="T92" s="214">
        <f t="shared" ref="T92:U92" si="44">T56</f>
        <v>0.02</v>
      </c>
      <c r="U92" s="214">
        <f t="shared" si="44"/>
        <v>2.3E-2</v>
      </c>
      <c r="V92" s="214">
        <f t="shared" ref="V92:W92" si="45">V56</f>
        <v>2.1999999999999999E-2</v>
      </c>
      <c r="W92" s="214">
        <f t="shared" si="45"/>
        <v>2.1000000000000001E-2</v>
      </c>
    </row>
    <row r="93" spans="2:23">
      <c r="B93" s="202"/>
      <c r="C93" s="214"/>
      <c r="D93" s="214"/>
      <c r="E93" s="214"/>
      <c r="F93" s="214"/>
      <c r="G93" s="214"/>
      <c r="H93" s="214"/>
      <c r="I93" s="214"/>
      <c r="J93" s="214"/>
      <c r="K93" s="214"/>
      <c r="L93" s="214"/>
      <c r="M93" s="214"/>
      <c r="N93" s="214"/>
      <c r="O93" s="214"/>
      <c r="P93" s="214"/>
      <c r="Q93" s="214"/>
      <c r="R93" s="214"/>
      <c r="S93" s="214"/>
      <c r="T93" s="214"/>
      <c r="U93" s="214"/>
      <c r="V93" s="214"/>
      <c r="W93" s="214"/>
    </row>
    <row r="94" spans="2:23">
      <c r="B94" s="202" t="s">
        <v>172</v>
      </c>
      <c r="C94" s="219" t="str">
        <f>C90</f>
        <v>Q1 19</v>
      </c>
      <c r="D94" s="219" t="str">
        <f t="shared" ref="D94:Q94" si="46">D90</f>
        <v>Q2 19</v>
      </c>
      <c r="E94" s="219" t="str">
        <f t="shared" si="46"/>
        <v>Q3 19</v>
      </c>
      <c r="F94" s="219" t="str">
        <f t="shared" si="46"/>
        <v>Q4 19</v>
      </c>
      <c r="G94" s="219" t="str">
        <f t="shared" si="46"/>
        <v>Q1 20</v>
      </c>
      <c r="H94" s="219" t="str">
        <f t="shared" si="46"/>
        <v>Q2 20</v>
      </c>
      <c r="I94" s="219" t="str">
        <f t="shared" si="46"/>
        <v>Q3 20</v>
      </c>
      <c r="J94" s="219" t="str">
        <f t="shared" si="46"/>
        <v>Q4 20</v>
      </c>
      <c r="K94" s="219" t="str">
        <f t="shared" si="46"/>
        <v>Q1 21</v>
      </c>
      <c r="L94" s="219" t="str">
        <f t="shared" si="46"/>
        <v>Q2 21</v>
      </c>
      <c r="M94" s="219" t="str">
        <f t="shared" si="46"/>
        <v>Q3 21</v>
      </c>
      <c r="N94" s="219" t="str">
        <f t="shared" si="46"/>
        <v>Q4 21</v>
      </c>
      <c r="O94" s="219" t="str">
        <f t="shared" si="46"/>
        <v>Q1 22</v>
      </c>
      <c r="P94" s="219" t="str">
        <f t="shared" si="46"/>
        <v>Q2 22</v>
      </c>
      <c r="Q94" s="219" t="str">
        <f t="shared" si="46"/>
        <v>Q3 22</v>
      </c>
      <c r="R94" s="219" t="str">
        <f t="shared" ref="R94:S94" si="47">R90</f>
        <v>Q4 22</v>
      </c>
      <c r="S94" s="219" t="str">
        <f t="shared" si="47"/>
        <v>Q1 23</v>
      </c>
      <c r="T94" s="219" t="str">
        <f t="shared" ref="T94:U94" si="48">T90</f>
        <v>Q2 23</v>
      </c>
      <c r="U94" s="219" t="str">
        <f t="shared" si="48"/>
        <v>Q3 23</v>
      </c>
      <c r="V94" s="219" t="str">
        <f t="shared" ref="V94:W94" si="49">V90</f>
        <v>Q4 23</v>
      </c>
      <c r="W94" s="219" t="str">
        <f t="shared" si="49"/>
        <v>Q1 24</v>
      </c>
    </row>
    <row r="95" spans="2:23">
      <c r="B95" s="202" t="s">
        <v>555</v>
      </c>
      <c r="C95" s="220">
        <f t="shared" ref="C95:Q95" si="50">C62</f>
        <v>249.53164300000012</v>
      </c>
      <c r="D95" s="220">
        <f t="shared" si="50"/>
        <v>308.60460000000029</v>
      </c>
      <c r="E95" s="220">
        <f t="shared" si="50"/>
        <v>297.96589199999983</v>
      </c>
      <c r="F95" s="220">
        <f t="shared" si="50"/>
        <v>242.25100000000018</v>
      </c>
      <c r="G95" s="220">
        <f t="shared" si="50"/>
        <v>225.3177959999997</v>
      </c>
      <c r="H95" s="220">
        <f t="shared" si="50"/>
        <v>234.04528800000023</v>
      </c>
      <c r="I95" s="220">
        <f t="shared" si="50"/>
        <v>329.91799999999978</v>
      </c>
      <c r="J95" s="220">
        <f t="shared" si="50"/>
        <v>260.20076000000017</v>
      </c>
      <c r="K95" s="220">
        <f t="shared" si="50"/>
        <v>279.50446799999969</v>
      </c>
      <c r="L95" s="220">
        <f t="shared" si="50"/>
        <v>273.54440000000028</v>
      </c>
      <c r="M95" s="220">
        <f t="shared" si="50"/>
        <v>323.88599999999974</v>
      </c>
      <c r="N95" s="220">
        <f t="shared" si="50"/>
        <v>306.1557200000002</v>
      </c>
      <c r="O95" s="220">
        <f t="shared" si="50"/>
        <v>300.93925899999999</v>
      </c>
      <c r="P95" s="220">
        <f t="shared" si="50"/>
        <v>334.53505699999988</v>
      </c>
      <c r="Q95" s="220">
        <f t="shared" si="50"/>
        <v>370.61777500000017</v>
      </c>
      <c r="R95" s="220">
        <f t="shared" ref="R95:S95" si="51">R62</f>
        <v>329.39773199999962</v>
      </c>
      <c r="S95" s="220">
        <f t="shared" si="51"/>
        <v>383.16302000000024</v>
      </c>
      <c r="T95" s="220">
        <f t="shared" ref="T95:U95" si="52">T62</f>
        <v>407.56640499999986</v>
      </c>
      <c r="U95" s="220">
        <f t="shared" si="52"/>
        <v>397.38105100000041</v>
      </c>
      <c r="V95" s="220">
        <f t="shared" ref="V95:W95" si="53">V62</f>
        <v>402.49061599999936</v>
      </c>
      <c r="W95" s="220">
        <f t="shared" si="53"/>
        <v>406.2938079999999</v>
      </c>
    </row>
    <row r="96" spans="2:23">
      <c r="B96" s="202" t="s">
        <v>233</v>
      </c>
      <c r="C96" s="214">
        <f t="shared" ref="C96:Q96" si="54">C57</f>
        <v>2.7E-2</v>
      </c>
      <c r="D96" s="214">
        <f t="shared" si="54"/>
        <v>2.7E-2</v>
      </c>
      <c r="E96" s="214">
        <f t="shared" si="54"/>
        <v>2.8000000000000001E-2</v>
      </c>
      <c r="F96" s="214">
        <f t="shared" si="54"/>
        <v>2.3E-2</v>
      </c>
      <c r="G96" s="214">
        <f t="shared" si="54"/>
        <v>1.9E-2</v>
      </c>
      <c r="H96" s="214">
        <f t="shared" si="54"/>
        <v>1.6E-2</v>
      </c>
      <c r="I96" s="214">
        <f t="shared" si="54"/>
        <v>1.4999999999999999E-2</v>
      </c>
      <c r="J96" s="214">
        <f t="shared" si="54"/>
        <v>1.6E-2</v>
      </c>
      <c r="K96" s="214">
        <f t="shared" si="54"/>
        <v>1.9E-2</v>
      </c>
      <c r="L96" s="214">
        <f t="shared" si="54"/>
        <v>0.02</v>
      </c>
      <c r="M96" s="214">
        <f t="shared" si="54"/>
        <v>0.02</v>
      </c>
      <c r="N96" s="214">
        <f t="shared" si="54"/>
        <v>0.02</v>
      </c>
      <c r="O96" s="214">
        <f t="shared" si="54"/>
        <v>2.1000000000000001E-2</v>
      </c>
      <c r="P96" s="214">
        <f t="shared" si="54"/>
        <v>2.7E-2</v>
      </c>
      <c r="Q96" s="214">
        <f t="shared" si="54"/>
        <v>2.3E-2</v>
      </c>
      <c r="R96" s="214">
        <f t="shared" ref="R96:S96" si="55">R57</f>
        <v>1.7000000000000001E-2</v>
      </c>
      <c r="S96" s="214">
        <f t="shared" si="55"/>
        <v>1.9E-2</v>
      </c>
      <c r="T96" s="214">
        <f t="shared" ref="T96:U96" si="56">T57</f>
        <v>1.9E-2</v>
      </c>
      <c r="U96" s="214">
        <f t="shared" si="56"/>
        <v>2.1000000000000001E-2</v>
      </c>
      <c r="V96" s="214">
        <f t="shared" ref="V96:W96" si="57">V57</f>
        <v>1.7999999999999999E-2</v>
      </c>
      <c r="W96" s="214">
        <f t="shared" si="57"/>
        <v>1.7999999999999999E-2</v>
      </c>
    </row>
    <row r="99" spans="2:23">
      <c r="B99" s="202" t="s">
        <v>2699</v>
      </c>
      <c r="C99" s="214">
        <f t="shared" ref="C99:Q99" si="58">C58</f>
        <v>3.9E-2</v>
      </c>
      <c r="D99" s="214">
        <f t="shared" si="58"/>
        <v>3.9E-2</v>
      </c>
      <c r="E99" s="214">
        <f t="shared" si="58"/>
        <v>3.6999999999999998E-2</v>
      </c>
      <c r="F99" s="214">
        <f t="shared" si="58"/>
        <v>0.03</v>
      </c>
      <c r="G99" s="214">
        <f t="shared" si="58"/>
        <v>2.5999999999999999E-2</v>
      </c>
      <c r="H99" s="214">
        <f t="shared" si="58"/>
        <v>2.4E-2</v>
      </c>
      <c r="I99" s="214">
        <f t="shared" si="58"/>
        <v>2.1000000000000001E-2</v>
      </c>
      <c r="J99" s="214">
        <f t="shared" si="58"/>
        <v>2.1000000000000001E-2</v>
      </c>
      <c r="K99" s="214">
        <f t="shared" si="58"/>
        <v>2.1999999999999999E-2</v>
      </c>
      <c r="L99" s="214">
        <f t="shared" si="58"/>
        <v>2.5000000000000001E-2</v>
      </c>
      <c r="M99" s="214">
        <f t="shared" si="58"/>
        <v>2.5000000000000001E-2</v>
      </c>
      <c r="N99" s="214">
        <f t="shared" si="58"/>
        <v>2.4E-2</v>
      </c>
      <c r="O99" s="214">
        <f t="shared" si="58"/>
        <v>2.5000000000000001E-2</v>
      </c>
      <c r="P99" s="214">
        <f t="shared" si="58"/>
        <v>2.9000000000000001E-2</v>
      </c>
      <c r="Q99" s="214">
        <f t="shared" si="58"/>
        <v>2.5000000000000001E-2</v>
      </c>
      <c r="R99" s="214">
        <f t="shared" ref="R99:S99" si="59">R58</f>
        <v>1.9E-2</v>
      </c>
      <c r="S99" s="214">
        <f t="shared" si="59"/>
        <v>2.1000000000000001E-2</v>
      </c>
      <c r="T99" s="214">
        <f t="shared" ref="T99:U99" si="60">T58</f>
        <v>0.02</v>
      </c>
      <c r="U99" s="214">
        <f t="shared" si="60"/>
        <v>2.1999999999999999E-2</v>
      </c>
      <c r="V99" s="214">
        <f t="shared" ref="V99:W99" si="61">V58</f>
        <v>0.02</v>
      </c>
      <c r="W99" s="214">
        <f t="shared" si="61"/>
        <v>2.1000000000000001E-2</v>
      </c>
    </row>
    <row r="101" spans="2:23">
      <c r="B101" s="202"/>
      <c r="D101" s="202"/>
      <c r="E101" s="202"/>
      <c r="F101" s="202"/>
      <c r="G101" s="202"/>
      <c r="H101" s="202"/>
      <c r="I101" s="202"/>
      <c r="J101" s="202"/>
      <c r="K101" s="202"/>
      <c r="L101" s="202"/>
      <c r="M101" s="202"/>
      <c r="N101" s="202"/>
      <c r="P101" s="217"/>
      <c r="Q101" s="217"/>
      <c r="R101" s="217"/>
      <c r="S101" s="217"/>
      <c r="T101" s="217"/>
      <c r="U101" s="217"/>
      <c r="V101" s="217"/>
      <c r="W101" s="217"/>
    </row>
    <row r="110" spans="2:23">
      <c r="B110" s="210" t="s">
        <v>547</v>
      </c>
      <c r="C110" s="219" t="str">
        <f>Quarts!AU4</f>
        <v>Q1 19</v>
      </c>
      <c r="D110" s="219" t="str">
        <f>Quarts!AV4</f>
        <v>Q2 19</v>
      </c>
      <c r="E110" s="219" t="str">
        <f>Quarts!AW4</f>
        <v>Q3 19</v>
      </c>
      <c r="F110" s="219" t="str">
        <f>Quarts!AX4</f>
        <v>Q4 19</v>
      </c>
      <c r="G110" s="219" t="str">
        <f>Quarts!AY4</f>
        <v>Q1 20</v>
      </c>
      <c r="H110" s="219" t="str">
        <f>Quarts!AZ4</f>
        <v>Q2 20</v>
      </c>
      <c r="I110" s="219" t="str">
        <f>Quarts!BA4</f>
        <v>Q3 20</v>
      </c>
      <c r="J110" s="219" t="str">
        <f>Quarts!BB4</f>
        <v>Q4 20</v>
      </c>
      <c r="K110" s="219" t="str">
        <f>Quarts!BC4</f>
        <v>Q1 21</v>
      </c>
      <c r="L110" s="219" t="str">
        <f>Quarts!BD4</f>
        <v>Q2 21</v>
      </c>
      <c r="M110" s="219" t="str">
        <f>Quarts!BE4</f>
        <v>Q3 21</v>
      </c>
      <c r="N110" s="219" t="str">
        <f>Quarts!BF4</f>
        <v>Q4 21</v>
      </c>
      <c r="O110" s="219" t="str">
        <f>Quarts!BG4</f>
        <v>Q1 22</v>
      </c>
      <c r="P110" s="219" t="str">
        <f>Quarts!BH4</f>
        <v>Q2 22</v>
      </c>
      <c r="Q110" s="219" t="str">
        <f>Quarts!BI4</f>
        <v>Q3 22</v>
      </c>
      <c r="R110" s="219" t="str">
        <f>Quarts!BJ4</f>
        <v>Q4 22</v>
      </c>
      <c r="S110" s="219" t="str">
        <f>Quarts!BK4</f>
        <v>Q1 23</v>
      </c>
      <c r="T110" s="219" t="str">
        <f>Quarts!BL4</f>
        <v>Q2 23</v>
      </c>
      <c r="U110" s="219" t="str">
        <f>Quarts!BM4</f>
        <v>Q3 23</v>
      </c>
      <c r="V110" s="219" t="str">
        <f>Quarts!BN4</f>
        <v>Q4 23</v>
      </c>
      <c r="W110" s="219" t="str">
        <f>Quarts!BO4</f>
        <v>Q1 24</v>
      </c>
    </row>
    <row r="111" spans="2:23">
      <c r="B111" s="202" t="s">
        <v>350</v>
      </c>
      <c r="C111" s="220">
        <f>Quarts!AU40</f>
        <v>228.6</v>
      </c>
      <c r="D111" s="220">
        <f>Quarts!AV40</f>
        <v>232.6</v>
      </c>
      <c r="E111" s="220">
        <f>Quarts!AW40</f>
        <v>232.3</v>
      </c>
      <c r="F111" s="220">
        <f>Quarts!AX40</f>
        <v>237.4</v>
      </c>
      <c r="G111" s="220">
        <f>Quarts!AY40</f>
        <v>241.8</v>
      </c>
      <c r="H111" s="220">
        <f>Quarts!AZ40</f>
        <v>233.6</v>
      </c>
      <c r="I111" s="220">
        <f>Quarts!BA40</f>
        <v>231.6</v>
      </c>
      <c r="J111" s="220">
        <f>Quarts!BB40</f>
        <v>229</v>
      </c>
      <c r="K111" s="220">
        <f>Quarts!BC40</f>
        <v>228.5</v>
      </c>
      <c r="L111" s="220">
        <f>Quarts!BD40</f>
        <v>226.1</v>
      </c>
      <c r="M111" s="220">
        <f>Quarts!BE40</f>
        <v>223.9</v>
      </c>
      <c r="N111" s="220">
        <f>Quarts!BF40</f>
        <v>231.7</v>
      </c>
      <c r="O111" s="220">
        <f>Quarts!BG40</f>
        <v>229</v>
      </c>
      <c r="P111" s="220">
        <f>Quarts!BH40</f>
        <v>230.7</v>
      </c>
      <c r="Q111" s="220">
        <f>Quarts!BI40</f>
        <v>229.3</v>
      </c>
      <c r="R111" s="220">
        <f>Quarts!BJ40</f>
        <v>232.8</v>
      </c>
      <c r="S111" s="220">
        <f>Quarts!BK40</f>
        <v>233.9</v>
      </c>
      <c r="T111" s="220">
        <f>Quarts!BL40</f>
        <v>232.7</v>
      </c>
      <c r="U111" s="220">
        <f>Quarts!BM40</f>
        <v>232.4</v>
      </c>
      <c r="V111" s="220">
        <f>Quarts!BN40</f>
        <v>240.7</v>
      </c>
      <c r="W111" s="220">
        <f>Quarts!BO40</f>
        <v>238.5</v>
      </c>
    </row>
    <row r="112" spans="2:23">
      <c r="B112" s="202" t="s">
        <v>172</v>
      </c>
      <c r="C112" s="220">
        <f>Quarts!AU41</f>
        <v>182</v>
      </c>
      <c r="D112" s="220">
        <f>Quarts!AV41</f>
        <v>182.7</v>
      </c>
      <c r="E112" s="220">
        <f>Quarts!AW41</f>
        <v>181.9</v>
      </c>
      <c r="F112" s="220">
        <f>Quarts!AX41</f>
        <v>185</v>
      </c>
      <c r="G112" s="220">
        <f>Quarts!AY41</f>
        <v>186.2</v>
      </c>
      <c r="H112" s="220">
        <f>Quarts!AZ41</f>
        <v>181.9</v>
      </c>
      <c r="I112" s="220">
        <f>Quarts!BA41</f>
        <v>181</v>
      </c>
      <c r="J112" s="220">
        <f>Quarts!BB41</f>
        <v>182.1</v>
      </c>
      <c r="K112" s="220">
        <f>Quarts!BC41</f>
        <v>185.5</v>
      </c>
      <c r="L112" s="220">
        <f>Quarts!BD41</f>
        <v>187</v>
      </c>
      <c r="M112" s="220">
        <f>Quarts!BE41</f>
        <v>185.7</v>
      </c>
      <c r="N112" s="220">
        <f>Quarts!BF41</f>
        <v>187.6</v>
      </c>
      <c r="O112" s="220">
        <f>Quarts!BG41</f>
        <v>188.4</v>
      </c>
      <c r="P112" s="220">
        <f>Quarts!BH41</f>
        <v>194</v>
      </c>
      <c r="Q112" s="220">
        <f>Quarts!BI41</f>
        <v>187.8</v>
      </c>
      <c r="R112" s="220">
        <f>Quarts!BJ41</f>
        <v>188.2</v>
      </c>
      <c r="S112" s="220">
        <f>Quarts!BK41</f>
        <v>189.3</v>
      </c>
      <c r="T112" s="220">
        <f>Quarts!BL41</f>
        <v>192.3</v>
      </c>
      <c r="U112" s="220">
        <f>Quarts!BM41</f>
        <v>193.4</v>
      </c>
      <c r="V112" s="220">
        <f>Quarts!BN41</f>
        <v>197.6</v>
      </c>
      <c r="W112" s="220">
        <f>Quarts!BO41</f>
        <v>198.7</v>
      </c>
    </row>
    <row r="139" spans="2:24">
      <c r="B139" s="210" t="s">
        <v>2993</v>
      </c>
      <c r="C139" s="223" t="str">
        <f>Quarts!AT4</f>
        <v>Q4 18</v>
      </c>
      <c r="D139" s="223" t="str">
        <f>Quarts!AU4</f>
        <v>Q1 19</v>
      </c>
      <c r="E139" s="223" t="str">
        <f>Quarts!AV4</f>
        <v>Q2 19</v>
      </c>
      <c r="F139" s="223" t="str">
        <f>Quarts!AW4</f>
        <v>Q3 19</v>
      </c>
      <c r="G139" s="223" t="str">
        <f>Quarts!AX4</f>
        <v>Q4 19</v>
      </c>
      <c r="H139" s="223" t="str">
        <f>Quarts!AY4</f>
        <v>Q1 20</v>
      </c>
      <c r="I139" s="223" t="str">
        <f>Quarts!AZ4</f>
        <v>Q2 20</v>
      </c>
      <c r="J139" s="223" t="str">
        <f>Quarts!BA4</f>
        <v>Q3 20</v>
      </c>
      <c r="K139" s="223" t="str">
        <f>Quarts!BB4</f>
        <v>Q4 20</v>
      </c>
      <c r="L139" s="223" t="str">
        <f>Quarts!BC4</f>
        <v>Q1 21</v>
      </c>
      <c r="M139" s="223" t="str">
        <f>Quarts!BD4</f>
        <v>Q2 21</v>
      </c>
      <c r="N139" s="223" t="str">
        <f>Quarts!BE4</f>
        <v>Q3 21</v>
      </c>
      <c r="O139" s="223" t="str">
        <f>Quarts!BF4</f>
        <v>Q4 21</v>
      </c>
      <c r="P139" s="223" t="str">
        <f>Quarts!BG4</f>
        <v>Q1 22</v>
      </c>
      <c r="Q139" s="223" t="str">
        <f>Quarts!BH4</f>
        <v>Q2 22</v>
      </c>
      <c r="R139" s="223" t="str">
        <f>Quarts!BI4</f>
        <v>Q3 22</v>
      </c>
      <c r="S139" s="223" t="str">
        <f>Quarts!BJ4</f>
        <v>Q4 22</v>
      </c>
      <c r="T139" s="223" t="str">
        <f>Quarts!BK4</f>
        <v>Q1 23</v>
      </c>
      <c r="U139" s="223" t="str">
        <f>Quarts!BL4</f>
        <v>Q2 23</v>
      </c>
      <c r="V139" s="223" t="str">
        <f>Quarts!BM4</f>
        <v>Q3 23</v>
      </c>
      <c r="W139" s="223" t="str">
        <f>Quarts!BN4</f>
        <v>Q4 23</v>
      </c>
      <c r="X139" s="223" t="str">
        <f>Quarts!BO4</f>
        <v>Q1 24</v>
      </c>
    </row>
    <row r="140" spans="2:24">
      <c r="B140" s="202" t="s">
        <v>3165</v>
      </c>
      <c r="C140" s="214">
        <f>Quarts!CU133</f>
        <v>6.2384274085546698E-2</v>
      </c>
      <c r="D140" s="214">
        <f>Quarts!CV133</f>
        <v>7.4520915006519806E-2</v>
      </c>
      <c r="E140" s="214">
        <f>Quarts!CW133</f>
        <v>9.9988715637431946E-2</v>
      </c>
      <c r="F140" s="214">
        <f>Quarts!CX133</f>
        <v>7.1173242543703052E-2</v>
      </c>
      <c r="G140" s="214">
        <f>Quarts!CY133</f>
        <v>0.10280615600473553</v>
      </c>
      <c r="H140" s="214">
        <f>Quarts!CZ133</f>
        <v>8.4779994455799867E-2</v>
      </c>
      <c r="I140" s="214">
        <f>Quarts!DA133</f>
        <v>4.1193704884096682E-2</v>
      </c>
      <c r="J140" s="214">
        <f>Quarts!DB133</f>
        <v>0.12108672010311361</v>
      </c>
      <c r="K140" s="214">
        <f>Quarts!DC133</f>
        <v>0.10022662484046796</v>
      </c>
      <c r="L140" s="214">
        <f>Quarts!DD133</f>
        <v>8.5425735288004789E-2</v>
      </c>
      <c r="M140" s="214">
        <f>Quarts!DE133</f>
        <v>0.10696331764001732</v>
      </c>
      <c r="N140" s="214">
        <f>Quarts!DF133</f>
        <v>8.3462136253009689E-2</v>
      </c>
      <c r="O140" s="214">
        <f>Quarts!DG133</f>
        <v>0.11560798292316177</v>
      </c>
      <c r="P140" s="214">
        <f>Quarts!DH133</f>
        <v>7.5095097235112318E-2</v>
      </c>
      <c r="Q140" s="214">
        <f>Quarts!DI133</f>
        <v>8.190036532713374E-2</v>
      </c>
      <c r="R140" s="214">
        <f>Quarts!DJ133</f>
        <v>5.0537467535740621E-2</v>
      </c>
      <c r="S140" s="214">
        <f>Quarts!DK133</f>
        <v>8.982001014520069E-3</v>
      </c>
      <c r="T140" s="214">
        <f>Quarts!DL133</f>
        <v>1.2453817390679633E-2</v>
      </c>
      <c r="U140" s="214">
        <f>Quarts!DM133</f>
        <v>9.1392380039059251E-3</v>
      </c>
      <c r="V140" s="214">
        <f>Quarts!DN133</f>
        <v>4.3630639395005E-2</v>
      </c>
      <c r="W140" s="214">
        <f>Quarts!DO133</f>
        <v>0.11004291305379343</v>
      </c>
      <c r="X140" s="214">
        <f>Quarts!DP133</f>
        <v>0.12601634597293399</v>
      </c>
    </row>
    <row r="141" spans="2:24">
      <c r="B141" s="203" t="s">
        <v>3164</v>
      </c>
      <c r="C141" s="338">
        <f>C76</f>
        <v>0.45098996519149226</v>
      </c>
      <c r="D141" s="338">
        <f t="shared" ref="D141:W141" si="62">D76</f>
        <v>0.49520659391868277</v>
      </c>
      <c r="E141" s="338">
        <f t="shared" si="62"/>
        <v>0.48875810960153249</v>
      </c>
      <c r="F141" s="338">
        <f t="shared" si="62"/>
        <v>0.45929995929995932</v>
      </c>
      <c r="G141" s="338">
        <f t="shared" si="62"/>
        <v>0.44714530795829299</v>
      </c>
      <c r="H141" s="338">
        <f t="shared" si="62"/>
        <v>0.50119427422275264</v>
      </c>
      <c r="I141" s="338">
        <f t="shared" si="62"/>
        <v>0.49813505235350403</v>
      </c>
      <c r="J141" s="338">
        <f t="shared" si="62"/>
        <v>0.4951264240798216</v>
      </c>
      <c r="K141" s="338">
        <f t="shared" si="62"/>
        <v>0.47869263141288226</v>
      </c>
      <c r="L141" s="338">
        <f t="shared" si="62"/>
        <v>0.50453454220856619</v>
      </c>
      <c r="M141" s="338">
        <f t="shared" si="62"/>
        <v>0.49655331640225597</v>
      </c>
      <c r="N141" s="338">
        <f t="shared" si="62"/>
        <v>0.4907502547630353</v>
      </c>
      <c r="O141" s="338">
        <f t="shared" si="62"/>
        <v>0.47689779020460499</v>
      </c>
      <c r="P141" s="338">
        <f t="shared" si="62"/>
        <v>0.49196562368855656</v>
      </c>
      <c r="Q141" s="338">
        <f t="shared" si="62"/>
        <v>0.48757840299611477</v>
      </c>
      <c r="R141" s="338">
        <f t="shared" si="62"/>
        <v>0.47025086519956921</v>
      </c>
      <c r="S141" s="338">
        <f t="shared" si="62"/>
        <v>0.4341293129616513</v>
      </c>
      <c r="T141" s="338">
        <f t="shared" si="62"/>
        <v>0.45702028526095795</v>
      </c>
      <c r="U141" s="338">
        <f t="shared" si="62"/>
        <v>0.44582457585031321</v>
      </c>
      <c r="V141" s="338">
        <f t="shared" si="62"/>
        <v>0.44137868520442131</v>
      </c>
      <c r="W141" s="338">
        <f t="shared" si="62"/>
        <v>0.44024804406763651</v>
      </c>
      <c r="X141" s="338">
        <f t="shared" ref="X141" si="63">X76</f>
        <v>0.46096268029856963</v>
      </c>
    </row>
    <row r="160" spans="2:11">
      <c r="B160" s="605"/>
      <c r="C160" s="605"/>
      <c r="D160" s="605" t="s">
        <v>3179</v>
      </c>
      <c r="E160" s="605"/>
      <c r="F160" s="605"/>
      <c r="G160" s="605" t="s">
        <v>3178</v>
      </c>
      <c r="H160" s="605" t="s">
        <v>3178</v>
      </c>
      <c r="I160" s="605"/>
      <c r="J160" s="605" t="s">
        <v>1232</v>
      </c>
      <c r="K160" s="605" t="s">
        <v>1232</v>
      </c>
    </row>
    <row r="161" spans="2:11">
      <c r="B161" s="606"/>
      <c r="C161" s="607" t="s">
        <v>3168</v>
      </c>
      <c r="D161" s="607" t="s">
        <v>3169</v>
      </c>
      <c r="E161" s="607" t="s">
        <v>3170</v>
      </c>
      <c r="F161" s="606"/>
      <c r="G161" s="607" t="s">
        <v>3169</v>
      </c>
      <c r="H161" s="607" t="s">
        <v>3170</v>
      </c>
      <c r="I161" s="607"/>
      <c r="J161" s="607" t="s">
        <v>3169</v>
      </c>
      <c r="K161" s="607" t="s">
        <v>3170</v>
      </c>
    </row>
    <row r="162" spans="2:11">
      <c r="B162" s="521" t="s">
        <v>3166</v>
      </c>
      <c r="C162" s="612">
        <f>AVERAGE(Quarts!BK134:BN134)</f>
        <v>0.4461178975958322</v>
      </c>
      <c r="D162" s="522" t="s">
        <v>3173</v>
      </c>
      <c r="E162" s="522" t="s">
        <v>3171</v>
      </c>
      <c r="F162" s="521"/>
      <c r="G162" s="612">
        <f>14495.8/32598.5</f>
        <v>0.44467690231145601</v>
      </c>
      <c r="H162" s="612">
        <f>17932.2/39108</f>
        <v>0.45853022399509052</v>
      </c>
      <c r="I162" s="521"/>
      <c r="J162" s="612">
        <f>Master!X13</f>
        <v>0.45496431252884467</v>
      </c>
      <c r="K162" s="612">
        <f>Master!AA13</f>
        <v>0.47284057893930931</v>
      </c>
    </row>
    <row r="163" spans="2:11">
      <c r="B163" s="608" t="s">
        <v>2995</v>
      </c>
      <c r="C163" s="609">
        <f>AVERAGE(Quarts!BK148:BN148)</f>
        <v>0.43109225593951594</v>
      </c>
      <c r="D163" s="611" t="s">
        <v>3172</v>
      </c>
      <c r="E163" s="611">
        <v>0.2</v>
      </c>
      <c r="F163" s="608"/>
      <c r="G163" s="609">
        <f>11133.4/32598.5</f>
        <v>0.34153105204227185</v>
      </c>
      <c r="H163" s="609">
        <f>9694.7/39108</f>
        <v>0.24789557123862127</v>
      </c>
      <c r="I163" s="608"/>
      <c r="J163" s="609">
        <f>Master!X45</f>
        <v>0.33</v>
      </c>
      <c r="K163" s="609">
        <f>Master!AA45</f>
        <v>0.23</v>
      </c>
    </row>
    <row r="164" spans="2:11">
      <c r="B164" s="521" t="s">
        <v>3167</v>
      </c>
      <c r="C164" s="612">
        <f>C162-C163</f>
        <v>1.5025641656316258E-2</v>
      </c>
      <c r="D164" s="522" t="s">
        <v>3182</v>
      </c>
      <c r="E164" s="522" t="s">
        <v>763</v>
      </c>
      <c r="F164" s="521"/>
      <c r="G164" s="612">
        <f>G162-G163</f>
        <v>0.10314585026918416</v>
      </c>
      <c r="H164" s="612">
        <f>H162-H163</f>
        <v>0.21063465275646925</v>
      </c>
      <c r="I164" s="522"/>
      <c r="J164" s="612">
        <f>J162-J163</f>
        <v>0.12496431252884466</v>
      </c>
      <c r="K164" s="612">
        <f>K162-K163</f>
        <v>0.2428405789393093</v>
      </c>
    </row>
    <row r="165" spans="2:11">
      <c r="B165" s="608" t="s">
        <v>3175</v>
      </c>
      <c r="C165" s="610" t="s">
        <v>3176</v>
      </c>
      <c r="D165" s="763" t="s">
        <v>3177</v>
      </c>
      <c r="E165" s="763"/>
      <c r="F165" s="608"/>
      <c r="G165" s="608"/>
      <c r="H165" s="608"/>
      <c r="I165" s="608"/>
      <c r="J165" s="610" t="s">
        <v>3180</v>
      </c>
      <c r="K165" s="610" t="s">
        <v>3181</v>
      </c>
    </row>
    <row r="166" spans="2:11" ht="19.5" customHeight="1">
      <c r="D166" s="763"/>
      <c r="E166" s="763"/>
    </row>
    <row r="167" spans="2:11">
      <c r="B167" s="521" t="s">
        <v>2760</v>
      </c>
      <c r="C167" s="613">
        <f>AVERAGE(Quarts!BK39:BN39)</f>
        <v>421.55</v>
      </c>
      <c r="D167" s="522"/>
      <c r="E167" s="522" t="s">
        <v>3174</v>
      </c>
      <c r="F167" s="521"/>
      <c r="G167" s="521"/>
      <c r="H167" s="521"/>
      <c r="I167" s="521"/>
      <c r="J167" s="521"/>
      <c r="K167" s="521"/>
    </row>
  </sheetData>
  <mergeCells count="1">
    <mergeCell ref="D165:E166"/>
  </mergeCells>
  <phoneticPr fontId="12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B765-1E02-451A-B002-44CCF1ACF028}">
  <dimension ref="A1:BJ484"/>
  <sheetViews>
    <sheetView showGridLines="0" zoomScale="72" zoomScaleNormal="72" workbookViewId="0">
      <pane xSplit="2" topLeftCell="K1" activePane="topRight" state="frozen"/>
      <selection pane="topRight" activeCell="T15" sqref="T15"/>
    </sheetView>
  </sheetViews>
  <sheetFormatPr defaultRowHeight="15"/>
  <cols>
    <col min="1" max="1" width="1.42578125" customWidth="1"/>
    <col min="2" max="2" width="38.7109375" customWidth="1"/>
    <col min="3" max="4" width="10.7109375" hidden="1" customWidth="1"/>
    <col min="5" max="5" width="14" hidden="1" customWidth="1"/>
    <col min="6" max="6" width="15.7109375" hidden="1" customWidth="1"/>
    <col min="7" max="7" width="13.28515625" hidden="1" customWidth="1" collapsed="1"/>
    <col min="8" max="10" width="10.7109375" hidden="1" customWidth="1"/>
    <col min="11" max="32" width="10.7109375" customWidth="1"/>
  </cols>
  <sheetData>
    <row r="1" spans="1:62">
      <c r="A1" s="203"/>
      <c r="B1" s="203"/>
      <c r="C1" s="203"/>
      <c r="D1" s="203"/>
      <c r="E1" s="203"/>
      <c r="F1" s="203"/>
      <c r="G1" s="203"/>
      <c r="H1" s="203"/>
      <c r="I1" s="203"/>
      <c r="J1" s="203"/>
      <c r="K1" s="203"/>
      <c r="L1" s="203"/>
      <c r="M1" s="203"/>
      <c r="N1" s="337"/>
      <c r="O1" s="337"/>
      <c r="P1" s="337"/>
      <c r="Q1" s="337"/>
      <c r="R1" s="337"/>
      <c r="S1" s="337"/>
      <c r="T1" s="337"/>
      <c r="U1" s="203"/>
      <c r="V1" s="337"/>
      <c r="W1" s="337"/>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row>
    <row r="2" spans="1:62">
      <c r="A2" s="203"/>
      <c r="B2" s="317" t="s">
        <v>2690</v>
      </c>
      <c r="C2" s="615" t="s">
        <v>1729</v>
      </c>
      <c r="D2" s="615" t="s">
        <v>1871</v>
      </c>
      <c r="E2" s="615" t="s">
        <v>2066</v>
      </c>
      <c r="F2" s="615" t="s">
        <v>2157</v>
      </c>
      <c r="G2" s="615" t="s">
        <v>2190</v>
      </c>
      <c r="H2" s="615" t="s">
        <v>2298</v>
      </c>
      <c r="I2" s="615" t="s">
        <v>2307</v>
      </c>
      <c r="J2" s="615" t="s">
        <v>2542</v>
      </c>
      <c r="K2" s="615" t="s">
        <v>2687</v>
      </c>
      <c r="L2" s="615" t="s">
        <v>2693</v>
      </c>
      <c r="M2" s="615" t="s">
        <v>2697</v>
      </c>
      <c r="N2" s="615" t="s">
        <v>2880</v>
      </c>
      <c r="O2" s="615" t="s">
        <v>2890</v>
      </c>
      <c r="P2" s="615" t="s">
        <v>2997</v>
      </c>
      <c r="Q2" s="615" t="s">
        <v>3010</v>
      </c>
      <c r="R2" s="615" t="s">
        <v>3162</v>
      </c>
      <c r="S2" s="615" t="s">
        <v>3210</v>
      </c>
      <c r="T2" s="616"/>
      <c r="U2" s="226"/>
      <c r="V2" s="615" t="str">
        <f t="shared" ref="V2:AH2" si="0">G2</f>
        <v>Q1 21</v>
      </c>
      <c r="W2" s="615" t="str">
        <f t="shared" si="0"/>
        <v>Q2 21</v>
      </c>
      <c r="X2" s="615" t="str">
        <f t="shared" si="0"/>
        <v>Q3 21</v>
      </c>
      <c r="Y2" s="615" t="str">
        <f t="shared" si="0"/>
        <v>Q4 21</v>
      </c>
      <c r="Z2" s="615" t="str">
        <f t="shared" si="0"/>
        <v>Q1 22</v>
      </c>
      <c r="AA2" s="615" t="str">
        <f t="shared" si="0"/>
        <v>Q2 22</v>
      </c>
      <c r="AB2" s="615" t="str">
        <f t="shared" si="0"/>
        <v>Q3 22</v>
      </c>
      <c r="AC2" s="615" t="str">
        <f t="shared" si="0"/>
        <v>Q4 22</v>
      </c>
      <c r="AD2" s="615" t="str">
        <f t="shared" si="0"/>
        <v>Q1 23</v>
      </c>
      <c r="AE2" s="615" t="str">
        <f t="shared" si="0"/>
        <v>Q2 23</v>
      </c>
      <c r="AF2" s="615" t="str">
        <f t="shared" si="0"/>
        <v>Q3 23</v>
      </c>
      <c r="AG2" s="615" t="str">
        <f t="shared" si="0"/>
        <v>Q4 23</v>
      </c>
      <c r="AH2" s="615" t="str">
        <f t="shared" si="0"/>
        <v>Q1 24</v>
      </c>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row>
    <row r="3" spans="1:62">
      <c r="A3" s="203"/>
      <c r="B3" s="521" t="s">
        <v>3196</v>
      </c>
      <c r="C3" s="530">
        <v>2861.3</v>
      </c>
      <c r="D3" s="530">
        <v>3267.4398499999998</v>
      </c>
      <c r="E3" s="530">
        <v>3703.1065200000003</v>
      </c>
      <c r="F3" s="530">
        <v>4280</v>
      </c>
      <c r="G3" s="530">
        <v>4789</v>
      </c>
      <c r="H3" s="530">
        <v>5258</v>
      </c>
      <c r="I3" s="530">
        <v>5610</v>
      </c>
      <c r="J3" s="530">
        <v>6105</v>
      </c>
      <c r="K3" s="530">
        <v>6900</v>
      </c>
      <c r="L3" s="530">
        <v>7354</v>
      </c>
      <c r="M3" s="530">
        <v>7890</v>
      </c>
      <c r="N3" s="530">
        <v>8398</v>
      </c>
      <c r="O3" s="530">
        <v>8200</v>
      </c>
      <c r="P3" s="530">
        <v>8521</v>
      </c>
      <c r="Q3" s="530">
        <v>8847</v>
      </c>
      <c r="R3" s="530">
        <v>8945</v>
      </c>
      <c r="S3" s="530">
        <v>9020</v>
      </c>
      <c r="T3" s="527"/>
      <c r="U3" s="226"/>
      <c r="V3" s="618">
        <f t="shared" ref="V3:AH7" si="1">G3/C3-1</f>
        <v>0.67371474504595796</v>
      </c>
      <c r="W3" s="618">
        <f t="shared" si="1"/>
        <v>0.60921095456432051</v>
      </c>
      <c r="X3" s="618">
        <f t="shared" si="1"/>
        <v>0.51494426900795709</v>
      </c>
      <c r="Y3" s="618">
        <f t="shared" si="1"/>
        <v>0.42640186915887845</v>
      </c>
      <c r="Z3" s="618">
        <f t="shared" si="1"/>
        <v>0.44080183754437252</v>
      </c>
      <c r="AA3" s="618">
        <f t="shared" si="1"/>
        <v>0.39863065804488396</v>
      </c>
      <c r="AB3" s="618">
        <f t="shared" si="1"/>
        <v>0.40641711229946531</v>
      </c>
      <c r="AC3" s="618">
        <f t="shared" si="1"/>
        <v>0.37559377559377549</v>
      </c>
      <c r="AD3" s="618">
        <f t="shared" si="1"/>
        <v>0.18840579710144922</v>
      </c>
      <c r="AE3" s="618">
        <f t="shared" si="1"/>
        <v>0.15868914876257811</v>
      </c>
      <c r="AF3" s="618">
        <f t="shared" si="1"/>
        <v>0.1212927756653992</v>
      </c>
      <c r="AG3" s="618">
        <f t="shared" si="1"/>
        <v>6.5134555846630082E-2</v>
      </c>
      <c r="AH3" s="618">
        <f t="shared" si="1"/>
        <v>0.10000000000000009</v>
      </c>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row>
    <row r="4" spans="1:62">
      <c r="A4" s="203"/>
      <c r="B4" s="203" t="s">
        <v>3002</v>
      </c>
      <c r="C4" s="527">
        <f>Quarts!AY103</f>
        <v>5010.5150000000003</v>
      </c>
      <c r="D4" s="527">
        <f>Quarts!AZ103</f>
        <v>4952.9610000000002</v>
      </c>
      <c r="E4" s="527">
        <f>Quarts!BA103</f>
        <v>5123.9129999999996</v>
      </c>
      <c r="F4" s="527">
        <f>Quarts!BB103</f>
        <v>5267.9489999999996</v>
      </c>
      <c r="G4" s="527">
        <f>Quarts!BC103</f>
        <v>5458.9</v>
      </c>
      <c r="H4" s="527">
        <f>Quarts!BD103</f>
        <v>5544</v>
      </c>
      <c r="I4" s="527">
        <f>Quarts!BE103</f>
        <v>5624.4920000000002</v>
      </c>
      <c r="J4" s="527">
        <f>Quarts!BF103</f>
        <v>5912.8119999999999</v>
      </c>
      <c r="K4" s="527">
        <f>Quarts!BG103</f>
        <v>6022.0550000000003</v>
      </c>
      <c r="L4" s="527">
        <f>Quarts!BH103</f>
        <v>6104.3189999999995</v>
      </c>
      <c r="M4" s="527">
        <f>Quarts!BI103</f>
        <v>6133.61</v>
      </c>
      <c r="N4" s="527">
        <f>Quarts!BJ103</f>
        <v>6308</v>
      </c>
      <c r="O4" s="527">
        <f>Quarts!BK103</f>
        <v>6516.4530000000004</v>
      </c>
      <c r="P4" s="527">
        <f>Quarts!BL103</f>
        <v>6717.518</v>
      </c>
      <c r="Q4" s="527">
        <f>Quarts!BM103</f>
        <v>6907.5460000000003</v>
      </c>
      <c r="R4" s="527">
        <f>Quarts!BN103</f>
        <v>7167.9380000000001</v>
      </c>
      <c r="S4" s="527">
        <f>Quarts!BO103</f>
        <v>7330.2929999999997</v>
      </c>
      <c r="T4" s="527"/>
      <c r="U4" s="226"/>
      <c r="V4" s="619">
        <f t="shared" si="1"/>
        <v>8.9488805042994501E-2</v>
      </c>
      <c r="W4" s="619">
        <f t="shared" si="1"/>
        <v>0.11933043688411837</v>
      </c>
      <c r="X4" s="619">
        <f t="shared" si="1"/>
        <v>9.7694672021168438E-2</v>
      </c>
      <c r="Y4" s="619">
        <f t="shared" si="1"/>
        <v>0.12241253664376783</v>
      </c>
      <c r="Z4" s="619">
        <f t="shared" si="1"/>
        <v>0.10316272509113578</v>
      </c>
      <c r="AA4" s="619">
        <f t="shared" si="1"/>
        <v>0.10106764069264051</v>
      </c>
      <c r="AB4" s="619">
        <f t="shared" si="1"/>
        <v>9.0518041451565612E-2</v>
      </c>
      <c r="AC4" s="619">
        <f t="shared" si="1"/>
        <v>6.6835881134052588E-2</v>
      </c>
      <c r="AD4" s="619">
        <f t="shared" si="1"/>
        <v>8.2097888511479811E-2</v>
      </c>
      <c r="AE4" s="619">
        <f t="shared" si="1"/>
        <v>0.10045330199814262</v>
      </c>
      <c r="AF4" s="619">
        <f t="shared" si="1"/>
        <v>0.12617952559748669</v>
      </c>
      <c r="AG4" s="619">
        <f t="shared" si="1"/>
        <v>0.1363249841471148</v>
      </c>
      <c r="AH4" s="619">
        <f t="shared" si="1"/>
        <v>0.12489002836358964</v>
      </c>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row>
    <row r="5" spans="1:62">
      <c r="A5" s="203"/>
      <c r="B5" s="521" t="s">
        <v>3197</v>
      </c>
      <c r="C5" s="530">
        <v>9756</v>
      </c>
      <c r="D5" s="530">
        <v>9929</v>
      </c>
      <c r="E5" s="530">
        <v>10227</v>
      </c>
      <c r="F5" s="530">
        <v>10529.4</v>
      </c>
      <c r="G5" s="530">
        <v>10465</v>
      </c>
      <c r="H5" s="530">
        <v>10565</v>
      </c>
      <c r="I5" s="530">
        <v>10823</v>
      </c>
      <c r="J5" s="530">
        <v>11036.9</v>
      </c>
      <c r="K5" s="530">
        <v>10820.6</v>
      </c>
      <c r="L5" s="530">
        <v>10965.6</v>
      </c>
      <c r="M5" s="530">
        <v>11034</v>
      </c>
      <c r="N5" s="530">
        <v>11138</v>
      </c>
      <c r="O5" s="530">
        <v>11255.2</v>
      </c>
      <c r="P5" s="530">
        <v>11439</v>
      </c>
      <c r="Q5" s="530">
        <v>11231</v>
      </c>
      <c r="R5" s="530">
        <v>11108.7</v>
      </c>
      <c r="S5" s="530">
        <v>10844</v>
      </c>
      <c r="T5" s="527"/>
      <c r="U5" s="226"/>
      <c r="V5" s="618">
        <f t="shared" si="1"/>
        <v>7.2673226732267393E-2</v>
      </c>
      <c r="W5" s="618">
        <f t="shared" si="1"/>
        <v>6.4054789001913637E-2</v>
      </c>
      <c r="X5" s="618">
        <f t="shared" si="1"/>
        <v>5.8277109611811762E-2</v>
      </c>
      <c r="Y5" s="618">
        <f t="shared" si="1"/>
        <v>4.8198377875282583E-2</v>
      </c>
      <c r="Z5" s="618">
        <f t="shared" si="1"/>
        <v>3.3979933110367844E-2</v>
      </c>
      <c r="AA5" s="618">
        <f t="shared" si="1"/>
        <v>3.7917652626597187E-2</v>
      </c>
      <c r="AB5" s="618">
        <f t="shared" si="1"/>
        <v>1.9495518802550071E-2</v>
      </c>
      <c r="AC5" s="618">
        <f t="shared" si="1"/>
        <v>9.1601808478829483E-3</v>
      </c>
      <c r="AD5" s="618">
        <f t="shared" si="1"/>
        <v>4.0164131379036405E-2</v>
      </c>
      <c r="AE5" s="618">
        <f t="shared" si="1"/>
        <v>4.3171372291529897E-2</v>
      </c>
      <c r="AF5" s="618">
        <f t="shared" si="1"/>
        <v>1.7853906108392215E-2</v>
      </c>
      <c r="AG5" s="618">
        <f t="shared" si="1"/>
        <v>-2.6306338660441186E-3</v>
      </c>
      <c r="AH5" s="618">
        <f t="shared" si="1"/>
        <v>-3.6534224180823194E-2</v>
      </c>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row>
    <row r="6" spans="1:62">
      <c r="A6" s="203"/>
      <c r="B6" s="358" t="s">
        <v>605</v>
      </c>
      <c r="C6" s="620">
        <v>19044</v>
      </c>
      <c r="D6" s="620">
        <v>19066</v>
      </c>
      <c r="E6" s="620">
        <v>18613</v>
      </c>
      <c r="F6" s="620">
        <v>18912</v>
      </c>
      <c r="G6" s="620">
        <v>19039</v>
      </c>
      <c r="H6" s="620">
        <v>18984</v>
      </c>
      <c r="I6" s="620">
        <v>18973</v>
      </c>
      <c r="J6" s="620">
        <v>19163</v>
      </c>
      <c r="K6" s="620">
        <v>18435</v>
      </c>
      <c r="L6" s="620">
        <v>18500</v>
      </c>
      <c r="M6" s="620">
        <v>19023</v>
      </c>
      <c r="N6" s="620">
        <v>18919</v>
      </c>
      <c r="O6" s="620">
        <v>19193</v>
      </c>
      <c r="P6" s="620">
        <v>19534</v>
      </c>
      <c r="Q6" s="620">
        <v>19706</v>
      </c>
      <c r="R6" s="620">
        <v>20042</v>
      </c>
      <c r="S6" s="620">
        <v>21058</v>
      </c>
      <c r="T6" s="527"/>
      <c r="U6" s="226"/>
      <c r="V6" s="621">
        <f t="shared" si="1"/>
        <v>-2.6254988447804717E-4</v>
      </c>
      <c r="W6" s="621">
        <f t="shared" si="1"/>
        <v>-4.300849680058727E-3</v>
      </c>
      <c r="X6" s="621">
        <f t="shared" si="1"/>
        <v>1.9341320582388688E-2</v>
      </c>
      <c r="Y6" s="621">
        <f t="shared" si="1"/>
        <v>1.3271996615905168E-2</v>
      </c>
      <c r="Z6" s="621">
        <f t="shared" si="1"/>
        <v>-3.1724355270760007E-2</v>
      </c>
      <c r="AA6" s="621">
        <f t="shared" si="1"/>
        <v>-2.5495153813737903E-2</v>
      </c>
      <c r="AB6" s="621">
        <f t="shared" si="1"/>
        <v>2.6353238813050517E-3</v>
      </c>
      <c r="AC6" s="621">
        <f t="shared" si="1"/>
        <v>-1.2732870636121718E-2</v>
      </c>
      <c r="AD6" s="621">
        <f t="shared" si="1"/>
        <v>4.1117439652834209E-2</v>
      </c>
      <c r="AE6" s="621">
        <f t="shared" si="1"/>
        <v>5.589189189189181E-2</v>
      </c>
      <c r="AF6" s="621">
        <f t="shared" si="1"/>
        <v>3.5903905798244207E-2</v>
      </c>
      <c r="AG6" s="621">
        <f t="shared" si="1"/>
        <v>5.9358317035784092E-2</v>
      </c>
      <c r="AH6" s="621">
        <f t="shared" si="1"/>
        <v>9.717084353670602E-2</v>
      </c>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row>
    <row r="7" spans="1:62">
      <c r="A7" s="203"/>
      <c r="B7" s="622" t="s">
        <v>21</v>
      </c>
      <c r="C7" s="623">
        <f t="shared" ref="C7:M7" si="2">SUM(C3:C6)</f>
        <v>36671.815000000002</v>
      </c>
      <c r="D7" s="623">
        <f t="shared" si="2"/>
        <v>37215.400849999998</v>
      </c>
      <c r="E7" s="623">
        <f t="shared" si="2"/>
        <v>37667.019520000002</v>
      </c>
      <c r="F7" s="623">
        <f t="shared" si="2"/>
        <v>38989.349000000002</v>
      </c>
      <c r="G7" s="623">
        <f t="shared" si="2"/>
        <v>39751.9</v>
      </c>
      <c r="H7" s="623">
        <f t="shared" si="2"/>
        <v>40351</v>
      </c>
      <c r="I7" s="623">
        <f t="shared" si="2"/>
        <v>41030.491999999998</v>
      </c>
      <c r="J7" s="623">
        <f t="shared" si="2"/>
        <v>42217.712</v>
      </c>
      <c r="K7" s="623">
        <f t="shared" si="2"/>
        <v>42177.654999999999</v>
      </c>
      <c r="L7" s="623">
        <f t="shared" si="2"/>
        <v>42923.919000000002</v>
      </c>
      <c r="M7" s="623">
        <f t="shared" si="2"/>
        <v>44080.61</v>
      </c>
      <c r="N7" s="623">
        <f t="shared" ref="N7:R7" si="3">SUM(N3:N6)</f>
        <v>44763</v>
      </c>
      <c r="O7" s="623">
        <f t="shared" si="3"/>
        <v>45164.653000000006</v>
      </c>
      <c r="P7" s="623">
        <f t="shared" si="3"/>
        <v>46211.517999999996</v>
      </c>
      <c r="Q7" s="623">
        <f t="shared" si="3"/>
        <v>46691.546000000002</v>
      </c>
      <c r="R7" s="623">
        <f t="shared" si="3"/>
        <v>47263.637999999999</v>
      </c>
      <c r="S7" s="623">
        <f t="shared" ref="S7" si="4">SUM(S3:S6)</f>
        <v>48252.292999999998</v>
      </c>
      <c r="T7" s="648"/>
      <c r="U7" s="616"/>
      <c r="V7" s="624">
        <f t="shared" si="1"/>
        <v>8.399052514853711E-2</v>
      </c>
      <c r="W7" s="624">
        <f t="shared" si="1"/>
        <v>8.4255417874936178E-2</v>
      </c>
      <c r="X7" s="624">
        <f t="shared" si="1"/>
        <v>8.9294893061929059E-2</v>
      </c>
      <c r="Y7" s="624">
        <f t="shared" si="1"/>
        <v>8.2801151668369766E-2</v>
      </c>
      <c r="Z7" s="624">
        <f t="shared" si="1"/>
        <v>6.1022366226519908E-2</v>
      </c>
      <c r="AA7" s="624">
        <f t="shared" si="1"/>
        <v>6.3763450719932724E-2</v>
      </c>
      <c r="AB7" s="624">
        <f t="shared" si="1"/>
        <v>7.4337836358384424E-2</v>
      </c>
      <c r="AC7" s="624">
        <f t="shared" si="1"/>
        <v>6.028957703818727E-2</v>
      </c>
      <c r="AD7" s="624">
        <f t="shared" si="1"/>
        <v>7.0819442190420689E-2</v>
      </c>
      <c r="AE7" s="624">
        <f t="shared" si="1"/>
        <v>7.6591305654080566E-2</v>
      </c>
      <c r="AF7" s="624">
        <f t="shared" si="1"/>
        <v>5.9230940769649187E-2</v>
      </c>
      <c r="AG7" s="624">
        <f t="shared" si="1"/>
        <v>5.5863950137390317E-2</v>
      </c>
      <c r="AH7" s="624">
        <f t="shared" si="1"/>
        <v>6.8364081087924911E-2</v>
      </c>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row>
    <row r="8" spans="1:62">
      <c r="A8" s="203"/>
      <c r="B8" s="203"/>
      <c r="C8" s="527"/>
      <c r="D8" s="527"/>
      <c r="E8" s="527"/>
      <c r="F8" s="527"/>
      <c r="G8" s="527"/>
      <c r="H8" s="527"/>
      <c r="I8" s="527"/>
      <c r="J8" s="527"/>
      <c r="K8" s="527"/>
      <c r="L8" s="527"/>
      <c r="M8" s="527"/>
      <c r="N8" s="527"/>
      <c r="O8" s="527"/>
      <c r="P8" s="527"/>
      <c r="Q8" s="527"/>
      <c r="R8" s="527"/>
      <c r="S8" s="527"/>
      <c r="T8" s="527"/>
      <c r="U8" s="226"/>
      <c r="V8" s="619"/>
      <c r="W8" s="619"/>
      <c r="X8" s="619"/>
      <c r="Y8" s="619"/>
      <c r="Z8" s="619"/>
      <c r="AA8" s="619"/>
      <c r="AB8" s="619"/>
      <c r="AC8" s="619"/>
      <c r="AD8" s="619"/>
      <c r="AE8" s="619"/>
      <c r="AF8" s="619"/>
      <c r="AG8" s="619"/>
      <c r="AH8" s="619"/>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row>
    <row r="9" spans="1:62">
      <c r="A9" s="203"/>
      <c r="B9" s="622" t="s">
        <v>16</v>
      </c>
      <c r="C9" s="530"/>
      <c r="D9" s="530"/>
      <c r="E9" s="530"/>
      <c r="F9" s="530"/>
      <c r="G9" s="530"/>
      <c r="H9" s="530"/>
      <c r="I9" s="530"/>
      <c r="J9" s="530"/>
      <c r="K9" s="530"/>
      <c r="L9" s="530"/>
      <c r="M9" s="530"/>
      <c r="N9" s="530"/>
      <c r="O9" s="530"/>
      <c r="P9" s="530"/>
      <c r="Q9" s="530"/>
      <c r="R9" s="530"/>
      <c r="S9" s="530"/>
      <c r="T9" s="527"/>
      <c r="U9" s="226"/>
      <c r="V9" s="617"/>
      <c r="W9" s="617"/>
      <c r="X9" s="617"/>
      <c r="Y9" s="617"/>
      <c r="Z9" s="617"/>
      <c r="AA9" s="617"/>
      <c r="AB9" s="617"/>
      <c r="AC9" s="617"/>
      <c r="AD9" s="617"/>
      <c r="AE9" s="617"/>
      <c r="AF9" s="617"/>
      <c r="AG9" s="617"/>
      <c r="AH9" s="617"/>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row>
    <row r="10" spans="1:62">
      <c r="A10" s="203"/>
      <c r="B10" s="203" t="s">
        <v>2114</v>
      </c>
      <c r="C10" s="527">
        <v>1643</v>
      </c>
      <c r="D10" s="527">
        <f>3141-C10</f>
        <v>1498</v>
      </c>
      <c r="E10" s="527">
        <v>1779</v>
      </c>
      <c r="F10" s="527">
        <v>2469</v>
      </c>
      <c r="G10" s="527">
        <v>2676</v>
      </c>
      <c r="H10" s="527">
        <f>5633-G10</f>
        <v>2957</v>
      </c>
      <c r="I10" s="527">
        <v>3056</v>
      </c>
      <c r="J10" s="527">
        <v>3345</v>
      </c>
      <c r="K10" s="527">
        <v>3728</v>
      </c>
      <c r="L10" s="527">
        <v>3805</v>
      </c>
      <c r="M10" s="527">
        <v>4055</v>
      </c>
      <c r="N10" s="527">
        <v>4379</v>
      </c>
      <c r="O10" s="527">
        <v>4434</v>
      </c>
      <c r="P10" s="527">
        <v>4377</v>
      </c>
      <c r="Q10" s="527">
        <v>4814</v>
      </c>
      <c r="R10" s="527">
        <v>4736</v>
      </c>
      <c r="S10" s="527">
        <v>4988</v>
      </c>
      <c r="T10" s="527"/>
      <c r="U10" s="226"/>
      <c r="V10" s="619">
        <f t="shared" ref="V10:AH12" si="5">G10/C10-1</f>
        <v>0.62872793670115645</v>
      </c>
      <c r="W10" s="619">
        <f t="shared" si="5"/>
        <v>0.97396528704939911</v>
      </c>
      <c r="X10" s="619">
        <f t="shared" si="5"/>
        <v>0.71781899943788652</v>
      </c>
      <c r="Y10" s="619">
        <f t="shared" si="5"/>
        <v>0.35479951397326848</v>
      </c>
      <c r="Z10" s="619">
        <f t="shared" si="5"/>
        <v>0.39312406576980563</v>
      </c>
      <c r="AA10" s="619">
        <f t="shared" si="5"/>
        <v>0.28677713899222179</v>
      </c>
      <c r="AB10" s="619">
        <f t="shared" si="5"/>
        <v>0.32689790575916233</v>
      </c>
      <c r="AC10" s="619">
        <f t="shared" si="5"/>
        <v>0.30911808669656193</v>
      </c>
      <c r="AD10" s="619">
        <f t="shared" si="5"/>
        <v>0.18937768240343344</v>
      </c>
      <c r="AE10" s="619">
        <f t="shared" si="5"/>
        <v>0.15032851511169509</v>
      </c>
      <c r="AF10" s="619">
        <f t="shared" si="5"/>
        <v>0.1871763255240444</v>
      </c>
      <c r="AG10" s="619">
        <f t="shared" si="5"/>
        <v>8.1525462434345775E-2</v>
      </c>
      <c r="AH10" s="619">
        <f t="shared" si="5"/>
        <v>0.12494361750112759</v>
      </c>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row>
    <row r="11" spans="1:62">
      <c r="A11" s="203"/>
      <c r="B11" s="521" t="str">
        <f>B4</f>
        <v>MEGA (Cable)</v>
      </c>
      <c r="C11" s="530">
        <f>Quarts!AY111</f>
        <v>2589.8719999999998</v>
      </c>
      <c r="D11" s="530">
        <f>Quarts!AZ111</f>
        <v>2537.1190000000001</v>
      </c>
      <c r="E11" s="530">
        <f>Quarts!BA111</f>
        <v>2617.8629999999998</v>
      </c>
      <c r="F11" s="530">
        <f>Quarts!BB111</f>
        <v>2601.5700000000002</v>
      </c>
      <c r="G11" s="530">
        <f>Quarts!BC111</f>
        <v>2836.9349999999999</v>
      </c>
      <c r="H11" s="530">
        <f>Quarts!BD111</f>
        <v>2838</v>
      </c>
      <c r="I11" s="530">
        <f>Quarts!BE111</f>
        <v>2847.819</v>
      </c>
      <c r="J11" s="530">
        <f>Quarts!BF111</f>
        <v>2949.22</v>
      </c>
      <c r="K11" s="530">
        <f>Quarts!BG111</f>
        <v>3060.01</v>
      </c>
      <c r="L11" s="530">
        <f>Quarts!BH111</f>
        <v>3065.346</v>
      </c>
      <c r="M11" s="530">
        <f>Quarts!BI111</f>
        <v>2980.1610000000001</v>
      </c>
      <c r="N11" s="530">
        <f>Quarts!BJ111</f>
        <v>2958</v>
      </c>
      <c r="O11" s="530">
        <f>Quarts!BK111</f>
        <v>3084.652</v>
      </c>
      <c r="P11" s="530">
        <f>Quarts!BL111</f>
        <v>3093.5590000000002</v>
      </c>
      <c r="Q11" s="530">
        <f>Quarts!BM111</f>
        <v>3139.6759999999999</v>
      </c>
      <c r="R11" s="530">
        <f>Quarts!BN111</f>
        <v>3295.3020000000001</v>
      </c>
      <c r="S11" s="530">
        <f>Quarts!BO111</f>
        <v>3466.7629999999999</v>
      </c>
      <c r="T11" s="527"/>
      <c r="U11" s="226"/>
      <c r="V11" s="618">
        <f t="shared" si="5"/>
        <v>9.5395834234278887E-2</v>
      </c>
      <c r="W11" s="618">
        <f t="shared" si="5"/>
        <v>0.11859159936920571</v>
      </c>
      <c r="X11" s="618">
        <f t="shared" si="5"/>
        <v>8.7841113152216099E-2</v>
      </c>
      <c r="Y11" s="618">
        <f t="shared" si="5"/>
        <v>0.13363084598915265</v>
      </c>
      <c r="Z11" s="618">
        <f t="shared" si="5"/>
        <v>7.8632397287918154E-2</v>
      </c>
      <c r="AA11" s="618">
        <f t="shared" si="5"/>
        <v>8.0107822410147911E-2</v>
      </c>
      <c r="AB11" s="618">
        <f t="shared" si="5"/>
        <v>4.6471352287487333E-2</v>
      </c>
      <c r="AC11" s="618">
        <f t="shared" si="5"/>
        <v>2.9770583408494922E-3</v>
      </c>
      <c r="AD11" s="618">
        <f t="shared" si="5"/>
        <v>8.0529148597552336E-3</v>
      </c>
      <c r="AE11" s="618">
        <f t="shared" si="5"/>
        <v>9.2038549644968271E-3</v>
      </c>
      <c r="AF11" s="618">
        <f t="shared" si="5"/>
        <v>5.3525631668893014E-2</v>
      </c>
      <c r="AG11" s="618">
        <f t="shared" si="5"/>
        <v>0.11403042596348878</v>
      </c>
      <c r="AH11" s="618">
        <f t="shared" si="5"/>
        <v>0.12387491360451675</v>
      </c>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row>
    <row r="12" spans="1:62">
      <c r="A12" s="203"/>
      <c r="B12" s="358" t="str">
        <f>B5</f>
        <v>TV (Retail)</v>
      </c>
      <c r="C12" s="620">
        <v>4123</v>
      </c>
      <c r="D12" s="620">
        <v>4174</v>
      </c>
      <c r="E12" s="620">
        <v>4323</v>
      </c>
      <c r="F12" s="620">
        <v>4471.3999999999996</v>
      </c>
      <c r="G12" s="620">
        <v>4483</v>
      </c>
      <c r="H12" s="620">
        <v>4475</v>
      </c>
      <c r="I12" s="620">
        <v>4583</v>
      </c>
      <c r="J12" s="620">
        <v>4846.1000000000013</v>
      </c>
      <c r="K12" s="620">
        <v>4674.5</v>
      </c>
      <c r="L12" s="620">
        <v>4697.7</v>
      </c>
      <c r="M12" s="620">
        <v>4596.7</v>
      </c>
      <c r="N12" s="620">
        <v>4896.2</v>
      </c>
      <c r="O12" s="620">
        <v>4741.7</v>
      </c>
      <c r="P12" s="620">
        <v>4630</v>
      </c>
      <c r="Q12" s="527">
        <v>4261</v>
      </c>
      <c r="R12" s="527">
        <v>4569.3999999999996</v>
      </c>
      <c r="S12" s="635">
        <v>4261</v>
      </c>
      <c r="T12" s="527"/>
      <c r="U12" s="226"/>
      <c r="V12" s="619">
        <f t="shared" si="5"/>
        <v>8.731506184816884E-2</v>
      </c>
      <c r="W12" s="619">
        <f t="shared" si="5"/>
        <v>7.2113080977479704E-2</v>
      </c>
      <c r="X12" s="619">
        <f t="shared" si="5"/>
        <v>6.0143418922044889E-2</v>
      </c>
      <c r="Y12" s="619">
        <f t="shared" si="5"/>
        <v>8.379925750324313E-2</v>
      </c>
      <c r="Z12" s="621">
        <f t="shared" si="5"/>
        <v>4.2716930626812477E-2</v>
      </c>
      <c r="AA12" s="621">
        <f t="shared" si="5"/>
        <v>4.9765363128491558E-2</v>
      </c>
      <c r="AB12" s="621">
        <f t="shared" si="5"/>
        <v>2.9893083133318843E-3</v>
      </c>
      <c r="AC12" s="621">
        <f t="shared" si="5"/>
        <v>1.0338210107096124E-2</v>
      </c>
      <c r="AD12" s="621">
        <f t="shared" si="5"/>
        <v>1.4375869076906689E-2</v>
      </c>
      <c r="AE12" s="621">
        <f t="shared" si="5"/>
        <v>-1.4411307661195916E-2</v>
      </c>
      <c r="AF12" s="621">
        <f t="shared" si="5"/>
        <v>-7.3030652424565412E-2</v>
      </c>
      <c r="AG12" s="621">
        <f t="shared" si="5"/>
        <v>-6.6745639475511709E-2</v>
      </c>
      <c r="AH12" s="621">
        <f t="shared" si="5"/>
        <v>-0.10137714321867686</v>
      </c>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row>
    <row r="13" spans="1:62">
      <c r="A13" s="203"/>
      <c r="B13" s="622" t="s">
        <v>2898</v>
      </c>
      <c r="C13" s="623">
        <f t="shared" ref="C13:F13" si="6">SUM(C10:C12)</f>
        <v>8355.8719999999994</v>
      </c>
      <c r="D13" s="623">
        <f t="shared" si="6"/>
        <v>8209.1190000000006</v>
      </c>
      <c r="E13" s="623">
        <f t="shared" si="6"/>
        <v>8719.8629999999994</v>
      </c>
      <c r="F13" s="623">
        <f t="shared" si="6"/>
        <v>9541.9699999999993</v>
      </c>
      <c r="G13" s="623">
        <f>SUM(G10:G12)</f>
        <v>9995.9349999999995</v>
      </c>
      <c r="H13" s="623">
        <f t="shared" ref="H13:R13" si="7">SUM(H10:H12)</f>
        <v>10270</v>
      </c>
      <c r="I13" s="623">
        <f t="shared" si="7"/>
        <v>10486.819</v>
      </c>
      <c r="J13" s="623">
        <f t="shared" si="7"/>
        <v>11140.32</v>
      </c>
      <c r="K13" s="623">
        <f t="shared" si="7"/>
        <v>11462.51</v>
      </c>
      <c r="L13" s="623">
        <f t="shared" si="7"/>
        <v>11568.045999999998</v>
      </c>
      <c r="M13" s="623">
        <f t="shared" si="7"/>
        <v>11631.861000000001</v>
      </c>
      <c r="N13" s="623">
        <f t="shared" si="7"/>
        <v>12233.2</v>
      </c>
      <c r="O13" s="623">
        <f t="shared" si="7"/>
        <v>12260.351999999999</v>
      </c>
      <c r="P13" s="623">
        <f t="shared" si="7"/>
        <v>12100.559000000001</v>
      </c>
      <c r="Q13" s="625">
        <f t="shared" si="7"/>
        <v>12214.675999999999</v>
      </c>
      <c r="R13" s="625">
        <f t="shared" si="7"/>
        <v>12600.701999999999</v>
      </c>
      <c r="S13" s="625">
        <f t="shared" ref="S13" si="8">SUM(S10:S12)</f>
        <v>12715.762999999999</v>
      </c>
      <c r="T13" s="648"/>
      <c r="U13" s="226"/>
      <c r="V13" s="618"/>
      <c r="W13" s="618"/>
      <c r="X13" s="618"/>
      <c r="Y13" s="618"/>
      <c r="Z13" s="624">
        <f t="shared" ref="Z13:AH13" si="9">K13/G13-1</f>
        <v>0.14671714051762041</v>
      </c>
      <c r="AA13" s="624">
        <f t="shared" si="9"/>
        <v>0.1263920155793572</v>
      </c>
      <c r="AB13" s="624">
        <f t="shared" si="9"/>
        <v>0.10918868724634234</v>
      </c>
      <c r="AC13" s="624">
        <f t="shared" si="9"/>
        <v>9.8101311272925873E-2</v>
      </c>
      <c r="AD13" s="624">
        <f t="shared" si="9"/>
        <v>6.9604475808527022E-2</v>
      </c>
      <c r="AE13" s="624">
        <f t="shared" si="9"/>
        <v>4.6033098416102591E-2</v>
      </c>
      <c r="AF13" s="624">
        <f t="shared" si="9"/>
        <v>5.0105051977495041E-2</v>
      </c>
      <c r="AG13" s="624">
        <f t="shared" si="9"/>
        <v>3.004136284864134E-2</v>
      </c>
      <c r="AH13" s="624">
        <f t="shared" si="9"/>
        <v>3.7145018348575976E-2</v>
      </c>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row>
    <row r="14" spans="1:62">
      <c r="A14" s="203"/>
      <c r="B14" s="608"/>
      <c r="C14" s="626"/>
      <c r="D14" s="626"/>
      <c r="E14" s="626"/>
      <c r="F14" s="626"/>
      <c r="G14" s="626"/>
      <c r="H14" s="626"/>
      <c r="I14" s="626"/>
      <c r="J14" s="626"/>
      <c r="K14" s="626"/>
      <c r="L14" s="626"/>
      <c r="M14" s="626"/>
      <c r="N14" s="626"/>
      <c r="O14" s="626"/>
      <c r="P14" s="626"/>
      <c r="Q14" s="626"/>
      <c r="R14" s="626"/>
      <c r="S14" s="626"/>
      <c r="T14" s="226"/>
      <c r="U14" s="226"/>
      <c r="V14" s="626"/>
      <c r="W14" s="626"/>
      <c r="X14" s="626"/>
      <c r="Y14" s="626"/>
      <c r="Z14" s="626"/>
      <c r="AA14" s="626"/>
      <c r="AB14" s="626"/>
      <c r="AC14" s="626"/>
      <c r="AD14" s="626"/>
      <c r="AE14" s="626"/>
      <c r="AF14" s="626"/>
      <c r="AG14" s="626"/>
      <c r="AH14" s="626"/>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row>
    <row r="15" spans="1:62">
      <c r="A15" s="203"/>
      <c r="B15" s="622" t="s">
        <v>2294</v>
      </c>
      <c r="C15" s="617"/>
      <c r="D15" s="617"/>
      <c r="E15" s="617"/>
      <c r="F15" s="617"/>
      <c r="G15" s="617"/>
      <c r="H15" s="617"/>
      <c r="I15" s="617"/>
      <c r="J15" s="617"/>
      <c r="K15" s="617"/>
      <c r="L15" s="617"/>
      <c r="M15" s="617"/>
      <c r="N15" s="617"/>
      <c r="O15" s="617"/>
      <c r="P15" s="617"/>
      <c r="Q15" s="617"/>
      <c r="R15" s="617"/>
      <c r="S15" s="617"/>
      <c r="T15" s="226"/>
      <c r="U15" s="226"/>
      <c r="V15" s="617"/>
      <c r="W15" s="617"/>
      <c r="X15" s="617"/>
      <c r="Y15" s="617"/>
      <c r="Z15" s="617"/>
      <c r="AA15" s="617"/>
      <c r="AB15" s="617"/>
      <c r="AC15" s="617"/>
      <c r="AD15" s="617"/>
      <c r="AE15" s="617"/>
      <c r="AF15" s="617"/>
      <c r="AG15" s="617"/>
      <c r="AH15" s="617"/>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row>
    <row r="16" spans="1:62">
      <c r="A16" s="203"/>
      <c r="B16" s="608" t="str">
        <f>B10</f>
        <v>Totalplay</v>
      </c>
      <c r="C16" s="627">
        <f t="shared" ref="C16:P16" si="10">C10/C63</f>
        <v>0.37323943661971831</v>
      </c>
      <c r="D16" s="627">
        <f t="shared" si="10"/>
        <v>0.33467381590705986</v>
      </c>
      <c r="E16" s="627">
        <f t="shared" si="10"/>
        <v>0.35558664801119327</v>
      </c>
      <c r="F16" s="627">
        <f t="shared" si="10"/>
        <v>0.43506607929515417</v>
      </c>
      <c r="G16" s="627">
        <f t="shared" si="10"/>
        <v>0.421019509125236</v>
      </c>
      <c r="H16" s="627">
        <f t="shared" si="10"/>
        <v>0.43294289897510979</v>
      </c>
      <c r="I16" s="627">
        <f t="shared" si="10"/>
        <v>0.42035763411279231</v>
      </c>
      <c r="J16" s="627">
        <f t="shared" si="10"/>
        <v>0.43874606505771246</v>
      </c>
      <c r="K16" s="627">
        <f t="shared" si="10"/>
        <v>0.44296577946768062</v>
      </c>
      <c r="L16" s="627">
        <f t="shared" si="10"/>
        <v>0.42767224907272117</v>
      </c>
      <c r="M16" s="627">
        <f t="shared" si="10"/>
        <v>0.43588089863484897</v>
      </c>
      <c r="N16" s="627">
        <f t="shared" si="10"/>
        <v>0.44977403451109282</v>
      </c>
      <c r="O16" s="627">
        <f t="shared" si="10"/>
        <v>0.45125178098921231</v>
      </c>
      <c r="P16" s="627">
        <f t="shared" si="10"/>
        <v>0.4435998783824871</v>
      </c>
      <c r="Q16" s="627">
        <f>Q10/Q63</f>
        <v>0.47494080505130226</v>
      </c>
      <c r="R16" s="627">
        <f>R10/R63</f>
        <v>0.44369495971519579</v>
      </c>
      <c r="S16" s="627">
        <f>S10/S63</f>
        <v>0.44989627491656897</v>
      </c>
      <c r="T16" s="226"/>
      <c r="U16" s="226"/>
      <c r="V16" s="626"/>
      <c r="W16" s="626"/>
      <c r="X16" s="626"/>
      <c r="Y16" s="626"/>
      <c r="Z16" s="626"/>
      <c r="AA16" s="626"/>
      <c r="AB16" s="626"/>
      <c r="AC16" s="626"/>
      <c r="AD16" s="626"/>
      <c r="AE16" s="626"/>
      <c r="AF16" s="626"/>
      <c r="AG16" s="626"/>
      <c r="AH16" s="626"/>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row>
    <row r="17" spans="1:62">
      <c r="A17" s="203"/>
      <c r="B17" s="521" t="str">
        <f>B11</f>
        <v>MEGA (Cable)</v>
      </c>
      <c r="C17" s="628">
        <f t="shared" ref="C17:M17" si="11">C11/C4</f>
        <v>0.51688738582760452</v>
      </c>
      <c r="D17" s="628">
        <f t="shared" si="11"/>
        <v>0.51224287855284956</v>
      </c>
      <c r="E17" s="628">
        <f t="shared" si="11"/>
        <v>0.51091089954103441</v>
      </c>
      <c r="F17" s="628">
        <f t="shared" si="11"/>
        <v>0.49384874454934935</v>
      </c>
      <c r="G17" s="628">
        <f t="shared" si="11"/>
        <v>0.51968986425836705</v>
      </c>
      <c r="H17" s="628">
        <f t="shared" si="11"/>
        <v>0.51190476190476186</v>
      </c>
      <c r="I17" s="628">
        <f t="shared" si="11"/>
        <v>0.50632466007596777</v>
      </c>
      <c r="J17" s="628">
        <f t="shared" si="11"/>
        <v>0.49878467301175816</v>
      </c>
      <c r="K17" s="628">
        <f t="shared" si="11"/>
        <v>0.50813385131819622</v>
      </c>
      <c r="L17" s="628">
        <f t="shared" si="11"/>
        <v>0.50216019182483751</v>
      </c>
      <c r="M17" s="628">
        <f t="shared" si="11"/>
        <v>0.48587389807959752</v>
      </c>
      <c r="N17" s="628">
        <f t="shared" ref="N17:O17" si="12">N11/N4</f>
        <v>0.46892834495878249</v>
      </c>
      <c r="O17" s="628">
        <f t="shared" si="12"/>
        <v>0.47336365350904852</v>
      </c>
      <c r="P17" s="628">
        <f t="shared" ref="P17:Q17" si="13">P11/P4</f>
        <v>0.46052113295416552</v>
      </c>
      <c r="Q17" s="628">
        <f t="shared" si="13"/>
        <v>0.45452842442163971</v>
      </c>
      <c r="R17" s="628">
        <f t="shared" ref="R17:S17" si="14">R11/R4</f>
        <v>0.4597280277814903</v>
      </c>
      <c r="S17" s="628">
        <f t="shared" si="14"/>
        <v>0.47293648425785983</v>
      </c>
      <c r="T17" s="657"/>
      <c r="U17" s="226"/>
      <c r="V17" s="617"/>
      <c r="W17" s="617"/>
      <c r="X17" s="617"/>
      <c r="Y17" s="617"/>
      <c r="Z17" s="617"/>
      <c r="AA17" s="617"/>
      <c r="AB17" s="617"/>
      <c r="AC17" s="617"/>
      <c r="AD17" s="617"/>
      <c r="AE17" s="617"/>
      <c r="AF17" s="617"/>
      <c r="AG17" s="617"/>
      <c r="AH17" s="617"/>
      <c r="AI17" s="203"/>
      <c r="AJ17" s="203"/>
      <c r="AK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row>
    <row r="18" spans="1:62">
      <c r="A18" s="203"/>
      <c r="B18" s="629" t="str">
        <f>B12</f>
        <v>TV (Retail)</v>
      </c>
      <c r="C18" s="630">
        <f t="shared" ref="C18:M18" si="15">C12/C5</f>
        <v>0.42261172611726117</v>
      </c>
      <c r="D18" s="630">
        <f t="shared" si="15"/>
        <v>0.42038473159431966</v>
      </c>
      <c r="E18" s="630">
        <f t="shared" si="15"/>
        <v>0.42270460545614552</v>
      </c>
      <c r="F18" s="630">
        <f t="shared" si="15"/>
        <v>0.42465857503751397</v>
      </c>
      <c r="G18" s="630">
        <f t="shared" si="15"/>
        <v>0.42838031533683707</v>
      </c>
      <c r="H18" s="630">
        <f t="shared" si="15"/>
        <v>0.42356838618078563</v>
      </c>
      <c r="I18" s="630">
        <f t="shared" si="15"/>
        <v>0.42345006005728542</v>
      </c>
      <c r="J18" s="630">
        <f t="shared" si="15"/>
        <v>0.43908162618126478</v>
      </c>
      <c r="K18" s="630">
        <f t="shared" si="15"/>
        <v>0.43200007393305362</v>
      </c>
      <c r="L18" s="630">
        <f t="shared" si="15"/>
        <v>0.42840337054059968</v>
      </c>
      <c r="M18" s="630">
        <f t="shared" si="15"/>
        <v>0.41659416349465289</v>
      </c>
      <c r="N18" s="630">
        <f t="shared" ref="N18:O18" si="16">N12/N5</f>
        <v>0.4395941820793679</v>
      </c>
      <c r="O18" s="630">
        <f t="shared" si="16"/>
        <v>0.42128971497618872</v>
      </c>
      <c r="P18" s="630">
        <f t="shared" ref="P18:Q18" si="17">P12/P5</f>
        <v>0.40475566045983041</v>
      </c>
      <c r="Q18" s="630">
        <f t="shared" si="17"/>
        <v>0.37939631377437449</v>
      </c>
      <c r="R18" s="630">
        <f t="shared" ref="R18:S18" si="18">R12/R5</f>
        <v>0.41133525975136598</v>
      </c>
      <c r="S18" s="630">
        <f t="shared" si="18"/>
        <v>0.39293618590925855</v>
      </c>
      <c r="T18" s="657"/>
      <c r="U18" s="226"/>
      <c r="V18" s="626"/>
      <c r="W18" s="626"/>
      <c r="X18" s="626"/>
      <c r="Y18" s="626"/>
      <c r="Z18" s="631"/>
      <c r="AA18" s="631"/>
      <c r="AB18" s="631"/>
      <c r="AC18" s="631"/>
      <c r="AD18" s="631"/>
      <c r="AE18" s="631"/>
      <c r="AF18" s="631"/>
      <c r="AG18" s="631"/>
      <c r="AH18" s="631"/>
      <c r="AI18" s="203"/>
      <c r="AJ18" s="203"/>
      <c r="AK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row>
    <row r="19" spans="1:62">
      <c r="A19" s="203"/>
      <c r="B19" s="622" t="s">
        <v>2899</v>
      </c>
      <c r="C19" s="632">
        <f t="shared" ref="C19:F19" si="19">C13/(C7-C6+(C63-C64))</f>
        <v>0.43591650161736567</v>
      </c>
      <c r="D19" s="632">
        <f t="shared" si="19"/>
        <v>0.42406940483039512</v>
      </c>
      <c r="E19" s="632">
        <f t="shared" si="19"/>
        <v>0.428412119084915</v>
      </c>
      <c r="F19" s="632">
        <f t="shared" si="19"/>
        <v>0.4443840774011264</v>
      </c>
      <c r="G19" s="632">
        <f t="shared" ref="G19:Q19" si="20">G13/(G7-G6+(G63-G64))</f>
        <v>0.44865259718400885</v>
      </c>
      <c r="H19" s="632">
        <f t="shared" si="20"/>
        <v>0.44770914163651421</v>
      </c>
      <c r="I19" s="632">
        <f t="shared" si="20"/>
        <v>0.4421554774847189</v>
      </c>
      <c r="J19" s="632">
        <f t="shared" si="20"/>
        <v>0.45334298700985831</v>
      </c>
      <c r="K19" s="632">
        <f t="shared" si="20"/>
        <v>0.45380524022359864</v>
      </c>
      <c r="L19" s="632">
        <f t="shared" si="20"/>
        <v>0.44549166576134802</v>
      </c>
      <c r="M19" s="632">
        <f t="shared" si="20"/>
        <v>0.43942549869458997</v>
      </c>
      <c r="N19" s="632">
        <f t="shared" si="20"/>
        <v>0.45004782576705177</v>
      </c>
      <c r="O19" s="632">
        <f t="shared" si="20"/>
        <v>0.44425342981158567</v>
      </c>
      <c r="P19" s="632">
        <f t="shared" si="20"/>
        <v>0.43180014015370954</v>
      </c>
      <c r="Q19" s="632">
        <f t="shared" si="20"/>
        <v>0.4320025509870255</v>
      </c>
      <c r="R19" s="632">
        <f>R13/(R7-R6+(R63-R64))</f>
        <v>0.43524781733652984</v>
      </c>
      <c r="S19" s="632">
        <f>S13/(S7-S6+(S63-S64))</f>
        <v>0.43455916319213916</v>
      </c>
      <c r="T19" s="226"/>
      <c r="U19" s="226"/>
      <c r="V19" s="617"/>
      <c r="W19" s="617"/>
      <c r="X19" s="617"/>
      <c r="Y19" s="617"/>
      <c r="Z19" s="617"/>
      <c r="AA19" s="617"/>
      <c r="AB19" s="617"/>
      <c r="AC19" s="617"/>
      <c r="AD19" s="617"/>
      <c r="AE19" s="617"/>
      <c r="AF19" s="617"/>
      <c r="AG19" s="617"/>
      <c r="AH19" s="617"/>
      <c r="AI19" s="203"/>
      <c r="AJ19" s="203"/>
      <c r="AK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row>
    <row r="20" spans="1:62">
      <c r="A20" s="203"/>
      <c r="B20" s="358"/>
      <c r="C20" s="633"/>
      <c r="D20" s="633"/>
      <c r="E20" s="633"/>
      <c r="F20" s="633"/>
      <c r="G20" s="633"/>
      <c r="H20" s="633"/>
      <c r="I20" s="633"/>
      <c r="J20" s="633"/>
      <c r="K20" s="633"/>
      <c r="L20" s="633"/>
      <c r="M20" s="633"/>
      <c r="N20" s="633"/>
      <c r="O20" s="633"/>
      <c r="P20" s="633"/>
      <c r="Q20" s="633"/>
      <c r="R20" s="633"/>
      <c r="S20" s="633"/>
      <c r="T20" s="226"/>
      <c r="U20" s="226"/>
      <c r="V20" s="226"/>
      <c r="W20" s="226"/>
      <c r="X20" s="226"/>
      <c r="Y20" s="226"/>
      <c r="Z20" s="633"/>
      <c r="AA20" s="633"/>
      <c r="AB20" s="633"/>
      <c r="AC20" s="633"/>
      <c r="AD20" s="633"/>
      <c r="AE20" s="633"/>
      <c r="AF20" s="633"/>
      <c r="AG20" s="633"/>
      <c r="AH20" s="633"/>
      <c r="AI20" s="203"/>
      <c r="AJ20" s="203"/>
      <c r="AK20" s="203"/>
      <c r="AR20" s="203"/>
      <c r="AS20" s="203"/>
      <c r="AT20" s="203"/>
      <c r="AU20" s="203"/>
      <c r="AV20" s="203"/>
      <c r="AW20" s="203"/>
      <c r="AX20" s="203"/>
      <c r="AY20" s="203"/>
      <c r="AZ20" s="203"/>
      <c r="BA20" s="203"/>
      <c r="BB20" s="203"/>
      <c r="BC20" s="203"/>
      <c r="BD20" s="203"/>
      <c r="BE20" s="203"/>
      <c r="BF20" s="203"/>
      <c r="BG20" s="203"/>
      <c r="BH20" s="203"/>
      <c r="BI20" s="203"/>
      <c r="BJ20" s="203"/>
    </row>
    <row r="21" spans="1:62">
      <c r="A21" s="203"/>
      <c r="B21" s="622" t="s">
        <v>2297</v>
      </c>
      <c r="C21" s="617"/>
      <c r="D21" s="617"/>
      <c r="E21" s="617"/>
      <c r="F21" s="617"/>
      <c r="G21" s="617"/>
      <c r="H21" s="617"/>
      <c r="I21" s="530"/>
      <c r="J21" s="617"/>
      <c r="K21" s="617"/>
      <c r="L21" s="617"/>
      <c r="M21" s="617"/>
      <c r="N21" s="617"/>
      <c r="O21" s="530"/>
      <c r="P21" s="530"/>
      <c r="Q21" s="530"/>
      <c r="R21" s="530"/>
      <c r="S21" s="530"/>
      <c r="T21" s="527"/>
      <c r="U21" s="226"/>
      <c r="V21" s="617"/>
      <c r="W21" s="617"/>
      <c r="X21" s="617"/>
      <c r="Y21" s="617"/>
      <c r="Z21" s="617"/>
      <c r="AA21" s="617"/>
      <c r="AB21" s="617"/>
      <c r="AC21" s="617"/>
      <c r="AD21" s="617"/>
      <c r="AE21" s="617"/>
      <c r="AF21" s="617"/>
      <c r="AG21" s="617"/>
      <c r="AH21" s="617"/>
      <c r="AK21" s="203"/>
      <c r="AR21" s="203"/>
      <c r="AS21" s="203"/>
      <c r="AT21" s="203"/>
      <c r="AU21" s="203"/>
      <c r="AV21" s="203"/>
      <c r="AW21" s="203"/>
      <c r="AX21" s="203"/>
      <c r="AY21" s="203"/>
      <c r="AZ21" s="203"/>
      <c r="BA21" s="203"/>
      <c r="BB21" s="203"/>
      <c r="BC21" s="203"/>
      <c r="BD21" s="203"/>
      <c r="BE21" s="203"/>
      <c r="BF21" s="203"/>
      <c r="BG21" s="203"/>
      <c r="BH21" s="203"/>
      <c r="BI21" s="203"/>
      <c r="BJ21" s="203"/>
    </row>
    <row r="22" spans="1:62">
      <c r="A22" s="203"/>
      <c r="B22" s="203" t="str">
        <f>B10</f>
        <v>Totalplay</v>
      </c>
      <c r="C22" s="527">
        <v>9787</v>
      </c>
      <c r="D22" s="527">
        <v>11800</v>
      </c>
      <c r="E22" s="527">
        <f>10400+1800</f>
        <v>12200</v>
      </c>
      <c r="F22" s="527">
        <f>10500+1800</f>
        <v>12300</v>
      </c>
      <c r="G22" s="634">
        <v>12600</v>
      </c>
      <c r="H22" s="634">
        <v>13100</v>
      </c>
      <c r="I22" s="634">
        <v>13400</v>
      </c>
      <c r="J22" s="634">
        <v>14700</v>
      </c>
      <c r="K22" s="634">
        <v>15500</v>
      </c>
      <c r="L22" s="634">
        <v>16600</v>
      </c>
      <c r="M22" s="634">
        <v>17100</v>
      </c>
      <c r="N22" s="634">
        <v>17300</v>
      </c>
      <c r="O22" s="634">
        <v>17500</v>
      </c>
      <c r="P22" s="634">
        <v>17500</v>
      </c>
      <c r="Q22" s="634">
        <v>17500</v>
      </c>
      <c r="R22" s="634">
        <v>17550</v>
      </c>
      <c r="S22" s="634">
        <v>17568.145</v>
      </c>
      <c r="T22" s="634"/>
      <c r="U22" s="226"/>
      <c r="V22" s="619">
        <f t="shared" ref="V22:AH24" si="21">G22/C22-1</f>
        <v>0.28742209052825185</v>
      </c>
      <c r="W22" s="619">
        <f t="shared" si="21"/>
        <v>0.11016949152542366</v>
      </c>
      <c r="X22" s="619">
        <f t="shared" si="21"/>
        <v>9.8360655737705027E-2</v>
      </c>
      <c r="Y22" s="619">
        <f t="shared" si="21"/>
        <v>0.19512195121951215</v>
      </c>
      <c r="Z22" s="619">
        <f t="shared" si="21"/>
        <v>0.23015873015873023</v>
      </c>
      <c r="AA22" s="619">
        <f t="shared" si="21"/>
        <v>0.26717557251908386</v>
      </c>
      <c r="AB22" s="619">
        <f t="shared" si="21"/>
        <v>0.27611940298507465</v>
      </c>
      <c r="AC22" s="619">
        <f t="shared" si="21"/>
        <v>0.1768707482993197</v>
      </c>
      <c r="AD22" s="619">
        <f t="shared" si="21"/>
        <v>0.12903225806451624</v>
      </c>
      <c r="AE22" s="619">
        <f t="shared" si="21"/>
        <v>5.4216867469879526E-2</v>
      </c>
      <c r="AF22" s="619">
        <f t="shared" si="21"/>
        <v>2.3391812865497075E-2</v>
      </c>
      <c r="AG22" s="619">
        <f t="shared" si="21"/>
        <v>1.4450867052023142E-2</v>
      </c>
      <c r="AH22" s="619">
        <f t="shared" si="21"/>
        <v>3.8940000000000641E-3</v>
      </c>
      <c r="AK22" s="203"/>
      <c r="AR22" s="203"/>
      <c r="AS22" s="203"/>
      <c r="AW22" s="203"/>
      <c r="AX22" s="203"/>
      <c r="AY22" s="203"/>
      <c r="AZ22" s="203"/>
      <c r="BA22" s="203"/>
      <c r="BB22" s="203"/>
      <c r="BC22" s="203"/>
      <c r="BD22" s="203"/>
      <c r="BE22" s="203"/>
      <c r="BF22" s="203"/>
      <c r="BG22" s="203"/>
      <c r="BH22" s="203"/>
      <c r="BI22" s="203"/>
      <c r="BJ22" s="203"/>
    </row>
    <row r="23" spans="1:62">
      <c r="A23" s="203"/>
      <c r="B23" s="521" t="str">
        <f>B11</f>
        <v>MEGA (Cable)</v>
      </c>
      <c r="C23" s="530">
        <f>Quarts!AY7</f>
        <v>8853.7849999999999</v>
      </c>
      <c r="D23" s="530">
        <f>Quarts!AZ7</f>
        <v>8876.2999999999993</v>
      </c>
      <c r="E23" s="530">
        <f>Quarts!BA7</f>
        <v>8901.7469999999994</v>
      </c>
      <c r="F23" s="530">
        <f>Quarts!BB7</f>
        <v>8955.4570000000003</v>
      </c>
      <c r="G23" s="530">
        <f>Quarts!BC7</f>
        <v>9007.223</v>
      </c>
      <c r="H23" s="530">
        <f>Quarts!BD7</f>
        <v>9097</v>
      </c>
      <c r="I23" s="530">
        <f>Quarts!BE7</f>
        <v>9292.1260000000002</v>
      </c>
      <c r="J23" s="530">
        <f>Quarts!BF7</f>
        <v>9568.6</v>
      </c>
      <c r="K23" s="530">
        <f>Quarts!BG7</f>
        <v>9686.3050000000003</v>
      </c>
      <c r="L23" s="530">
        <f>Quarts!BH7</f>
        <v>10114.51</v>
      </c>
      <c r="M23" s="530">
        <f>Quarts!BI7</f>
        <v>10566.498</v>
      </c>
      <c r="N23" s="530">
        <f>Quarts!BJ7</f>
        <v>11560.218000000001</v>
      </c>
      <c r="O23" s="530">
        <f>Quarts!BK7</f>
        <v>12487.578</v>
      </c>
      <c r="P23" s="530">
        <f>Quarts!BL7</f>
        <v>13450.7</v>
      </c>
      <c r="Q23" s="530">
        <f>Quarts!BM7</f>
        <v>14552.598</v>
      </c>
      <c r="R23" s="530">
        <f>Quarts!BN7</f>
        <v>15437.906999999999</v>
      </c>
      <c r="S23" s="530">
        <f>Quarts!BO7</f>
        <v>15951.418</v>
      </c>
      <c r="T23" s="527"/>
      <c r="U23" s="226"/>
      <c r="V23" s="618">
        <f t="shared" si="21"/>
        <v>1.7330215269514726E-2</v>
      </c>
      <c r="W23" s="618">
        <f t="shared" si="21"/>
        <v>2.4863963588432236E-2</v>
      </c>
      <c r="X23" s="618">
        <f t="shared" si="21"/>
        <v>4.3854200754076755E-2</v>
      </c>
      <c r="Y23" s="618">
        <f t="shared" si="21"/>
        <v>6.8465852719743925E-2</v>
      </c>
      <c r="Z23" s="618">
        <f t="shared" si="21"/>
        <v>7.5393048445675293E-2</v>
      </c>
      <c r="AA23" s="618">
        <f t="shared" si="21"/>
        <v>0.11185115972298565</v>
      </c>
      <c r="AB23" s="618">
        <f t="shared" si="21"/>
        <v>0.13714536371977726</v>
      </c>
      <c r="AC23" s="618">
        <f t="shared" si="21"/>
        <v>0.20814100286353288</v>
      </c>
      <c r="AD23" s="618">
        <f t="shared" si="21"/>
        <v>0.28919933865390357</v>
      </c>
      <c r="AE23" s="618">
        <f t="shared" si="21"/>
        <v>0.32984197949282756</v>
      </c>
      <c r="AF23" s="618">
        <f t="shared" si="21"/>
        <v>0.37723946003680697</v>
      </c>
      <c r="AG23" s="618">
        <f t="shared" si="21"/>
        <v>0.33543389925691702</v>
      </c>
      <c r="AH23" s="618">
        <f t="shared" si="21"/>
        <v>0.27738285198298662</v>
      </c>
      <c r="AK23" s="203"/>
      <c r="AR23" s="203"/>
      <c r="AS23" s="203"/>
      <c r="AT23" s="203"/>
      <c r="AU23" s="203"/>
      <c r="AV23" s="203"/>
      <c r="AW23" s="203"/>
      <c r="AX23" s="203"/>
      <c r="AY23" s="203"/>
      <c r="AZ23" s="203"/>
      <c r="BA23" s="203"/>
      <c r="BB23" s="203"/>
      <c r="BC23" s="203"/>
      <c r="BD23" s="203"/>
      <c r="BE23" s="203"/>
      <c r="BF23" s="203"/>
      <c r="BG23" s="203"/>
      <c r="BH23" s="203"/>
      <c r="BI23" s="203"/>
      <c r="BJ23" s="203"/>
    </row>
    <row r="24" spans="1:62">
      <c r="A24" s="203"/>
      <c r="B24" s="203" t="str">
        <f>B12</f>
        <v>TV (Retail)</v>
      </c>
      <c r="C24" s="527">
        <v>15300</v>
      </c>
      <c r="D24" s="527">
        <v>15300</v>
      </c>
      <c r="E24" s="527">
        <v>15500</v>
      </c>
      <c r="F24" s="527">
        <v>15800</v>
      </c>
      <c r="G24" s="527">
        <f>F24+500</f>
        <v>16300</v>
      </c>
      <c r="H24" s="527">
        <f>G24+500</f>
        <v>16800</v>
      </c>
      <c r="I24" s="527">
        <f>H24+500</f>
        <v>17300</v>
      </c>
      <c r="J24" s="527">
        <v>17900</v>
      </c>
      <c r="K24" s="635">
        <f>J24+250</f>
        <v>18150</v>
      </c>
      <c r="L24" s="635">
        <f>K24+250</f>
        <v>18400</v>
      </c>
      <c r="M24" s="635">
        <f>L24+250</f>
        <v>18650</v>
      </c>
      <c r="N24" s="635">
        <v>18900</v>
      </c>
      <c r="O24" s="634">
        <v>19100</v>
      </c>
      <c r="P24" s="634">
        <v>19400</v>
      </c>
      <c r="Q24" s="634">
        <v>19500</v>
      </c>
      <c r="R24" s="634">
        <v>19600</v>
      </c>
      <c r="S24" s="634">
        <v>19700</v>
      </c>
      <c r="T24" s="634"/>
      <c r="U24" s="226"/>
      <c r="V24" s="619">
        <f t="shared" si="21"/>
        <v>6.5359477124182996E-2</v>
      </c>
      <c r="W24" s="619">
        <f t="shared" si="21"/>
        <v>9.8039215686274606E-2</v>
      </c>
      <c r="X24" s="619">
        <f t="shared" si="21"/>
        <v>0.11612903225806459</v>
      </c>
      <c r="Y24" s="619">
        <f t="shared" si="21"/>
        <v>0.13291139240506333</v>
      </c>
      <c r="Z24" s="619">
        <f t="shared" si="21"/>
        <v>0.11349693251533743</v>
      </c>
      <c r="AA24" s="619">
        <f t="shared" si="21"/>
        <v>9.5238095238095344E-2</v>
      </c>
      <c r="AB24" s="619">
        <f t="shared" si="21"/>
        <v>7.8034682080924789E-2</v>
      </c>
      <c r="AC24" s="619">
        <f t="shared" si="21"/>
        <v>5.5865921787709549E-2</v>
      </c>
      <c r="AD24" s="619">
        <f t="shared" si="21"/>
        <v>5.2341597796143224E-2</v>
      </c>
      <c r="AE24" s="619">
        <f t="shared" si="21"/>
        <v>5.4347826086956541E-2</v>
      </c>
      <c r="AF24" s="619">
        <f t="shared" si="21"/>
        <v>4.5576407506702443E-2</v>
      </c>
      <c r="AG24" s="619">
        <f t="shared" si="21"/>
        <v>3.7037037037036979E-2</v>
      </c>
      <c r="AH24" s="619">
        <f t="shared" si="21"/>
        <v>3.1413612565444948E-2</v>
      </c>
      <c r="AK24" s="203"/>
      <c r="AR24" s="203"/>
      <c r="AS24" s="203"/>
      <c r="AT24" s="203"/>
      <c r="AU24" s="203"/>
      <c r="AV24" s="203"/>
      <c r="AW24" s="203"/>
      <c r="AX24" s="203"/>
      <c r="AY24" s="203"/>
      <c r="AZ24" s="203"/>
      <c r="BA24" s="203"/>
      <c r="BB24" s="203"/>
      <c r="BC24" s="203"/>
      <c r="BD24" s="203"/>
      <c r="BE24" s="203"/>
      <c r="BF24" s="203"/>
      <c r="BG24" s="203"/>
      <c r="BH24" s="203"/>
      <c r="BI24" s="203"/>
      <c r="BJ24" s="203"/>
    </row>
    <row r="25" spans="1:62">
      <c r="A25" s="203"/>
      <c r="B25" s="521" t="s">
        <v>2358</v>
      </c>
      <c r="C25" s="530"/>
      <c r="D25" s="530"/>
      <c r="E25" s="530"/>
      <c r="F25" s="530"/>
      <c r="G25" s="530"/>
      <c r="H25" s="530">
        <v>28000</v>
      </c>
      <c r="I25" s="530"/>
      <c r="J25" s="530"/>
      <c r="K25" s="530"/>
      <c r="L25" s="530"/>
      <c r="M25" s="530"/>
      <c r="N25" s="530"/>
      <c r="O25" s="530"/>
      <c r="P25" s="530"/>
      <c r="Q25" s="530"/>
      <c r="R25" s="530"/>
      <c r="S25" s="530"/>
      <c r="T25" s="527"/>
      <c r="U25" s="226"/>
      <c r="V25" s="618"/>
      <c r="W25" s="618"/>
      <c r="X25" s="618"/>
      <c r="Y25" s="618"/>
      <c r="Z25" s="618"/>
      <c r="AA25" s="618"/>
      <c r="AB25" s="618"/>
      <c r="AC25" s="618"/>
      <c r="AD25" s="618"/>
      <c r="AE25" s="618"/>
      <c r="AF25" s="618"/>
      <c r="AG25" s="618"/>
      <c r="AH25" s="618"/>
      <c r="AK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row>
    <row r="26" spans="1:62" ht="15.75" thickBot="1">
      <c r="A26" s="203"/>
      <c r="B26" s="636" t="s">
        <v>2360</v>
      </c>
      <c r="C26" s="637"/>
      <c r="D26" s="637"/>
      <c r="E26" s="637"/>
      <c r="F26" s="637"/>
      <c r="G26" s="637"/>
      <c r="H26" s="637" t="s">
        <v>2357</v>
      </c>
      <c r="I26" s="637"/>
      <c r="J26" s="637"/>
      <c r="K26" s="637"/>
      <c r="L26" s="637"/>
      <c r="M26" s="637"/>
      <c r="N26" s="637"/>
      <c r="O26" s="637"/>
      <c r="P26" s="637"/>
      <c r="Q26" s="637"/>
      <c r="R26" s="637"/>
      <c r="S26" s="637"/>
      <c r="T26" s="527"/>
      <c r="U26" s="226"/>
      <c r="V26" s="638"/>
      <c r="W26" s="638"/>
      <c r="X26" s="638"/>
      <c r="Y26" s="638"/>
      <c r="Z26" s="638"/>
      <c r="AA26" s="638"/>
      <c r="AB26" s="638"/>
      <c r="AC26" s="638"/>
      <c r="AD26" s="638"/>
      <c r="AE26" s="638"/>
      <c r="AF26" s="638"/>
      <c r="AG26" s="638"/>
      <c r="AH26" s="638"/>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row>
    <row r="27" spans="1:62">
      <c r="A27" s="203"/>
      <c r="B27" s="608"/>
      <c r="C27" s="639"/>
      <c r="D27" s="639"/>
      <c r="E27" s="639"/>
      <c r="F27" s="639"/>
      <c r="G27" s="639"/>
      <c r="H27" s="639"/>
      <c r="I27" s="639"/>
      <c r="J27" s="639"/>
      <c r="K27" s="639"/>
      <c r="L27" s="639"/>
      <c r="M27" s="639"/>
      <c r="N27" s="639"/>
      <c r="O27" s="639"/>
      <c r="P27" s="639"/>
      <c r="Q27" s="639"/>
      <c r="R27" s="639"/>
      <c r="S27" s="639"/>
      <c r="T27" s="527"/>
      <c r="U27" s="226"/>
      <c r="V27" s="626"/>
      <c r="W27" s="626"/>
      <c r="X27" s="626"/>
      <c r="Y27" s="626"/>
      <c r="Z27" s="626"/>
      <c r="AA27" s="626"/>
      <c r="AB27" s="626"/>
      <c r="AC27" s="626"/>
      <c r="AD27" s="626"/>
      <c r="AE27" s="626"/>
      <c r="AF27" s="626"/>
      <c r="AG27" s="626"/>
      <c r="AH27" s="626"/>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row>
    <row r="28" spans="1:62">
      <c r="A28" s="203"/>
      <c r="B28" s="622" t="s">
        <v>2296</v>
      </c>
      <c r="C28" s="617"/>
      <c r="D28" s="617"/>
      <c r="E28" s="617"/>
      <c r="F28" s="617"/>
      <c r="G28" s="617"/>
      <c r="H28" s="617"/>
      <c r="I28" s="617"/>
      <c r="J28" s="617"/>
      <c r="K28" s="617"/>
      <c r="L28" s="617"/>
      <c r="M28" s="617"/>
      <c r="N28" s="617"/>
      <c r="O28" s="617"/>
      <c r="P28" s="617"/>
      <c r="Q28" s="617"/>
      <c r="R28" s="617"/>
      <c r="S28" s="617"/>
      <c r="T28" s="226"/>
      <c r="U28" s="226"/>
      <c r="V28" s="617"/>
      <c r="W28" s="617"/>
      <c r="X28" s="617"/>
      <c r="Y28" s="617"/>
      <c r="Z28" s="617"/>
      <c r="AA28" s="617"/>
      <c r="AB28" s="617"/>
      <c r="AC28" s="617"/>
      <c r="AD28" s="617"/>
      <c r="AE28" s="617"/>
      <c r="AF28" s="617"/>
      <c r="AG28" s="617"/>
      <c r="AH28" s="617"/>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row>
    <row r="29" spans="1:62">
      <c r="A29" s="203"/>
      <c r="B29" s="608" t="str">
        <f>B34</f>
        <v>Totalplay</v>
      </c>
      <c r="C29" s="640">
        <f t="shared" ref="C29:J31" si="22">C34/C22</f>
        <v>0.1658826990807821</v>
      </c>
      <c r="D29" s="640">
        <f t="shared" si="22"/>
        <v>0.15911560191221208</v>
      </c>
      <c r="E29" s="640">
        <f t="shared" si="22"/>
        <v>0.17663934426229508</v>
      </c>
      <c r="F29" s="640">
        <f t="shared" si="22"/>
        <v>0.19869918699186992</v>
      </c>
      <c r="G29" s="640">
        <f t="shared" si="22"/>
        <v>0.21388888888888888</v>
      </c>
      <c r="H29" s="640">
        <f t="shared" si="22"/>
        <v>0.22358778625954198</v>
      </c>
      <c r="I29" s="640">
        <f t="shared" si="22"/>
        <v>0.23940298507462687</v>
      </c>
      <c r="J29" s="640">
        <f t="shared" si="22"/>
        <v>0.23523809523809525</v>
      </c>
      <c r="K29" s="641">
        <v>0.25</v>
      </c>
      <c r="L29" s="640">
        <f t="shared" ref="L29:P31" si="23">L34/L22</f>
        <v>0.23951807228915661</v>
      </c>
      <c r="M29" s="640">
        <f t="shared" si="23"/>
        <v>0.24555555555555555</v>
      </c>
      <c r="N29" s="640">
        <f t="shared" si="23"/>
        <v>0.2483236994219653</v>
      </c>
      <c r="O29" s="640">
        <f t="shared" si="23"/>
        <v>0.251612</v>
      </c>
      <c r="P29" s="640">
        <f t="shared" ref="P29:Q29" si="24">P34/P22</f>
        <v>0.25818342857142856</v>
      </c>
      <c r="Q29" s="640">
        <f t="shared" si="24"/>
        <v>0.26422857142857142</v>
      </c>
      <c r="R29" s="640">
        <f t="shared" ref="R29:S29" si="25">R34/R22</f>
        <v>0.27230769230769231</v>
      </c>
      <c r="S29" s="640">
        <f t="shared" si="25"/>
        <v>0.27932943404098726</v>
      </c>
      <c r="T29" s="619"/>
      <c r="U29" s="226"/>
      <c r="V29" s="640"/>
      <c r="W29" s="640"/>
      <c r="X29" s="640"/>
      <c r="Y29" s="640"/>
      <c r="Z29" s="640"/>
      <c r="AA29" s="640"/>
      <c r="AB29" s="640"/>
      <c r="AC29" s="640"/>
      <c r="AD29" s="640"/>
      <c r="AE29" s="640"/>
      <c r="AF29" s="640"/>
      <c r="AG29" s="640"/>
      <c r="AH29" s="640"/>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row>
    <row r="30" spans="1:62">
      <c r="A30" s="203"/>
      <c r="B30" s="521" t="str">
        <f>B35</f>
        <v>MEGA (Cable)</v>
      </c>
      <c r="C30" s="618">
        <f t="shared" si="22"/>
        <v>0.35537129035773962</v>
      </c>
      <c r="D30" s="618">
        <f t="shared" si="22"/>
        <v>0.36382276398950014</v>
      </c>
      <c r="E30" s="618">
        <f t="shared" si="22"/>
        <v>0.38351966192703524</v>
      </c>
      <c r="F30" s="618">
        <f t="shared" si="22"/>
        <v>0.39197597621204588</v>
      </c>
      <c r="G30" s="618">
        <f t="shared" si="22"/>
        <v>0.3985401493889959</v>
      </c>
      <c r="H30" s="618">
        <f t="shared" si="22"/>
        <v>0.40100032977904804</v>
      </c>
      <c r="I30" s="618">
        <f t="shared" si="22"/>
        <v>0.40388087720721821</v>
      </c>
      <c r="J30" s="618">
        <f t="shared" si="22"/>
        <v>0.40067439332817756</v>
      </c>
      <c r="K30" s="618">
        <f>K35/K23</f>
        <v>0.40193830361525884</v>
      </c>
      <c r="L30" s="618">
        <f t="shared" si="23"/>
        <v>0.38681804654896773</v>
      </c>
      <c r="M30" s="618">
        <f t="shared" si="23"/>
        <v>0.37979773431083791</v>
      </c>
      <c r="N30" s="618">
        <f t="shared" si="23"/>
        <v>0.35793961670965024</v>
      </c>
      <c r="O30" s="618">
        <f t="shared" si="23"/>
        <v>0.34315421293064197</v>
      </c>
      <c r="P30" s="618">
        <f t="shared" si="23"/>
        <v>0.33072457195536287</v>
      </c>
      <c r="Q30" s="618">
        <f t="shared" ref="Q30:R30" si="26">Q35/Q23</f>
        <v>0.31373119768717589</v>
      </c>
      <c r="R30" s="618">
        <f t="shared" si="26"/>
        <v>0.30584145894906606</v>
      </c>
      <c r="S30" s="618">
        <f t="shared" ref="S30" si="27">S35/S23</f>
        <v>0.30548268498762932</v>
      </c>
      <c r="T30" s="619"/>
      <c r="U30" s="226"/>
      <c r="V30" s="618"/>
      <c r="W30" s="618"/>
      <c r="X30" s="618"/>
      <c r="Y30" s="618"/>
      <c r="Z30" s="618"/>
      <c r="AA30" s="618"/>
      <c r="AB30" s="618"/>
      <c r="AC30" s="618"/>
      <c r="AD30" s="618"/>
      <c r="AE30" s="618"/>
      <c r="AF30" s="618"/>
      <c r="AG30" s="618"/>
      <c r="AH30" s="618"/>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row>
    <row r="31" spans="1:62">
      <c r="A31" s="203"/>
      <c r="B31" s="629" t="str">
        <f>B36</f>
        <v>TV (Retail)</v>
      </c>
      <c r="C31" s="642">
        <f t="shared" si="22"/>
        <v>0.31483660130718955</v>
      </c>
      <c r="D31" s="642">
        <f t="shared" si="22"/>
        <v>0.33130718954248367</v>
      </c>
      <c r="E31" s="642">
        <f t="shared" si="22"/>
        <v>0.34212903225806451</v>
      </c>
      <c r="F31" s="642">
        <f t="shared" si="22"/>
        <v>0.34378484651947511</v>
      </c>
      <c r="G31" s="642">
        <f t="shared" si="22"/>
        <v>0.33957055214723925</v>
      </c>
      <c r="H31" s="642">
        <f t="shared" si="22"/>
        <v>0.33130952380952383</v>
      </c>
      <c r="I31" s="642">
        <f t="shared" si="22"/>
        <v>0.32317919075144508</v>
      </c>
      <c r="J31" s="642">
        <f t="shared" si="22"/>
        <v>0.3155922905027933</v>
      </c>
      <c r="K31" s="642">
        <f>K36/K24</f>
        <v>0.3158141046831956</v>
      </c>
      <c r="L31" s="642">
        <f t="shared" si="23"/>
        <v>0.31573858695652174</v>
      </c>
      <c r="M31" s="642">
        <f t="shared" si="23"/>
        <v>0.31666616621983912</v>
      </c>
      <c r="N31" s="642">
        <f t="shared" si="23"/>
        <v>0.31661375661375663</v>
      </c>
      <c r="O31" s="642">
        <f t="shared" si="23"/>
        <v>0.31774146596858638</v>
      </c>
      <c r="P31" s="642">
        <f t="shared" ref="P31:Q31" si="28">P36/P24</f>
        <v>0.31087628865979383</v>
      </c>
      <c r="Q31" s="642">
        <f t="shared" si="28"/>
        <v>0.29117107692307692</v>
      </c>
      <c r="R31" s="642">
        <f t="shared" ref="R31:S31" si="29">R36/R24</f>
        <v>0.28971586734693877</v>
      </c>
      <c r="S31" s="642">
        <f t="shared" si="29"/>
        <v>0.28878172588832485</v>
      </c>
      <c r="T31" s="619"/>
      <c r="U31" s="226"/>
      <c r="V31" s="642"/>
      <c r="W31" s="642"/>
      <c r="X31" s="642"/>
      <c r="Y31" s="642"/>
      <c r="Z31" s="642"/>
      <c r="AA31" s="642"/>
      <c r="AB31" s="642"/>
      <c r="AC31" s="642"/>
      <c r="AD31" s="642"/>
      <c r="AE31" s="642"/>
      <c r="AF31" s="642"/>
      <c r="AG31" s="642"/>
      <c r="AH31" s="642"/>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row>
    <row r="32" spans="1:62">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row>
    <row r="33" spans="1:62">
      <c r="A33" s="203"/>
      <c r="B33" s="317" t="s">
        <v>2295</v>
      </c>
      <c r="C33" s="615"/>
      <c r="D33" s="615"/>
      <c r="E33" s="615"/>
      <c r="F33" s="615"/>
      <c r="G33" s="615" t="str">
        <f t="shared" ref="G33:R33" si="30">G2</f>
        <v>Q1 21</v>
      </c>
      <c r="H33" s="615" t="str">
        <f t="shared" si="30"/>
        <v>Q2 21</v>
      </c>
      <c r="I33" s="615" t="str">
        <f t="shared" si="30"/>
        <v>Q3 21</v>
      </c>
      <c r="J33" s="615" t="str">
        <f t="shared" si="30"/>
        <v>Q4 21</v>
      </c>
      <c r="K33" s="615" t="str">
        <f t="shared" si="30"/>
        <v>Q1 22</v>
      </c>
      <c r="L33" s="615" t="str">
        <f t="shared" si="30"/>
        <v>Q2 22</v>
      </c>
      <c r="M33" s="615" t="str">
        <f t="shared" si="30"/>
        <v>Q3 22</v>
      </c>
      <c r="N33" s="615" t="str">
        <f t="shared" si="30"/>
        <v>Q4 22</v>
      </c>
      <c r="O33" s="615" t="str">
        <f t="shared" si="30"/>
        <v>Q1 23</v>
      </c>
      <c r="P33" s="615" t="str">
        <f t="shared" si="30"/>
        <v>Q2 23</v>
      </c>
      <c r="Q33" s="615" t="str">
        <f t="shared" si="30"/>
        <v>Q3 23</v>
      </c>
      <c r="R33" s="615" t="str">
        <f t="shared" si="30"/>
        <v>Q4 23</v>
      </c>
      <c r="S33" s="615" t="str">
        <f t="shared" ref="S33" si="31">S2</f>
        <v>Q1 24</v>
      </c>
      <c r="T33" s="616"/>
      <c r="U33" s="226"/>
      <c r="V33" s="615" t="str">
        <f t="shared" ref="V33:AD33" si="32">V2</f>
        <v>Q1 21</v>
      </c>
      <c r="W33" s="615" t="str">
        <f t="shared" si="32"/>
        <v>Q2 21</v>
      </c>
      <c r="X33" s="615" t="str">
        <f t="shared" si="32"/>
        <v>Q3 21</v>
      </c>
      <c r="Y33" s="615" t="str">
        <f t="shared" si="32"/>
        <v>Q4 21</v>
      </c>
      <c r="Z33" s="615" t="str">
        <f t="shared" si="32"/>
        <v>Q1 22</v>
      </c>
      <c r="AA33" s="615" t="str">
        <f t="shared" si="32"/>
        <v>Q2 22</v>
      </c>
      <c r="AB33" s="615" t="str">
        <f t="shared" si="32"/>
        <v>Q3 22</v>
      </c>
      <c r="AC33" s="615" t="str">
        <f t="shared" si="32"/>
        <v>Q4 22</v>
      </c>
      <c r="AD33" s="615" t="str">
        <f t="shared" si="32"/>
        <v>Q1 23</v>
      </c>
      <c r="AE33" s="615" t="str">
        <f t="shared" ref="AE33:AF33" si="33">AE2</f>
        <v>Q2 23</v>
      </c>
      <c r="AF33" s="615" t="str">
        <f t="shared" si="33"/>
        <v>Q3 23</v>
      </c>
      <c r="AG33" s="615" t="str">
        <f t="shared" ref="AG33:AH33" si="34">AG2</f>
        <v>Q4 23</v>
      </c>
      <c r="AH33" s="615" t="str">
        <f t="shared" si="34"/>
        <v>Q1 24</v>
      </c>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row>
    <row r="34" spans="1:62">
      <c r="A34" s="203"/>
      <c r="B34" s="521" t="str">
        <f>B22</f>
        <v>Totalplay</v>
      </c>
      <c r="C34" s="530">
        <f>G34/1.66</f>
        <v>1623.4939759036145</v>
      </c>
      <c r="D34" s="530">
        <f>H34/1.56</f>
        <v>1877.5641025641025</v>
      </c>
      <c r="E34" s="530">
        <v>2155</v>
      </c>
      <c r="F34" s="530">
        <v>2444</v>
      </c>
      <c r="G34" s="530">
        <v>2695</v>
      </c>
      <c r="H34" s="530">
        <v>2929</v>
      </c>
      <c r="I34" s="643">
        <v>3208</v>
      </c>
      <c r="J34" s="643">
        <v>3458</v>
      </c>
      <c r="K34" s="643">
        <f>J34+397-123</f>
        <v>3732</v>
      </c>
      <c r="L34" s="643">
        <f>K34+384-140</f>
        <v>3976</v>
      </c>
      <c r="M34" s="643">
        <f>L34+379-156</f>
        <v>4199</v>
      </c>
      <c r="N34" s="643">
        <f>M34+288-191</f>
        <v>4296</v>
      </c>
      <c r="O34" s="643">
        <v>4403.21</v>
      </c>
      <c r="P34" s="643">
        <f>O34+115</f>
        <v>4518.21</v>
      </c>
      <c r="Q34" s="643">
        <v>4624</v>
      </c>
      <c r="R34" s="643">
        <v>4779</v>
      </c>
      <c r="S34" s="643">
        <v>4907.3</v>
      </c>
      <c r="T34" s="634"/>
      <c r="U34" s="226"/>
      <c r="V34" s="618">
        <f t="shared" ref="V34:AH37" si="35">G34/C34-1</f>
        <v>0.65999999999999992</v>
      </c>
      <c r="W34" s="618">
        <f t="shared" si="35"/>
        <v>0.56000000000000005</v>
      </c>
      <c r="X34" s="618">
        <f t="shared" si="35"/>
        <v>0.48863109048723907</v>
      </c>
      <c r="Y34" s="618">
        <f t="shared" si="35"/>
        <v>0.41489361702127669</v>
      </c>
      <c r="Z34" s="618">
        <f t="shared" si="35"/>
        <v>0.38478664192949896</v>
      </c>
      <c r="AA34" s="618">
        <f t="shared" si="35"/>
        <v>0.35745988391942651</v>
      </c>
      <c r="AB34" s="618">
        <f t="shared" si="35"/>
        <v>0.30891521197007488</v>
      </c>
      <c r="AC34" s="618">
        <f t="shared" si="35"/>
        <v>0.24233661075766344</v>
      </c>
      <c r="AD34" s="618">
        <f t="shared" si="35"/>
        <v>0.17985262593783502</v>
      </c>
      <c r="AE34" s="618">
        <f t="shared" si="35"/>
        <v>0.13637072434607656</v>
      </c>
      <c r="AF34" s="618">
        <f t="shared" si="35"/>
        <v>0.10121457489878538</v>
      </c>
      <c r="AG34" s="618">
        <f t="shared" si="35"/>
        <v>0.11243016759776547</v>
      </c>
      <c r="AH34" s="618">
        <f t="shared" si="35"/>
        <v>0.1144823889844</v>
      </c>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row>
    <row r="35" spans="1:62">
      <c r="A35" s="203"/>
      <c r="B35" s="203" t="str">
        <f>B23</f>
        <v>MEGA (Cable)</v>
      </c>
      <c r="C35" s="527">
        <f>Quarts!AY18</f>
        <v>3146.3809999999999</v>
      </c>
      <c r="D35" s="527">
        <f>Quarts!AZ18</f>
        <v>3229.4</v>
      </c>
      <c r="E35" s="527">
        <f>Quarts!BA18</f>
        <v>3413.9949999999999</v>
      </c>
      <c r="F35" s="527">
        <f>Quarts!BB18</f>
        <v>3510.3240000000001</v>
      </c>
      <c r="G35" s="527">
        <f>Quarts!BC18</f>
        <v>3589.74</v>
      </c>
      <c r="H35" s="527">
        <f>Quarts!BD18</f>
        <v>3647.9</v>
      </c>
      <c r="I35" s="527">
        <f>Quarts!BE18</f>
        <v>3752.9119999999998</v>
      </c>
      <c r="J35" s="527">
        <f>Quarts!BF18</f>
        <v>3833.893</v>
      </c>
      <c r="K35" s="527">
        <f>Quarts!BG18</f>
        <v>3893.297</v>
      </c>
      <c r="L35" s="527">
        <f>Quarts!BH18</f>
        <v>3912.4749999999999</v>
      </c>
      <c r="M35" s="527">
        <f>Quarts!BI18</f>
        <v>4013.1320000000001</v>
      </c>
      <c r="N35" s="527">
        <f>Quarts!BJ18</f>
        <v>4137.8599999999997</v>
      </c>
      <c r="O35" s="527">
        <f>Quarts!BK18</f>
        <v>4285.165</v>
      </c>
      <c r="P35" s="527">
        <f>Quarts!BL18</f>
        <v>4448.4769999999999</v>
      </c>
      <c r="Q35" s="527">
        <f>Quarts!BM18</f>
        <v>4565.6040000000003</v>
      </c>
      <c r="R35" s="527">
        <f>Quarts!BN18</f>
        <v>4721.5519999999997</v>
      </c>
      <c r="S35" s="527">
        <f>Quarts!BO18</f>
        <v>4872.8819999999996</v>
      </c>
      <c r="T35" s="527"/>
      <c r="U35" s="226"/>
      <c r="V35" s="619">
        <f t="shared" si="35"/>
        <v>0.14091077971803156</v>
      </c>
      <c r="W35" s="619">
        <f t="shared" si="35"/>
        <v>0.12959063603146093</v>
      </c>
      <c r="X35" s="619">
        <f t="shared" si="35"/>
        <v>9.92728460352168E-2</v>
      </c>
      <c r="Y35" s="619">
        <f t="shared" si="35"/>
        <v>9.2176391694897664E-2</v>
      </c>
      <c r="Z35" s="619">
        <f t="shared" si="35"/>
        <v>8.4562391705248929E-2</v>
      </c>
      <c r="AA35" s="619">
        <f t="shared" si="35"/>
        <v>7.2528029825378981E-2</v>
      </c>
      <c r="AB35" s="619">
        <f t="shared" si="35"/>
        <v>6.9338156610120327E-2</v>
      </c>
      <c r="AC35" s="619">
        <f t="shared" si="35"/>
        <v>7.9284163642542982E-2</v>
      </c>
      <c r="AD35" s="619">
        <f t="shared" si="35"/>
        <v>0.10065196670071663</v>
      </c>
      <c r="AE35" s="619">
        <f t="shared" si="35"/>
        <v>0.13699819168173599</v>
      </c>
      <c r="AF35" s="619">
        <f t="shared" si="35"/>
        <v>0.13766604238285707</v>
      </c>
      <c r="AG35" s="619">
        <f t="shared" si="35"/>
        <v>0.14106132155268658</v>
      </c>
      <c r="AH35" s="619">
        <f t="shared" si="35"/>
        <v>0.13715154492300763</v>
      </c>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row>
    <row r="36" spans="1:62">
      <c r="A36" s="203"/>
      <c r="B36" s="521" t="str">
        <f>B24</f>
        <v>TV (Retail)</v>
      </c>
      <c r="C36" s="530">
        <v>4817</v>
      </c>
      <c r="D36" s="530">
        <v>5069</v>
      </c>
      <c r="E36" s="530">
        <v>5303</v>
      </c>
      <c r="F36" s="530">
        <v>5431.8005750077064</v>
      </c>
      <c r="G36" s="530">
        <v>5535</v>
      </c>
      <c r="H36" s="530">
        <v>5566</v>
      </c>
      <c r="I36" s="530">
        <v>5591</v>
      </c>
      <c r="J36" s="530">
        <v>5649.1019999999999</v>
      </c>
      <c r="K36" s="530">
        <v>5732.0259999999998</v>
      </c>
      <c r="L36" s="530">
        <v>5809.59</v>
      </c>
      <c r="M36" s="530">
        <v>5905.8239999999996</v>
      </c>
      <c r="N36" s="530">
        <v>5984</v>
      </c>
      <c r="O36" s="530">
        <v>6068.8620000000001</v>
      </c>
      <c r="P36" s="530">
        <v>6031</v>
      </c>
      <c r="Q36" s="530">
        <v>5677.8360000000002</v>
      </c>
      <c r="R36" s="530">
        <v>5678.4309999999996</v>
      </c>
      <c r="S36" s="530">
        <v>5689</v>
      </c>
      <c r="T36" s="527"/>
      <c r="U36" s="226"/>
      <c r="V36" s="618">
        <f t="shared" si="35"/>
        <v>0.14905542869005606</v>
      </c>
      <c r="W36" s="618">
        <f t="shared" si="35"/>
        <v>9.8046952061550563E-2</v>
      </c>
      <c r="X36" s="618">
        <f t="shared" si="35"/>
        <v>5.4308881765038564E-2</v>
      </c>
      <c r="Y36" s="618">
        <f t="shared" si="35"/>
        <v>4.0005412936572116E-2</v>
      </c>
      <c r="Z36" s="618">
        <f t="shared" si="35"/>
        <v>3.5596386630532884E-2</v>
      </c>
      <c r="AA36" s="618">
        <f t="shared" si="35"/>
        <v>4.376392382321237E-2</v>
      </c>
      <c r="AB36" s="618">
        <f t="shared" si="35"/>
        <v>5.6309068145233399E-2</v>
      </c>
      <c r="AC36" s="618">
        <f t="shared" si="35"/>
        <v>5.9283404689807417E-2</v>
      </c>
      <c r="AD36" s="618">
        <f t="shared" si="35"/>
        <v>5.8763864644019392E-2</v>
      </c>
      <c r="AE36" s="618">
        <f t="shared" si="35"/>
        <v>3.8111123160154081E-2</v>
      </c>
      <c r="AF36" s="618">
        <f t="shared" si="35"/>
        <v>-3.8603927241990132E-2</v>
      </c>
      <c r="AG36" s="618">
        <f t="shared" si="35"/>
        <v>-5.1064338235294215E-2</v>
      </c>
      <c r="AH36" s="618">
        <f t="shared" si="35"/>
        <v>-6.2591965347045253E-2</v>
      </c>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row>
    <row r="37" spans="1:62">
      <c r="A37" s="203"/>
      <c r="B37" s="203" t="s">
        <v>2359</v>
      </c>
      <c r="C37" s="527">
        <v>9798</v>
      </c>
      <c r="D37" s="527">
        <v>9861</v>
      </c>
      <c r="E37" s="527">
        <v>9978</v>
      </c>
      <c r="F37" s="527">
        <v>10011</v>
      </c>
      <c r="G37" s="527">
        <v>9992</v>
      </c>
      <c r="H37" s="527">
        <v>9954</v>
      </c>
      <c r="I37" s="527">
        <v>10048</v>
      </c>
      <c r="J37" s="527">
        <v>10037</v>
      </c>
      <c r="K37" s="527">
        <v>10100</v>
      </c>
      <c r="L37" s="527">
        <v>10120</v>
      </c>
      <c r="M37" s="527">
        <v>10121</v>
      </c>
      <c r="N37" s="527">
        <v>10025</v>
      </c>
      <c r="O37" s="527">
        <v>10164</v>
      </c>
      <c r="P37" s="527">
        <v>10304</v>
      </c>
      <c r="Q37" s="527">
        <v>10324</v>
      </c>
      <c r="R37" s="527">
        <v>10489</v>
      </c>
      <c r="S37" s="527">
        <v>10814</v>
      </c>
      <c r="T37" s="527"/>
      <c r="U37" s="226"/>
      <c r="V37" s="619">
        <f t="shared" si="35"/>
        <v>1.9799959175341941E-2</v>
      </c>
      <c r="W37" s="619">
        <f t="shared" si="35"/>
        <v>9.4310921813203219E-3</v>
      </c>
      <c r="X37" s="619">
        <f t="shared" si="35"/>
        <v>7.0154339547003897E-3</v>
      </c>
      <c r="Y37" s="619">
        <f t="shared" si="35"/>
        <v>2.5971431425431124E-3</v>
      </c>
      <c r="Z37" s="619">
        <f t="shared" si="35"/>
        <v>1.0808646917534137E-2</v>
      </c>
      <c r="AA37" s="619">
        <f t="shared" si="35"/>
        <v>1.6676712879244437E-2</v>
      </c>
      <c r="AB37" s="619">
        <f t="shared" si="35"/>
        <v>7.2651273885351308E-3</v>
      </c>
      <c r="AC37" s="619">
        <f t="shared" si="35"/>
        <v>-1.1955763674404984E-3</v>
      </c>
      <c r="AD37" s="619">
        <f t="shared" si="35"/>
        <v>6.3366336633663423E-3</v>
      </c>
      <c r="AE37" s="619">
        <f t="shared" si="35"/>
        <v>1.8181818181818077E-2</v>
      </c>
      <c r="AF37" s="619">
        <f t="shared" si="35"/>
        <v>2.005730659025784E-2</v>
      </c>
      <c r="AG37" s="619">
        <f t="shared" si="35"/>
        <v>4.6284289276808055E-2</v>
      </c>
      <c r="AH37" s="619">
        <f t="shared" si="35"/>
        <v>6.3951200314836587E-2</v>
      </c>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row>
    <row r="38" spans="1:62">
      <c r="A38" s="203"/>
      <c r="B38" s="644" t="s">
        <v>2360</v>
      </c>
      <c r="C38" s="645"/>
      <c r="D38" s="646">
        <v>3317</v>
      </c>
      <c r="E38" s="645"/>
      <c r="F38" s="645"/>
      <c r="G38" s="645"/>
      <c r="H38" s="646">
        <v>4281</v>
      </c>
      <c r="I38" s="647"/>
      <c r="J38" s="645"/>
      <c r="K38" s="645"/>
      <c r="L38" s="645"/>
      <c r="M38" s="645"/>
      <c r="N38" s="645"/>
      <c r="O38" s="645"/>
      <c r="P38" s="645"/>
      <c r="Q38" s="645"/>
      <c r="R38" s="645"/>
      <c r="S38" s="645"/>
      <c r="T38" s="226"/>
      <c r="U38" s="226"/>
      <c r="V38" s="645"/>
      <c r="W38" s="645"/>
      <c r="X38" s="645"/>
      <c r="Y38" s="645"/>
      <c r="Z38" s="645"/>
      <c r="AA38" s="645"/>
      <c r="AB38" s="645"/>
      <c r="AC38" s="645"/>
      <c r="AD38" s="645"/>
      <c r="AE38" s="645"/>
      <c r="AF38" s="645"/>
      <c r="AG38" s="645"/>
      <c r="AH38" s="645"/>
      <c r="AI38" s="203"/>
      <c r="AJ38" s="203"/>
      <c r="AK38" s="203"/>
      <c r="AL38" s="203"/>
      <c r="AM38" s="203"/>
      <c r="AN38" s="203"/>
      <c r="AO38" s="203"/>
      <c r="AP38" s="203"/>
      <c r="AQ38" s="203"/>
      <c r="AR38" s="203"/>
      <c r="AS38" s="203"/>
      <c r="AW38" s="203"/>
      <c r="AX38" s="203"/>
      <c r="AY38" s="203"/>
      <c r="AZ38" s="203"/>
      <c r="BA38" s="203"/>
      <c r="BB38" s="203"/>
      <c r="BC38" s="203"/>
      <c r="BD38" s="203"/>
      <c r="BE38" s="203"/>
      <c r="BF38" s="203"/>
      <c r="BG38" s="203"/>
      <c r="BH38" s="203"/>
      <c r="BI38" s="203"/>
      <c r="BJ38" s="203"/>
    </row>
    <row r="39" spans="1:62">
      <c r="A39" s="203"/>
      <c r="B39" s="439" t="s">
        <v>2892</v>
      </c>
      <c r="C39" s="648">
        <f t="shared" ref="C39:M39" si="36">SUM(C34:C37)</f>
        <v>19384.874975903615</v>
      </c>
      <c r="D39" s="648">
        <f t="shared" si="36"/>
        <v>20036.964102564103</v>
      </c>
      <c r="E39" s="648">
        <f t="shared" si="36"/>
        <v>20849.994999999999</v>
      </c>
      <c r="F39" s="648">
        <f t="shared" si="36"/>
        <v>21397.124575007707</v>
      </c>
      <c r="G39" s="648">
        <f t="shared" si="36"/>
        <v>21811.739999999998</v>
      </c>
      <c r="H39" s="648">
        <f t="shared" si="36"/>
        <v>22096.9</v>
      </c>
      <c r="I39" s="648">
        <f t="shared" si="36"/>
        <v>22599.912</v>
      </c>
      <c r="J39" s="648">
        <f t="shared" si="36"/>
        <v>22977.994999999999</v>
      </c>
      <c r="K39" s="648">
        <f t="shared" si="36"/>
        <v>23457.323</v>
      </c>
      <c r="L39" s="648">
        <f t="shared" si="36"/>
        <v>23818.065000000002</v>
      </c>
      <c r="M39" s="648">
        <f t="shared" si="36"/>
        <v>24238.955999999998</v>
      </c>
      <c r="N39" s="648">
        <f t="shared" ref="N39:P39" si="37">SUM(N34:N37)</f>
        <v>24442.86</v>
      </c>
      <c r="O39" s="648">
        <f t="shared" si="37"/>
        <v>24921.237000000001</v>
      </c>
      <c r="P39" s="648">
        <f t="shared" si="37"/>
        <v>25301.686999999998</v>
      </c>
      <c r="Q39" s="648">
        <f t="shared" ref="Q39:R39" si="38">SUM(Q34:Q37)</f>
        <v>25191.439999999999</v>
      </c>
      <c r="R39" s="648">
        <f t="shared" si="38"/>
        <v>25667.983</v>
      </c>
      <c r="S39" s="648">
        <f t="shared" ref="S39" si="39">SUM(S34:S37)</f>
        <v>26283.182000000001</v>
      </c>
      <c r="T39" s="648"/>
      <c r="U39" s="226"/>
      <c r="V39" s="649">
        <f t="shared" ref="V39:AH39" si="40">G39/C39-1</f>
        <v>0.12519374136346517</v>
      </c>
      <c r="W39" s="649">
        <f t="shared" si="40"/>
        <v>0.10280678684114086</v>
      </c>
      <c r="X39" s="649">
        <f t="shared" si="40"/>
        <v>8.3928893028511586E-2</v>
      </c>
      <c r="Y39" s="649">
        <f t="shared" si="40"/>
        <v>7.3882377019890866E-2</v>
      </c>
      <c r="Z39" s="649">
        <f t="shared" si="40"/>
        <v>7.544482925250362E-2</v>
      </c>
      <c r="AA39" s="649">
        <f t="shared" si="40"/>
        <v>7.7891695215166035E-2</v>
      </c>
      <c r="AB39" s="649">
        <f t="shared" si="40"/>
        <v>7.2524353192171542E-2</v>
      </c>
      <c r="AC39" s="649">
        <f t="shared" si="40"/>
        <v>6.3750775470183596E-2</v>
      </c>
      <c r="AD39" s="649">
        <f t="shared" si="40"/>
        <v>6.2407547527908447E-2</v>
      </c>
      <c r="AE39" s="649">
        <f t="shared" si="40"/>
        <v>6.2289778787655292E-2</v>
      </c>
      <c r="AF39" s="649">
        <f t="shared" si="40"/>
        <v>3.9295586823128836E-2</v>
      </c>
      <c r="AG39" s="649">
        <f t="shared" si="40"/>
        <v>5.0121916993346893E-2</v>
      </c>
      <c r="AH39" s="649">
        <f t="shared" si="40"/>
        <v>5.4649975841889464E-2</v>
      </c>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row>
    <row r="40" spans="1:62">
      <c r="A40" s="203"/>
      <c r="B40" s="650" t="s">
        <v>69</v>
      </c>
      <c r="C40" s="623"/>
      <c r="D40" s="623"/>
      <c r="E40" s="623"/>
      <c r="F40" s="651">
        <f>G40*1.05</f>
        <v>1432.8519557428122</v>
      </c>
      <c r="G40" s="651">
        <f>H40*1.05</f>
        <v>1364.6209102312496</v>
      </c>
      <c r="H40" s="651">
        <f>I40*1.05</f>
        <v>1299.6389621249996</v>
      </c>
      <c r="I40" s="651">
        <f>J40*1.05</f>
        <v>1237.7513924999996</v>
      </c>
      <c r="J40" s="651">
        <f>K40*1.05</f>
        <v>1178.8108499999996</v>
      </c>
      <c r="K40" s="530">
        <f t="shared" ref="K40" si="41">K41-K39</f>
        <v>1122.6769999999997</v>
      </c>
      <c r="L40" s="651">
        <f t="shared" ref="L40:S40" si="42">K40*0.95</f>
        <v>1066.5431499999997</v>
      </c>
      <c r="M40" s="651">
        <f t="shared" si="42"/>
        <v>1013.2159924999997</v>
      </c>
      <c r="N40" s="651">
        <f t="shared" si="42"/>
        <v>962.55519287499976</v>
      </c>
      <c r="O40" s="651">
        <f t="shared" si="42"/>
        <v>914.42743323124978</v>
      </c>
      <c r="P40" s="651">
        <f t="shared" si="42"/>
        <v>868.70606156968722</v>
      </c>
      <c r="Q40" s="651">
        <f t="shared" si="42"/>
        <v>825.27075849120286</v>
      </c>
      <c r="R40" s="651">
        <f t="shared" si="42"/>
        <v>784.00722056664267</v>
      </c>
      <c r="S40" s="651">
        <f t="shared" si="42"/>
        <v>744.8068595383105</v>
      </c>
      <c r="T40" s="652"/>
      <c r="U40" s="226"/>
      <c r="V40" s="624"/>
      <c r="W40" s="624"/>
      <c r="X40" s="624"/>
      <c r="Y40" s="624"/>
      <c r="Z40" s="624"/>
      <c r="AA40" s="624"/>
      <c r="AB40" s="624"/>
      <c r="AC40" s="624"/>
      <c r="AD40" s="624"/>
      <c r="AE40" s="624"/>
      <c r="AF40" s="624"/>
      <c r="AG40" s="624"/>
      <c r="AH40" s="624"/>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row>
    <row r="41" spans="1:62">
      <c r="A41" s="203"/>
      <c r="B41" s="439" t="s">
        <v>2897</v>
      </c>
      <c r="C41" s="648"/>
      <c r="D41" s="648"/>
      <c r="E41" s="648"/>
      <c r="F41" s="648">
        <f>F39+F40</f>
        <v>22829.976530750519</v>
      </c>
      <c r="G41" s="648">
        <f>G39+G40</f>
        <v>23176.360910231248</v>
      </c>
      <c r="H41" s="648">
        <f t="shared" ref="H41:J41" si="43">H39+H40</f>
        <v>23396.538962125</v>
      </c>
      <c r="I41" s="648">
        <f t="shared" si="43"/>
        <v>23837.663392499999</v>
      </c>
      <c r="J41" s="648">
        <f t="shared" si="43"/>
        <v>24156.805849999997</v>
      </c>
      <c r="K41" s="648">
        <v>24580</v>
      </c>
      <c r="L41" s="648">
        <f>L39+L40</f>
        <v>24884.608150000004</v>
      </c>
      <c r="M41" s="648">
        <f t="shared" ref="M41:O41" si="44">M39+M40</f>
        <v>25252.1719925</v>
      </c>
      <c r="N41" s="648">
        <f t="shared" si="44"/>
        <v>25405.415192875</v>
      </c>
      <c r="O41" s="648">
        <f t="shared" si="44"/>
        <v>25835.66443323125</v>
      </c>
      <c r="P41" s="648">
        <f t="shared" ref="P41:Q41" si="45">P39+P40</f>
        <v>26170.393061569685</v>
      </c>
      <c r="Q41" s="648">
        <f t="shared" si="45"/>
        <v>26016.710758491201</v>
      </c>
      <c r="R41" s="648">
        <f t="shared" ref="R41:S41" si="46">R39+R40</f>
        <v>26451.990220566644</v>
      </c>
      <c r="S41" s="648">
        <f t="shared" si="46"/>
        <v>27027.988859538313</v>
      </c>
      <c r="T41" s="648"/>
      <c r="U41" s="226"/>
      <c r="V41" s="649"/>
      <c r="W41" s="649"/>
      <c r="X41" s="649"/>
      <c r="Y41" s="649"/>
      <c r="Z41" s="649">
        <f t="shared" ref="Z41:AH43" si="47">K41/G41-1</f>
        <v>6.0563394538316606E-2</v>
      </c>
      <c r="AA41" s="649">
        <f t="shared" si="47"/>
        <v>6.360210757171969E-2</v>
      </c>
      <c r="AB41" s="649">
        <f t="shared" si="47"/>
        <v>5.9339230389713782E-2</v>
      </c>
      <c r="AC41" s="649">
        <f t="shared" si="47"/>
        <v>5.1687683819961805E-2</v>
      </c>
      <c r="AD41" s="649">
        <f t="shared" si="47"/>
        <v>5.1084802002898666E-2</v>
      </c>
      <c r="AE41" s="649">
        <f t="shared" si="47"/>
        <v>5.1669887820583682E-2</v>
      </c>
      <c r="AF41" s="649">
        <f t="shared" si="47"/>
        <v>3.0276158669372055E-2</v>
      </c>
      <c r="AG41" s="649">
        <f t="shared" si="47"/>
        <v>4.1194958623827604E-2</v>
      </c>
      <c r="AH41" s="649">
        <f t="shared" si="47"/>
        <v>4.6150329494659026E-2</v>
      </c>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row>
    <row r="42" spans="1:62">
      <c r="A42" s="203"/>
      <c r="B42" s="650" t="s">
        <v>2893</v>
      </c>
      <c r="C42" s="623"/>
      <c r="D42" s="623"/>
      <c r="E42" s="623"/>
      <c r="F42" s="530">
        <f>F41-F43</f>
        <v>20384.438361284851</v>
      </c>
      <c r="G42" s="530">
        <f>G41-G43</f>
        <v>20693.718181319982</v>
      </c>
      <c r="H42" s="530">
        <f>H41-H43</f>
        <v>20890.310846287932</v>
      </c>
      <c r="I42" s="530">
        <f>I41-I43</f>
        <v>21284.182199967352</v>
      </c>
      <c r="J42" s="530">
        <f>J41-J43</f>
        <v>21569.138242064684</v>
      </c>
      <c r="K42" s="530">
        <v>21947</v>
      </c>
      <c r="L42" s="530">
        <f>K42/K41*L41</f>
        <v>22218.978643940198</v>
      </c>
      <c r="M42" s="530">
        <f t="shared" ref="M42:S42" si="48">L42/L41*M41</f>
        <v>22547.169191187855</v>
      </c>
      <c r="N42" s="530">
        <f t="shared" si="48"/>
        <v>22683.997039789567</v>
      </c>
      <c r="O42" s="530">
        <f t="shared" si="48"/>
        <v>23068.158149557614</v>
      </c>
      <c r="P42" s="530">
        <f t="shared" si="48"/>
        <v>23367.030777960528</v>
      </c>
      <c r="Q42" s="530">
        <f t="shared" si="48"/>
        <v>23229.810863165432</v>
      </c>
      <c r="R42" s="530">
        <f t="shared" si="48"/>
        <v>23618.463359266723</v>
      </c>
      <c r="S42" s="530">
        <f t="shared" si="48"/>
        <v>24132.7612489946</v>
      </c>
      <c r="T42" s="527"/>
      <c r="U42" s="226"/>
      <c r="V42" s="624"/>
      <c r="W42" s="624"/>
      <c r="X42" s="624"/>
      <c r="Y42" s="624"/>
      <c r="Z42" s="618">
        <f t="shared" si="47"/>
        <v>6.0563394538316606E-2</v>
      </c>
      <c r="AA42" s="618">
        <f t="shared" si="47"/>
        <v>6.360210757171969E-2</v>
      </c>
      <c r="AB42" s="618">
        <f t="shared" si="47"/>
        <v>5.933923038971356E-2</v>
      </c>
      <c r="AC42" s="618">
        <f t="shared" si="47"/>
        <v>5.1687683819961583E-2</v>
      </c>
      <c r="AD42" s="618">
        <f t="shared" si="47"/>
        <v>5.1084802002898444E-2</v>
      </c>
      <c r="AE42" s="618">
        <f t="shared" si="47"/>
        <v>5.166988782058346E-2</v>
      </c>
      <c r="AF42" s="618">
        <f t="shared" si="47"/>
        <v>3.0276158669371833E-2</v>
      </c>
      <c r="AG42" s="618">
        <f t="shared" si="47"/>
        <v>4.1194958623827382E-2</v>
      </c>
      <c r="AH42" s="618">
        <f t="shared" si="47"/>
        <v>4.6150329494659026E-2</v>
      </c>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row>
    <row r="43" spans="1:62">
      <c r="A43" s="203"/>
      <c r="B43" s="366" t="s">
        <v>2894</v>
      </c>
      <c r="C43" s="648"/>
      <c r="D43" s="648"/>
      <c r="E43" s="648"/>
      <c r="F43" s="652">
        <f t="shared" ref="F43" si="49">G43/G41*F41</f>
        <v>2445.5381694656676</v>
      </c>
      <c r="G43" s="652">
        <f t="shared" ref="G43:I43" si="50">H43/H41*G41</f>
        <v>2482.6427289112639</v>
      </c>
      <c r="H43" s="652">
        <f t="shared" si="50"/>
        <v>2506.2281158370674</v>
      </c>
      <c r="I43" s="652">
        <f t="shared" si="50"/>
        <v>2553.481192532648</v>
      </c>
      <c r="J43" s="652">
        <f>K43/K41*J41</f>
        <v>2587.6676079353128</v>
      </c>
      <c r="K43" s="527">
        <f t="shared" ref="K43" si="51">K41-K42</f>
        <v>2633</v>
      </c>
      <c r="L43" s="527">
        <f t="shared" ref="L43" si="52">L41-L42</f>
        <v>2665.6295060598059</v>
      </c>
      <c r="M43" s="527">
        <f t="shared" ref="M43" si="53">M41-M42</f>
        <v>2705.0028013121446</v>
      </c>
      <c r="N43" s="527">
        <f t="shared" ref="N43" si="54">N41-N42</f>
        <v>2721.418153085433</v>
      </c>
      <c r="O43" s="527">
        <f t="shared" ref="O43:Q43" si="55">O41-O42</f>
        <v>2767.5062836736361</v>
      </c>
      <c r="P43" s="527">
        <f t="shared" si="55"/>
        <v>2803.3622836091563</v>
      </c>
      <c r="Q43" s="527">
        <f t="shared" si="55"/>
        <v>2786.8998953257687</v>
      </c>
      <c r="R43" s="527">
        <f t="shared" ref="R43:S43" si="56">R41-R42</f>
        <v>2833.5268612999207</v>
      </c>
      <c r="S43" s="527">
        <f t="shared" si="56"/>
        <v>2895.2276105437122</v>
      </c>
      <c r="T43" s="527"/>
      <c r="U43" s="226"/>
      <c r="V43" s="649"/>
      <c r="W43" s="649"/>
      <c r="X43" s="649"/>
      <c r="Y43" s="649"/>
      <c r="Z43" s="619">
        <f t="shared" si="47"/>
        <v>6.0563394538316606E-2</v>
      </c>
      <c r="AA43" s="619">
        <f t="shared" si="47"/>
        <v>6.3602107571720135E-2</v>
      </c>
      <c r="AB43" s="619">
        <f t="shared" si="47"/>
        <v>5.9339230389714004E-2</v>
      </c>
      <c r="AC43" s="619">
        <f t="shared" si="47"/>
        <v>5.1687683819962915E-2</v>
      </c>
      <c r="AD43" s="619">
        <f t="shared" si="47"/>
        <v>5.108480200290022E-2</v>
      </c>
      <c r="AE43" s="619">
        <f t="shared" si="47"/>
        <v>5.166988782058457E-2</v>
      </c>
      <c r="AF43" s="619">
        <f t="shared" si="47"/>
        <v>3.0276158669372721E-2</v>
      </c>
      <c r="AG43" s="619">
        <f t="shared" si="47"/>
        <v>4.1194958623827604E-2</v>
      </c>
      <c r="AH43" s="619">
        <f t="shared" si="47"/>
        <v>4.6150329494658582E-2</v>
      </c>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row>
    <row r="44" spans="1:62">
      <c r="A44" s="203"/>
      <c r="B44" s="644" t="s">
        <v>2895</v>
      </c>
      <c r="C44" s="653"/>
      <c r="D44" s="653"/>
      <c r="E44" s="653"/>
      <c r="F44" s="646">
        <v>31352.857142857145</v>
      </c>
      <c r="G44" s="646">
        <v>31352.857142857145</v>
      </c>
      <c r="H44" s="646">
        <v>31352.857142857145</v>
      </c>
      <c r="I44" s="646">
        <v>31352.857142857145</v>
      </c>
      <c r="J44" s="646">
        <v>31352.857142857145</v>
      </c>
      <c r="K44" s="646">
        <v>31352.857142857145</v>
      </c>
      <c r="L44" s="646">
        <f>K44</f>
        <v>31352.857142857145</v>
      </c>
      <c r="M44" s="646">
        <f t="shared" ref="M44:S44" si="57">L44</f>
        <v>31352.857142857145</v>
      </c>
      <c r="N44" s="646">
        <f t="shared" si="57"/>
        <v>31352.857142857145</v>
      </c>
      <c r="O44" s="646">
        <f t="shared" si="57"/>
        <v>31352.857142857145</v>
      </c>
      <c r="P44" s="646">
        <f t="shared" si="57"/>
        <v>31352.857142857145</v>
      </c>
      <c r="Q44" s="646">
        <f t="shared" si="57"/>
        <v>31352.857142857145</v>
      </c>
      <c r="R44" s="646">
        <f t="shared" si="57"/>
        <v>31352.857142857145</v>
      </c>
      <c r="S44" s="646">
        <f t="shared" si="57"/>
        <v>31352.857142857145</v>
      </c>
      <c r="T44" s="527"/>
      <c r="U44" s="226"/>
      <c r="V44" s="624"/>
      <c r="W44" s="624"/>
      <c r="X44" s="624"/>
      <c r="Y44" s="624"/>
      <c r="Z44" s="654"/>
      <c r="AA44" s="654"/>
      <c r="AB44" s="654"/>
      <c r="AC44" s="654"/>
      <c r="AD44" s="654"/>
      <c r="AE44" s="654"/>
      <c r="AF44" s="654"/>
      <c r="AG44" s="654"/>
      <c r="AH44" s="654"/>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row>
    <row r="45" spans="1:62">
      <c r="A45" s="203"/>
      <c r="B45" s="439" t="s">
        <v>2896</v>
      </c>
      <c r="C45" s="648"/>
      <c r="D45" s="648"/>
      <c r="E45" s="648"/>
      <c r="F45" s="655">
        <f>F42/F44</f>
        <v>0.65016206556246381</v>
      </c>
      <c r="G45" s="655">
        <f>G42/G44</f>
        <v>0.66002655155255785</v>
      </c>
      <c r="H45" s="655">
        <f t="shared" ref="H45:O45" si="58">H42/H44</f>
        <v>0.66629687849827091</v>
      </c>
      <c r="I45" s="655">
        <f t="shared" si="58"/>
        <v>0.67885941313059395</v>
      </c>
      <c r="J45" s="655">
        <f t="shared" si="58"/>
        <v>0.68794809174125293</v>
      </c>
      <c r="K45" s="655">
        <f t="shared" si="58"/>
        <v>0.7</v>
      </c>
      <c r="L45" s="655">
        <f t="shared" si="58"/>
        <v>0.70867476423921894</v>
      </c>
      <c r="M45" s="655">
        <f t="shared" si="58"/>
        <v>0.719142408248576</v>
      </c>
      <c r="N45" s="655">
        <f t="shared" si="58"/>
        <v>0.72350653519172081</v>
      </c>
      <c r="O45" s="655">
        <f t="shared" si="58"/>
        <v>0.73575936140202891</v>
      </c>
      <c r="P45" s="655">
        <f t="shared" ref="P45:Q45" si="59">P42/P44</f>
        <v>0.74529190980873783</v>
      </c>
      <c r="Q45" s="655">
        <f t="shared" si="59"/>
        <v>0.74091527790658407</v>
      </c>
      <c r="R45" s="655">
        <f t="shared" ref="R45:S45" si="60">R42/R44</f>
        <v>0.75331135697301255</v>
      </c>
      <c r="S45" s="655">
        <f t="shared" si="60"/>
        <v>0.76971489835951246</v>
      </c>
      <c r="T45" s="655"/>
      <c r="U45" s="226"/>
      <c r="V45" s="649"/>
      <c r="W45" s="649"/>
      <c r="X45" s="649"/>
      <c r="Y45" s="649"/>
      <c r="Z45" s="649"/>
      <c r="AA45" s="649"/>
      <c r="AB45" s="649"/>
      <c r="AC45" s="649"/>
      <c r="AD45" s="649"/>
      <c r="AE45" s="649"/>
      <c r="AF45" s="649"/>
      <c r="AG45" s="649"/>
      <c r="AH45" s="649"/>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row>
    <row r="46" spans="1:62">
      <c r="A46" s="203"/>
      <c r="B46" s="656" t="s">
        <v>2889</v>
      </c>
      <c r="C46" s="623"/>
      <c r="D46" s="623"/>
      <c r="E46" s="623"/>
      <c r="F46" s="623"/>
      <c r="G46" s="628">
        <f t="shared" ref="G46:N46" si="61">G45-F45</f>
        <v>9.8644859900940407E-3</v>
      </c>
      <c r="H46" s="628">
        <f t="shared" si="61"/>
        <v>6.2703269457130562E-3</v>
      </c>
      <c r="I46" s="628">
        <f t="shared" si="61"/>
        <v>1.2562534632323041E-2</v>
      </c>
      <c r="J46" s="628">
        <f t="shared" si="61"/>
        <v>9.0886786106589845E-3</v>
      </c>
      <c r="K46" s="628">
        <f t="shared" si="61"/>
        <v>1.2051908258747024E-2</v>
      </c>
      <c r="L46" s="628">
        <f t="shared" si="61"/>
        <v>8.6747642392189794E-3</v>
      </c>
      <c r="M46" s="628">
        <f t="shared" si="61"/>
        <v>1.0467644009357069E-2</v>
      </c>
      <c r="N46" s="628">
        <f t="shared" si="61"/>
        <v>4.3641269431448082E-3</v>
      </c>
      <c r="O46" s="628">
        <f>O45-N45</f>
        <v>1.2252826210308099E-2</v>
      </c>
      <c r="P46" s="628">
        <f>P45-O45</f>
        <v>9.5325484067089183E-3</v>
      </c>
      <c r="Q46" s="628">
        <f>Q45-P45</f>
        <v>-4.3766319021537603E-3</v>
      </c>
      <c r="R46" s="628">
        <f>R45-Q45</f>
        <v>1.2396079066428478E-2</v>
      </c>
      <c r="S46" s="628">
        <f>S45-R45</f>
        <v>1.6403541386499909E-2</v>
      </c>
      <c r="T46" s="657"/>
      <c r="U46" s="226"/>
      <c r="V46" s="624"/>
      <c r="W46" s="624"/>
      <c r="X46" s="624"/>
      <c r="Y46" s="624"/>
      <c r="Z46" s="624"/>
      <c r="AA46" s="624"/>
      <c r="AB46" s="624"/>
      <c r="AC46" s="624"/>
      <c r="AD46" s="624"/>
      <c r="AE46" s="624"/>
      <c r="AF46" s="624"/>
      <c r="AG46" s="624"/>
      <c r="AH46" s="624"/>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row>
    <row r="47" spans="1:62">
      <c r="A47" s="203"/>
      <c r="B47" s="205" t="s">
        <v>2891</v>
      </c>
      <c r="C47" s="226"/>
      <c r="D47" s="226"/>
      <c r="E47" s="226"/>
      <c r="F47" s="226"/>
      <c r="G47" s="226"/>
      <c r="H47" s="527"/>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row>
    <row r="48" spans="1:62">
      <c r="A48" s="203"/>
      <c r="B48" s="521" t="str">
        <f>B22</f>
        <v>Totalplay</v>
      </c>
      <c r="C48" s="628">
        <f>C34/C$39</f>
        <v>8.3750551805038723E-2</v>
      </c>
      <c r="D48" s="628">
        <f t="shared" ref="D48:O48" si="62">D34/D$39</f>
        <v>9.3705019031492559E-2</v>
      </c>
      <c r="E48" s="628">
        <f t="shared" si="62"/>
        <v>0.10335733893461366</v>
      </c>
      <c r="F48" s="628">
        <f t="shared" si="62"/>
        <v>0.11422095484991678</v>
      </c>
      <c r="G48" s="628">
        <f t="shared" si="62"/>
        <v>0.12355731363018266</v>
      </c>
      <c r="H48" s="628">
        <f t="shared" si="62"/>
        <v>0.13255252999289494</v>
      </c>
      <c r="I48" s="628">
        <f t="shared" si="62"/>
        <v>0.14194745537062267</v>
      </c>
      <c r="J48" s="628">
        <f t="shared" si="62"/>
        <v>0.15049180748799015</v>
      </c>
      <c r="K48" s="628">
        <f t="shared" si="62"/>
        <v>0.15909743835645695</v>
      </c>
      <c r="L48" s="628">
        <f t="shared" si="62"/>
        <v>0.16693211644186878</v>
      </c>
      <c r="M48" s="628">
        <f t="shared" si="62"/>
        <v>0.17323353365549243</v>
      </c>
      <c r="N48" s="628">
        <f t="shared" si="62"/>
        <v>0.17575684678470521</v>
      </c>
      <c r="O48" s="628">
        <f t="shared" si="62"/>
        <v>0.17668504978304247</v>
      </c>
      <c r="P48" s="628">
        <f t="shared" ref="P48:Q48" si="63">P34/P$39</f>
        <v>0.17857346824344164</v>
      </c>
      <c r="Q48" s="628">
        <f t="shared" si="63"/>
        <v>0.18355441372148634</v>
      </c>
      <c r="R48" s="628">
        <f t="shared" ref="R48:S48" si="64">R34/R$39</f>
        <v>0.18618525655093351</v>
      </c>
      <c r="S48" s="628">
        <f t="shared" si="64"/>
        <v>0.18670874782208638</v>
      </c>
      <c r="T48" s="657"/>
      <c r="U48" s="226"/>
      <c r="V48" s="617"/>
      <c r="W48" s="617"/>
      <c r="X48" s="617"/>
      <c r="Y48" s="617"/>
      <c r="Z48" s="617"/>
      <c r="AA48" s="617"/>
      <c r="AB48" s="617"/>
      <c r="AC48" s="617"/>
      <c r="AD48" s="617"/>
      <c r="AE48" s="617"/>
      <c r="AF48" s="617"/>
      <c r="AG48" s="617"/>
      <c r="AH48" s="617"/>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row>
    <row r="49" spans="1:62">
      <c r="A49" s="203"/>
      <c r="B49" s="203" t="str">
        <f>B23</f>
        <v>MEGA (Cable)</v>
      </c>
      <c r="C49" s="657">
        <f t="shared" ref="C49:O49" si="65">C35/C$39</f>
        <v>0.16231113194751637</v>
      </c>
      <c r="D49" s="657">
        <f t="shared" si="65"/>
        <v>0.16117212085970339</v>
      </c>
      <c r="E49" s="657">
        <f t="shared" si="65"/>
        <v>0.16374080665247162</v>
      </c>
      <c r="F49" s="657">
        <f t="shared" si="65"/>
        <v>0.16405587525064619</v>
      </c>
      <c r="G49" s="657">
        <f t="shared" si="65"/>
        <v>0.16457834175540328</v>
      </c>
      <c r="H49" s="657">
        <f t="shared" si="65"/>
        <v>0.16508650534690386</v>
      </c>
      <c r="I49" s="657">
        <f t="shared" si="65"/>
        <v>0.16605869969759174</v>
      </c>
      <c r="J49" s="657">
        <f t="shared" si="65"/>
        <v>0.16685063252907836</v>
      </c>
      <c r="K49" s="657">
        <f t="shared" si="65"/>
        <v>0.1659736279369986</v>
      </c>
      <c r="L49" s="657">
        <f t="shared" si="65"/>
        <v>0.1642650232082245</v>
      </c>
      <c r="M49" s="657">
        <f t="shared" si="65"/>
        <v>0.16556538161132023</v>
      </c>
      <c r="N49" s="657">
        <f t="shared" si="65"/>
        <v>0.16928706378877101</v>
      </c>
      <c r="O49" s="657">
        <f t="shared" si="65"/>
        <v>0.17194832664205231</v>
      </c>
      <c r="P49" s="657">
        <f t="shared" ref="P49:Q49" si="66">P35/P$39</f>
        <v>0.17581740695788389</v>
      </c>
      <c r="Q49" s="657">
        <f t="shared" si="66"/>
        <v>0.18123632471982548</v>
      </c>
      <c r="R49" s="657">
        <f t="shared" ref="R49:S49" si="67">R35/R$39</f>
        <v>0.18394713756823042</v>
      </c>
      <c r="S49" s="657">
        <f t="shared" si="67"/>
        <v>0.18539924123342447</v>
      </c>
      <c r="T49" s="657"/>
      <c r="U49" s="226"/>
      <c r="V49" s="226"/>
      <c r="W49" s="226"/>
      <c r="X49" s="226"/>
      <c r="Y49" s="226"/>
      <c r="Z49" s="226"/>
      <c r="AA49" s="226"/>
      <c r="AB49" s="226"/>
      <c r="AC49" s="226"/>
      <c r="AD49" s="226"/>
      <c r="AE49" s="226"/>
      <c r="AF49" s="226"/>
      <c r="AG49" s="226"/>
      <c r="AH49" s="226"/>
      <c r="AI49" s="203"/>
      <c r="AJ49" s="203"/>
      <c r="AK49" s="203"/>
      <c r="AL49" s="203"/>
      <c r="AM49" s="226" t="s">
        <v>2586</v>
      </c>
      <c r="AN49" s="226" t="s">
        <v>2644</v>
      </c>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row>
    <row r="50" spans="1:62">
      <c r="A50" s="203"/>
      <c r="B50" s="521" t="str">
        <f>B24</f>
        <v>TV (Retail)</v>
      </c>
      <c r="C50" s="628">
        <f t="shared" ref="C50:O50" si="68">C36/C$39</f>
        <v>0.24849270402763887</v>
      </c>
      <c r="D50" s="628">
        <f t="shared" si="68"/>
        <v>0.25298243656339769</v>
      </c>
      <c r="E50" s="628">
        <f t="shared" si="68"/>
        <v>0.25434058857088454</v>
      </c>
      <c r="F50" s="628">
        <f t="shared" si="68"/>
        <v>0.25385656637958559</v>
      </c>
      <c r="G50" s="628">
        <f t="shared" si="68"/>
        <v>0.25376242335549576</v>
      </c>
      <c r="H50" s="628">
        <f t="shared" si="68"/>
        <v>0.25189053668161598</v>
      </c>
      <c r="I50" s="628">
        <f t="shared" si="68"/>
        <v>0.2473903438208078</v>
      </c>
      <c r="J50" s="628">
        <f t="shared" si="68"/>
        <v>0.24584834316484097</v>
      </c>
      <c r="K50" s="628">
        <f t="shared" si="68"/>
        <v>0.24435976773649745</v>
      </c>
      <c r="L50" s="628">
        <f t="shared" si="68"/>
        <v>0.24391528027150819</v>
      </c>
      <c r="M50" s="628">
        <f t="shared" si="68"/>
        <v>0.24365009780124194</v>
      </c>
      <c r="N50" s="628">
        <f t="shared" si="68"/>
        <v>0.24481586851947768</v>
      </c>
      <c r="O50" s="628">
        <f t="shared" si="68"/>
        <v>0.24352169998624065</v>
      </c>
      <c r="P50" s="628">
        <f t="shared" ref="P50:Q50" si="69">P36/P$39</f>
        <v>0.23836355259631503</v>
      </c>
      <c r="Q50" s="628">
        <f t="shared" si="69"/>
        <v>0.22538751258363954</v>
      </c>
      <c r="R50" s="628">
        <f t="shared" ref="R50:S50" si="70">R36/R$39</f>
        <v>0.22122622568356851</v>
      </c>
      <c r="S50" s="628">
        <f t="shared" si="70"/>
        <v>0.2164501999795915</v>
      </c>
      <c r="T50" s="657"/>
      <c r="U50" s="226"/>
      <c r="V50" s="617"/>
      <c r="W50" s="617"/>
      <c r="X50" s="617"/>
      <c r="Y50" s="617"/>
      <c r="Z50" s="617"/>
      <c r="AA50" s="617"/>
      <c r="AB50" s="617"/>
      <c r="AC50" s="617"/>
      <c r="AD50" s="617"/>
      <c r="AE50" s="617"/>
      <c r="AF50" s="617"/>
      <c r="AG50" s="617"/>
      <c r="AH50" s="617"/>
      <c r="AI50" s="203"/>
      <c r="AJ50" s="203"/>
      <c r="AK50" s="203"/>
      <c r="AL50" s="203" t="str">
        <f>B22</f>
        <v>Totalplay</v>
      </c>
      <c r="AM50" s="392">
        <f>I22</f>
        <v>13400</v>
      </c>
      <c r="AN50" s="392">
        <f>I34</f>
        <v>3208</v>
      </c>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row>
    <row r="51" spans="1:62">
      <c r="A51" s="203"/>
      <c r="B51" s="358" t="str">
        <f>B25</f>
        <v>Telmex copper/VDSL/FTTH</v>
      </c>
      <c r="C51" s="658">
        <f t="shared" ref="C51:O51" si="71">C37/C$39</f>
        <v>0.505445612219806</v>
      </c>
      <c r="D51" s="658">
        <f t="shared" si="71"/>
        <v>0.49214042354540632</v>
      </c>
      <c r="E51" s="658">
        <f t="shared" si="71"/>
        <v>0.47856126584203018</v>
      </c>
      <c r="F51" s="658">
        <f t="shared" si="71"/>
        <v>0.46786660351985143</v>
      </c>
      <c r="G51" s="658">
        <f t="shared" si="71"/>
        <v>0.45810192125891841</v>
      </c>
      <c r="H51" s="658">
        <f t="shared" si="71"/>
        <v>0.45047042797858522</v>
      </c>
      <c r="I51" s="658">
        <f t="shared" si="71"/>
        <v>0.44460350111097779</v>
      </c>
      <c r="J51" s="658">
        <f t="shared" si="71"/>
        <v>0.43680921681809054</v>
      </c>
      <c r="K51" s="658">
        <f t="shared" si="71"/>
        <v>0.43056916597004696</v>
      </c>
      <c r="L51" s="658">
        <f t="shared" si="71"/>
        <v>0.42488758007839844</v>
      </c>
      <c r="M51" s="658">
        <f t="shared" si="71"/>
        <v>0.41755098693194542</v>
      </c>
      <c r="N51" s="658">
        <f t="shared" si="71"/>
        <v>0.41014022090704605</v>
      </c>
      <c r="O51" s="658">
        <f t="shared" si="71"/>
        <v>0.40784492358866453</v>
      </c>
      <c r="P51" s="658">
        <f t="shared" ref="P51:Q51" si="72">P37/P$39</f>
        <v>0.40724557220235952</v>
      </c>
      <c r="Q51" s="658">
        <f t="shared" si="72"/>
        <v>0.40982174897504869</v>
      </c>
      <c r="R51" s="658">
        <f t="shared" ref="R51:S51" si="73">R37/R$39</f>
        <v>0.40864138019726753</v>
      </c>
      <c r="S51" s="658">
        <f t="shared" si="73"/>
        <v>0.41144181096489763</v>
      </c>
      <c r="T51" s="657"/>
      <c r="U51" s="226"/>
      <c r="V51" s="226"/>
      <c r="W51" s="226"/>
      <c r="X51" s="226"/>
      <c r="Y51" s="226"/>
      <c r="Z51" s="226"/>
      <c r="AA51" s="226"/>
      <c r="AB51" s="226"/>
      <c r="AC51" s="226"/>
      <c r="AD51" s="226"/>
      <c r="AE51" s="226"/>
      <c r="AF51" s="226"/>
      <c r="AG51" s="226"/>
      <c r="AH51" s="226"/>
      <c r="AI51" s="203"/>
      <c r="AJ51" s="203"/>
      <c r="AK51" s="203"/>
      <c r="AL51" s="203" t="str">
        <f>B23</f>
        <v>MEGA (Cable)</v>
      </c>
      <c r="AM51" s="392">
        <f>I23</f>
        <v>9292.1260000000002</v>
      </c>
      <c r="AN51" s="392">
        <f>I35</f>
        <v>3752.9119999999998</v>
      </c>
      <c r="AO51" s="203"/>
      <c r="AP51" s="203"/>
      <c r="AQ51" s="203"/>
      <c r="AR51" s="392">
        <f>Q24</f>
        <v>19500</v>
      </c>
      <c r="AS51" s="392">
        <f>4500+2000</f>
        <v>6500</v>
      </c>
      <c r="AT51" s="392">
        <f>Q23</f>
        <v>14552.598</v>
      </c>
      <c r="AU51" s="203"/>
      <c r="AV51" s="203"/>
      <c r="AW51" s="203"/>
      <c r="AX51" s="203"/>
      <c r="AY51" s="203"/>
      <c r="AZ51" s="203"/>
      <c r="BA51" s="203"/>
      <c r="BB51" s="203"/>
      <c r="BC51" s="203"/>
      <c r="BD51" s="203"/>
      <c r="BE51" s="203"/>
      <c r="BF51" s="203"/>
      <c r="BG51" s="203"/>
      <c r="BH51" s="203"/>
      <c r="BI51" s="203"/>
      <c r="BJ51" s="203"/>
    </row>
    <row r="52" spans="1:62">
      <c r="A52" s="203"/>
      <c r="B52" s="622" t="s">
        <v>551</v>
      </c>
      <c r="C52" s="632">
        <f>C39/C$39</f>
        <v>1</v>
      </c>
      <c r="D52" s="632">
        <f t="shared" ref="D52:O52" si="74">D39/D$39</f>
        <v>1</v>
      </c>
      <c r="E52" s="632">
        <f t="shared" si="74"/>
        <v>1</v>
      </c>
      <c r="F52" s="632">
        <f t="shared" si="74"/>
        <v>1</v>
      </c>
      <c r="G52" s="632">
        <f t="shared" si="74"/>
        <v>1</v>
      </c>
      <c r="H52" s="632">
        <f t="shared" si="74"/>
        <v>1</v>
      </c>
      <c r="I52" s="632">
        <f t="shared" si="74"/>
        <v>1</v>
      </c>
      <c r="J52" s="632">
        <f t="shared" si="74"/>
        <v>1</v>
      </c>
      <c r="K52" s="632">
        <f t="shared" si="74"/>
        <v>1</v>
      </c>
      <c r="L52" s="632">
        <f t="shared" si="74"/>
        <v>1</v>
      </c>
      <c r="M52" s="632">
        <f t="shared" si="74"/>
        <v>1</v>
      </c>
      <c r="N52" s="632">
        <f t="shared" si="74"/>
        <v>1</v>
      </c>
      <c r="O52" s="632">
        <f t="shared" si="74"/>
        <v>1</v>
      </c>
      <c r="P52" s="632">
        <f t="shared" ref="P52:Q52" si="75">P39/P$39</f>
        <v>1</v>
      </c>
      <c r="Q52" s="632">
        <f t="shared" si="75"/>
        <v>1</v>
      </c>
      <c r="R52" s="632">
        <f t="shared" ref="R52:S52" si="76">R39/R$39</f>
        <v>1</v>
      </c>
      <c r="S52" s="632">
        <f t="shared" si="76"/>
        <v>1</v>
      </c>
      <c r="T52" s="655"/>
      <c r="U52" s="226"/>
      <c r="V52" s="617"/>
      <c r="W52" s="617"/>
      <c r="X52" s="617"/>
      <c r="Y52" s="617"/>
      <c r="Z52" s="617"/>
      <c r="AA52" s="617"/>
      <c r="AB52" s="617"/>
      <c r="AC52" s="617"/>
      <c r="AD52" s="617"/>
      <c r="AE52" s="617"/>
      <c r="AF52" s="617"/>
      <c r="AG52" s="617"/>
      <c r="AH52" s="617"/>
      <c r="AI52" s="203"/>
      <c r="AJ52" s="203"/>
      <c r="AK52" s="203"/>
      <c r="AL52" s="203" t="str">
        <f>B24</f>
        <v>TV (Retail)</v>
      </c>
      <c r="AM52" s="392">
        <f>I24</f>
        <v>17300</v>
      </c>
      <c r="AN52" s="392">
        <f>I36</f>
        <v>5591</v>
      </c>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row>
    <row r="53" spans="1:62">
      <c r="A53" s="203"/>
      <c r="B53" s="203"/>
      <c r="C53" s="226"/>
      <c r="D53" s="226"/>
      <c r="E53" s="226"/>
      <c r="F53" s="226"/>
      <c r="G53" s="226"/>
      <c r="H53" s="527"/>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03"/>
      <c r="AJ53" s="203"/>
      <c r="AK53" s="203"/>
      <c r="AL53" s="203" t="s">
        <v>2643</v>
      </c>
      <c r="AM53" s="392">
        <f>I25</f>
        <v>0</v>
      </c>
      <c r="AN53" s="392">
        <f>I38</f>
        <v>0</v>
      </c>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row>
    <row r="54" spans="1:62">
      <c r="A54" s="203"/>
      <c r="B54" s="622" t="s">
        <v>2692</v>
      </c>
      <c r="C54" s="617"/>
      <c r="D54" s="617"/>
      <c r="E54" s="617"/>
      <c r="F54" s="617"/>
      <c r="G54" s="617"/>
      <c r="H54" s="530"/>
      <c r="I54" s="617"/>
      <c r="J54" s="617"/>
      <c r="K54" s="617"/>
      <c r="L54" s="617"/>
      <c r="M54" s="617"/>
      <c r="N54" s="617"/>
      <c r="O54" s="617"/>
      <c r="P54" s="617"/>
      <c r="Q54" s="617"/>
      <c r="R54" s="617"/>
      <c r="S54" s="617"/>
      <c r="T54" s="226"/>
      <c r="U54" s="226"/>
      <c r="V54" s="617"/>
      <c r="W54" s="617"/>
      <c r="X54" s="617"/>
      <c r="Y54" s="617"/>
      <c r="Z54" s="617"/>
      <c r="AA54" s="617"/>
      <c r="AB54" s="617"/>
      <c r="AC54" s="617"/>
      <c r="AD54" s="617"/>
      <c r="AE54" s="617"/>
      <c r="AF54" s="617"/>
      <c r="AG54" s="617"/>
      <c r="AH54" s="617"/>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row>
    <row r="55" spans="1:62">
      <c r="A55" s="203"/>
      <c r="B55" s="203" t="str">
        <f>B34</f>
        <v>Totalplay</v>
      </c>
      <c r="C55" s="226"/>
      <c r="D55" s="527">
        <f t="shared" ref="D55" si="77">D34-C34</f>
        <v>254.07012666048809</v>
      </c>
      <c r="E55" s="527">
        <f t="shared" ref="E55:F55" si="78">E34-D34</f>
        <v>277.43589743589746</v>
      </c>
      <c r="F55" s="527">
        <f t="shared" si="78"/>
        <v>289</v>
      </c>
      <c r="G55" s="527">
        <f t="shared" ref="G55:H55" si="79">G34-F34</f>
        <v>251</v>
      </c>
      <c r="H55" s="527">
        <f t="shared" si="79"/>
        <v>234</v>
      </c>
      <c r="I55" s="527">
        <f t="shared" ref="I55" si="80">I34-H34</f>
        <v>279</v>
      </c>
      <c r="J55" s="527">
        <f t="shared" ref="J55" si="81">J34-I34</f>
        <v>250</v>
      </c>
      <c r="K55" s="527">
        <f t="shared" ref="K55:N55" si="82">K34-J34</f>
        <v>274</v>
      </c>
      <c r="L55" s="527">
        <f t="shared" si="82"/>
        <v>244</v>
      </c>
      <c r="M55" s="527">
        <f t="shared" si="82"/>
        <v>223</v>
      </c>
      <c r="N55" s="527">
        <f t="shared" si="82"/>
        <v>97</v>
      </c>
      <c r="O55" s="527">
        <f>O34-N34</f>
        <v>107.21000000000004</v>
      </c>
      <c r="P55" s="527">
        <f t="shared" ref="P55:S57" si="83">P34-O34</f>
        <v>115</v>
      </c>
      <c r="Q55" s="527">
        <f t="shared" si="83"/>
        <v>105.78999999999996</v>
      </c>
      <c r="R55" s="527">
        <f t="shared" si="83"/>
        <v>155</v>
      </c>
      <c r="S55" s="527">
        <f t="shared" si="83"/>
        <v>128.30000000000018</v>
      </c>
      <c r="T55" s="527"/>
      <c r="U55" s="226"/>
      <c r="V55" s="226"/>
      <c r="W55" s="226"/>
      <c r="X55" s="226"/>
      <c r="Y55" s="226"/>
      <c r="Z55" s="226"/>
      <c r="AA55" s="226"/>
      <c r="AB55" s="226"/>
      <c r="AC55" s="226"/>
      <c r="AD55" s="226"/>
      <c r="AE55" s="226"/>
      <c r="AF55" s="226"/>
      <c r="AG55" s="226"/>
      <c r="AH55" s="226"/>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row>
    <row r="56" spans="1:62">
      <c r="A56" s="203"/>
      <c r="B56" s="521" t="str">
        <f>B35</f>
        <v>MEGA (Cable)</v>
      </c>
      <c r="C56" s="617"/>
      <c r="D56" s="530">
        <f t="shared" ref="D56" si="84">D35-C35</f>
        <v>83.019000000000233</v>
      </c>
      <c r="E56" s="530">
        <f t="shared" ref="E56:F56" si="85">E35-D35</f>
        <v>184.5949999999998</v>
      </c>
      <c r="F56" s="530">
        <f t="shared" si="85"/>
        <v>96.329000000000178</v>
      </c>
      <c r="G56" s="530">
        <f t="shared" ref="G56:H56" si="86">G35-F35</f>
        <v>79.415999999999713</v>
      </c>
      <c r="H56" s="530">
        <f t="shared" si="86"/>
        <v>58.160000000000309</v>
      </c>
      <c r="I56" s="530">
        <f t="shared" ref="I56" si="87">I35-H35</f>
        <v>105.01199999999972</v>
      </c>
      <c r="J56" s="530">
        <f t="shared" ref="J56" si="88">J35-I35</f>
        <v>80.981000000000222</v>
      </c>
      <c r="K56" s="530">
        <f>K35-J35</f>
        <v>59.403999999999996</v>
      </c>
      <c r="L56" s="530">
        <f t="shared" ref="L56:O56" si="89">L35-K35</f>
        <v>19.177999999999884</v>
      </c>
      <c r="M56" s="530">
        <f t="shared" si="89"/>
        <v>100.65700000000015</v>
      </c>
      <c r="N56" s="530">
        <f t="shared" si="89"/>
        <v>124.72799999999961</v>
      </c>
      <c r="O56" s="530">
        <f t="shared" si="89"/>
        <v>147.30500000000029</v>
      </c>
      <c r="P56" s="530">
        <f t="shared" si="83"/>
        <v>163.3119999999999</v>
      </c>
      <c r="Q56" s="530">
        <f t="shared" si="83"/>
        <v>117.12700000000041</v>
      </c>
      <c r="R56" s="530">
        <f t="shared" si="83"/>
        <v>155.94799999999941</v>
      </c>
      <c r="S56" s="530">
        <f t="shared" si="83"/>
        <v>151.32999999999993</v>
      </c>
      <c r="T56" s="527"/>
      <c r="U56" s="226"/>
      <c r="V56" s="617"/>
      <c r="W56" s="617"/>
      <c r="X56" s="617"/>
      <c r="Y56" s="617"/>
      <c r="Z56" s="617"/>
      <c r="AA56" s="617"/>
      <c r="AB56" s="617"/>
      <c r="AC56" s="617"/>
      <c r="AD56" s="617"/>
      <c r="AE56" s="617"/>
      <c r="AF56" s="617"/>
      <c r="AG56" s="617"/>
      <c r="AH56" s="617"/>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row>
    <row r="57" spans="1:62">
      <c r="A57" s="203"/>
      <c r="B57" s="203" t="str">
        <f>B36</f>
        <v>TV (Retail)</v>
      </c>
      <c r="C57" s="226"/>
      <c r="D57" s="527">
        <f t="shared" ref="D57" si="90">D36-C36</f>
        <v>252</v>
      </c>
      <c r="E57" s="527">
        <f t="shared" ref="E57:F57" si="91">E36-D36</f>
        <v>234</v>
      </c>
      <c r="F57" s="527">
        <f t="shared" si="91"/>
        <v>128.80057500770636</v>
      </c>
      <c r="G57" s="527">
        <f t="shared" ref="G57:H57" si="92">G36-F36</f>
        <v>103.19942499229364</v>
      </c>
      <c r="H57" s="527">
        <f t="shared" si="92"/>
        <v>31</v>
      </c>
      <c r="I57" s="527">
        <f t="shared" ref="I57" si="93">I36-H36</f>
        <v>25</v>
      </c>
      <c r="J57" s="527">
        <f t="shared" ref="J57" si="94">J36-I36</f>
        <v>58.101999999999862</v>
      </c>
      <c r="K57" s="527">
        <f>K36-J36</f>
        <v>82.923999999999978</v>
      </c>
      <c r="L57" s="527">
        <f t="shared" ref="L57:O57" si="95">L36-K36</f>
        <v>77.564000000000306</v>
      </c>
      <c r="M57" s="527">
        <f t="shared" si="95"/>
        <v>96.233999999999469</v>
      </c>
      <c r="N57" s="527">
        <f t="shared" si="95"/>
        <v>78.176000000000386</v>
      </c>
      <c r="O57" s="527">
        <f t="shared" si="95"/>
        <v>84.86200000000008</v>
      </c>
      <c r="P57" s="527">
        <f t="shared" si="83"/>
        <v>-37.86200000000008</v>
      </c>
      <c r="Q57" s="527">
        <f t="shared" si="83"/>
        <v>-353.16399999999976</v>
      </c>
      <c r="R57" s="527">
        <f t="shared" si="83"/>
        <v>0.59499999999934516</v>
      </c>
      <c r="S57" s="527">
        <f t="shared" si="83"/>
        <v>10.569000000000415</v>
      </c>
      <c r="T57" s="527"/>
      <c r="U57" s="226"/>
      <c r="V57" s="226"/>
      <c r="W57" s="226"/>
      <c r="X57" s="226"/>
      <c r="Y57" s="226"/>
      <c r="Z57" s="226"/>
      <c r="AA57" s="226"/>
      <c r="AB57" s="226"/>
      <c r="AC57" s="226"/>
      <c r="AD57" s="226"/>
      <c r="AE57" s="226"/>
      <c r="AF57" s="226"/>
      <c r="AG57" s="226"/>
      <c r="AH57" s="226"/>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row>
    <row r="58" spans="1:62">
      <c r="A58" s="203"/>
      <c r="B58" s="524" t="s">
        <v>605</v>
      </c>
      <c r="C58" s="645"/>
      <c r="D58" s="646">
        <f t="shared" ref="D58" si="96">D37-C37</f>
        <v>63</v>
      </c>
      <c r="E58" s="646">
        <f t="shared" ref="E58:F58" si="97">E37-D37</f>
        <v>117</v>
      </c>
      <c r="F58" s="646">
        <f t="shared" si="97"/>
        <v>33</v>
      </c>
      <c r="G58" s="646">
        <f t="shared" ref="G58:H58" si="98">G37-F37</f>
        <v>-19</v>
      </c>
      <c r="H58" s="646">
        <f t="shared" si="98"/>
        <v>-38</v>
      </c>
      <c r="I58" s="646">
        <f t="shared" ref="I58" si="99">I37-H37</f>
        <v>94</v>
      </c>
      <c r="J58" s="646">
        <f t="shared" ref="J58" si="100">J37-I37</f>
        <v>-11</v>
      </c>
      <c r="K58" s="646">
        <f>K37-J37</f>
        <v>63</v>
      </c>
      <c r="L58" s="646">
        <f t="shared" ref="L58:S58" si="101">L37-K37</f>
        <v>20</v>
      </c>
      <c r="M58" s="646">
        <f t="shared" si="101"/>
        <v>1</v>
      </c>
      <c r="N58" s="646">
        <f t="shared" si="101"/>
        <v>-96</v>
      </c>
      <c r="O58" s="646">
        <f t="shared" si="101"/>
        <v>139</v>
      </c>
      <c r="P58" s="646">
        <f t="shared" si="101"/>
        <v>140</v>
      </c>
      <c r="Q58" s="646">
        <f t="shared" si="101"/>
        <v>20</v>
      </c>
      <c r="R58" s="646">
        <f t="shared" si="101"/>
        <v>165</v>
      </c>
      <c r="S58" s="646">
        <f t="shared" si="101"/>
        <v>325</v>
      </c>
      <c r="T58" s="527"/>
      <c r="U58" s="226"/>
      <c r="V58" s="617"/>
      <c r="W58" s="617"/>
      <c r="X58" s="617"/>
      <c r="Y58" s="617"/>
      <c r="Z58" s="617"/>
      <c r="AA58" s="617"/>
      <c r="AB58" s="617"/>
      <c r="AC58" s="617"/>
      <c r="AD58" s="617"/>
      <c r="AE58" s="617"/>
      <c r="AF58" s="617"/>
      <c r="AG58" s="617"/>
      <c r="AH58" s="617"/>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row>
    <row r="59" spans="1:62">
      <c r="A59" s="203"/>
      <c r="B59" s="205" t="s">
        <v>551</v>
      </c>
      <c r="C59" s="616"/>
      <c r="D59" s="648">
        <f t="shared" ref="D59" si="102">D39-C39</f>
        <v>652.08912666048855</v>
      </c>
      <c r="E59" s="648">
        <f t="shared" ref="E59:F59" si="103">E39-D39</f>
        <v>813.03089743589589</v>
      </c>
      <c r="F59" s="648">
        <f t="shared" si="103"/>
        <v>547.1295750077079</v>
      </c>
      <c r="G59" s="648">
        <f t="shared" ref="G59:H59" si="104">G39-F39</f>
        <v>414.61542499229108</v>
      </c>
      <c r="H59" s="648">
        <f t="shared" si="104"/>
        <v>285.16000000000349</v>
      </c>
      <c r="I59" s="648">
        <f t="shared" ref="I59" si="105">I39-H39</f>
        <v>503.01199999999881</v>
      </c>
      <c r="J59" s="648">
        <f t="shared" ref="J59" si="106">J39-I39</f>
        <v>378.08299999999872</v>
      </c>
      <c r="K59" s="648">
        <f t="shared" ref="K59:N59" si="107">K39-J39</f>
        <v>479.32800000000134</v>
      </c>
      <c r="L59" s="648">
        <f t="shared" si="107"/>
        <v>360.74200000000201</v>
      </c>
      <c r="M59" s="648">
        <f t="shared" si="107"/>
        <v>420.89099999999598</v>
      </c>
      <c r="N59" s="648">
        <f t="shared" si="107"/>
        <v>203.90400000000227</v>
      </c>
      <c r="O59" s="648">
        <f>O39-N39</f>
        <v>478.37700000000041</v>
      </c>
      <c r="P59" s="648">
        <f>P39-O39</f>
        <v>380.44999999999709</v>
      </c>
      <c r="Q59" s="648">
        <f>Q39-P39</f>
        <v>-110.24699999999939</v>
      </c>
      <c r="R59" s="648">
        <f>R39-Q39</f>
        <v>476.54300000000148</v>
      </c>
      <c r="S59" s="648">
        <f>S39-R39</f>
        <v>615.19900000000052</v>
      </c>
      <c r="T59" s="648"/>
      <c r="U59" s="226"/>
      <c r="V59" s="226"/>
      <c r="W59" s="226"/>
      <c r="X59" s="226"/>
      <c r="Y59" s="226"/>
      <c r="Z59" s="226"/>
      <c r="AA59" s="226"/>
      <c r="AB59" s="226"/>
      <c r="AC59" s="226"/>
      <c r="AD59" s="226"/>
      <c r="AE59" s="226"/>
      <c r="AF59" s="226"/>
      <c r="AG59" s="226"/>
      <c r="AH59" s="226"/>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row>
    <row r="60" spans="1:62">
      <c r="A60" s="203"/>
      <c r="B60" s="521"/>
      <c r="C60" s="617"/>
      <c r="D60" s="617"/>
      <c r="E60" s="617"/>
      <c r="F60" s="617"/>
      <c r="G60" s="617"/>
      <c r="H60" s="530"/>
      <c r="I60" s="617"/>
      <c r="J60" s="617"/>
      <c r="K60" s="617"/>
      <c r="L60" s="617"/>
      <c r="M60" s="617"/>
      <c r="N60" s="617"/>
      <c r="O60" s="617"/>
      <c r="P60" s="617"/>
      <c r="Q60" s="617"/>
      <c r="R60" s="617"/>
      <c r="S60" s="617"/>
      <c r="T60" s="226"/>
      <c r="U60" s="226"/>
      <c r="V60" s="617"/>
      <c r="W60" s="617"/>
      <c r="X60" s="617"/>
      <c r="Y60" s="617"/>
      <c r="Z60" s="617"/>
      <c r="AA60" s="617"/>
      <c r="AB60" s="617"/>
      <c r="AC60" s="617"/>
      <c r="AD60" s="617"/>
      <c r="AE60" s="617"/>
      <c r="AF60" s="617"/>
      <c r="AG60" s="617"/>
      <c r="AH60" s="617"/>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row>
    <row r="61" spans="1:62">
      <c r="A61" s="203"/>
      <c r="B61" s="203" t="s">
        <v>2688</v>
      </c>
      <c r="C61" s="225"/>
      <c r="D61" s="225"/>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row>
    <row r="62" spans="1:62">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row>
    <row r="63" spans="1:62">
      <c r="A63" s="203"/>
      <c r="B63" s="203" t="s">
        <v>3193</v>
      </c>
      <c r="C63" s="527">
        <v>4402</v>
      </c>
      <c r="D63" s="527">
        <v>4476</v>
      </c>
      <c r="E63" s="527">
        <v>5003</v>
      </c>
      <c r="F63" s="527">
        <v>5675</v>
      </c>
      <c r="G63" s="527">
        <v>6356</v>
      </c>
      <c r="H63" s="527">
        <v>6830</v>
      </c>
      <c r="I63" s="527">
        <v>7270</v>
      </c>
      <c r="J63" s="527">
        <v>7624</v>
      </c>
      <c r="K63" s="527">
        <v>8416</v>
      </c>
      <c r="L63" s="527">
        <v>8897</v>
      </c>
      <c r="M63" s="527">
        <v>9303</v>
      </c>
      <c r="N63" s="527">
        <v>9736</v>
      </c>
      <c r="O63" s="527">
        <v>9826</v>
      </c>
      <c r="P63" s="527">
        <v>9867</v>
      </c>
      <c r="Q63" s="527">
        <v>10136</v>
      </c>
      <c r="R63" s="527">
        <v>10674</v>
      </c>
      <c r="S63" s="527">
        <v>11087</v>
      </c>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row>
    <row r="64" spans="1:62">
      <c r="A64" s="203"/>
      <c r="B64" s="203" t="s">
        <v>3194</v>
      </c>
      <c r="C64" s="527">
        <v>2861.3</v>
      </c>
      <c r="D64" s="527">
        <v>3267.4398499999998</v>
      </c>
      <c r="E64" s="527">
        <v>3703.1065200000003</v>
      </c>
      <c r="F64" s="527">
        <v>4280</v>
      </c>
      <c r="G64" s="527">
        <v>4789</v>
      </c>
      <c r="H64" s="527">
        <v>5258</v>
      </c>
      <c r="I64" s="527">
        <v>5610</v>
      </c>
      <c r="J64" s="527">
        <v>6105</v>
      </c>
      <c r="K64" s="527">
        <v>6900</v>
      </c>
      <c r="L64" s="527">
        <v>7354</v>
      </c>
      <c r="M64" s="527">
        <v>7890</v>
      </c>
      <c r="N64" s="527">
        <v>8398</v>
      </c>
      <c r="O64" s="527">
        <v>8200</v>
      </c>
      <c r="P64" s="527">
        <v>8521</v>
      </c>
      <c r="Q64" s="527">
        <v>8847</v>
      </c>
      <c r="R64" s="527">
        <v>8945</v>
      </c>
      <c r="S64" s="527">
        <v>9020</v>
      </c>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row>
    <row r="65" spans="1:61">
      <c r="A65" s="203"/>
      <c r="B65" s="203" t="s">
        <v>3195</v>
      </c>
      <c r="C65" s="527">
        <v>1643</v>
      </c>
      <c r="D65" s="527">
        <f>3141-C65</f>
        <v>1498</v>
      </c>
      <c r="E65" s="527">
        <v>1779</v>
      </c>
      <c r="F65" s="527">
        <v>2469</v>
      </c>
      <c r="G65" s="527">
        <v>2676</v>
      </c>
      <c r="H65" s="527">
        <f>5633-G65</f>
        <v>2957</v>
      </c>
      <c r="I65" s="527">
        <v>3056</v>
      </c>
      <c r="J65" s="527">
        <v>3345</v>
      </c>
      <c r="K65" s="527">
        <v>3728</v>
      </c>
      <c r="L65" s="527">
        <v>3805</v>
      </c>
      <c r="M65" s="527">
        <v>4055</v>
      </c>
      <c r="N65" s="527">
        <v>4379</v>
      </c>
      <c r="O65" s="527">
        <v>4434</v>
      </c>
      <c r="P65" s="527">
        <v>4377</v>
      </c>
      <c r="Q65" s="527">
        <v>4814</v>
      </c>
      <c r="R65" s="527">
        <v>4736</v>
      </c>
      <c r="S65" s="527">
        <v>4988</v>
      </c>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row>
    <row r="66" spans="1:6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row>
    <row r="67" spans="1:61">
      <c r="A67" s="203"/>
      <c r="B67" s="203" t="s">
        <v>2900</v>
      </c>
      <c r="C67" s="203"/>
      <c r="D67" s="203"/>
      <c r="E67" s="203"/>
      <c r="F67" s="203"/>
      <c r="G67" s="336">
        <f>Quarts!BC39</f>
        <v>411.4</v>
      </c>
      <c r="H67" s="336">
        <f>Quarts!BD39</f>
        <v>412.8</v>
      </c>
      <c r="I67" s="336">
        <f>Quarts!BE39</f>
        <v>411.5</v>
      </c>
      <c r="J67" s="336">
        <f>Quarts!BF39</f>
        <v>422.6</v>
      </c>
      <c r="K67" s="336">
        <f>Quarts!BG39</f>
        <v>422.4</v>
      </c>
      <c r="L67" s="336">
        <f>Quarts!BH39</f>
        <v>427.3</v>
      </c>
      <c r="M67" s="336">
        <f>Quarts!BI39</f>
        <v>415.4</v>
      </c>
      <c r="N67" s="336">
        <f>Quarts!BJ39</f>
        <v>419.5</v>
      </c>
      <c r="O67" s="336">
        <f>Quarts!BK39</f>
        <v>420.4</v>
      </c>
      <c r="P67" s="336">
        <f>Quarts!BL39</f>
        <v>420.8</v>
      </c>
      <c r="Q67" s="336">
        <f>Quarts!BM39</f>
        <v>418.7</v>
      </c>
      <c r="R67" s="336">
        <f>Quarts!BN39</f>
        <v>426.3</v>
      </c>
      <c r="S67" s="336">
        <f>Quarts!BO39</f>
        <v>421.7</v>
      </c>
      <c r="T67" s="336"/>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row>
    <row r="68" spans="1:61">
      <c r="A68" s="203"/>
      <c r="B68" s="203" t="s">
        <v>2902</v>
      </c>
      <c r="C68" s="203"/>
      <c r="D68" s="203"/>
      <c r="E68" s="203"/>
      <c r="F68" s="203"/>
      <c r="G68" s="203"/>
      <c r="H68" s="203"/>
      <c r="I68" s="203"/>
      <c r="J68" s="203"/>
      <c r="K68" s="203">
        <v>614</v>
      </c>
      <c r="L68" s="203">
        <v>617</v>
      </c>
      <c r="M68" s="203">
        <v>617</v>
      </c>
      <c r="N68" s="203">
        <v>617</v>
      </c>
      <c r="O68" s="203">
        <v>617</v>
      </c>
      <c r="P68" s="203">
        <v>615</v>
      </c>
      <c r="Q68" s="203">
        <v>630</v>
      </c>
      <c r="R68" s="203">
        <v>616</v>
      </c>
      <c r="S68" s="203">
        <v>617</v>
      </c>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row>
    <row r="69" spans="1:61">
      <c r="A69" s="203"/>
      <c r="B69" s="203" t="s">
        <v>2901</v>
      </c>
      <c r="C69" s="203"/>
      <c r="D69" s="203"/>
      <c r="E69" s="203"/>
      <c r="F69" s="203"/>
      <c r="G69" s="336">
        <v>598.28104580714262</v>
      </c>
      <c r="H69" s="336">
        <v>605.09473959310617</v>
      </c>
      <c r="I69" s="336">
        <v>622.84311453910561</v>
      </c>
      <c r="J69" s="336">
        <v>634.37570023920307</v>
      </c>
      <c r="K69" s="336">
        <v>613.96367689658177</v>
      </c>
      <c r="L69" s="336">
        <v>611.23370262856326</v>
      </c>
      <c r="M69" s="336">
        <v>604.7332810289497</v>
      </c>
      <c r="N69" s="336">
        <v>600.25983589444502</v>
      </c>
      <c r="O69" s="336">
        <v>596.53180284960661</v>
      </c>
      <c r="P69" s="336">
        <v>602.78839088537995</v>
      </c>
      <c r="Q69" s="336">
        <v>609</v>
      </c>
      <c r="R69" s="336">
        <v>619.22969995028404</v>
      </c>
      <c r="S69" s="336">
        <v>602.44441521382305</v>
      </c>
      <c r="T69" s="336"/>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row>
    <row r="70" spans="1:61">
      <c r="A70" s="203"/>
      <c r="B70" s="203"/>
      <c r="C70" s="203"/>
      <c r="D70" s="203"/>
      <c r="E70" s="203"/>
      <c r="F70" s="203"/>
      <c r="G70" s="203"/>
      <c r="H70" s="203"/>
      <c r="I70" s="203"/>
      <c r="J70" s="203"/>
      <c r="K70" s="337"/>
      <c r="L70" s="337"/>
      <c r="M70" s="337"/>
      <c r="N70" s="337"/>
      <c r="O70" s="337"/>
      <c r="P70" s="337"/>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row>
    <row r="71" spans="1:61">
      <c r="A71" s="203"/>
      <c r="B71" s="203" t="s">
        <v>2901</v>
      </c>
      <c r="C71" s="203"/>
      <c r="D71" s="203"/>
      <c r="E71" s="203"/>
      <c r="F71" s="203"/>
      <c r="G71" s="336">
        <v>550.54398575735149</v>
      </c>
      <c r="H71" s="336">
        <v>554.56000017917211</v>
      </c>
      <c r="I71" s="336">
        <v>565.8586321351795</v>
      </c>
      <c r="J71" s="336">
        <v>572.69338734214205</v>
      </c>
      <c r="K71" s="336">
        <v>549.93947782364114</v>
      </c>
      <c r="L71" s="336">
        <v>539.28052259103561</v>
      </c>
      <c r="M71" s="336">
        <v>542.40288904011902</v>
      </c>
      <c r="N71" s="336">
        <v>536.06388706687198</v>
      </c>
      <c r="O71" s="336">
        <v>525.1729026982722</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row>
    <row r="72" spans="1:61">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row>
    <row r="73" spans="1:6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row>
    <row r="74" spans="1:61">
      <c r="A74" s="203"/>
      <c r="B74" s="203" t="s">
        <v>2883</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row>
    <row r="75" spans="1:61">
      <c r="A75" s="203"/>
      <c r="B75" s="203" t="s">
        <v>2884</v>
      </c>
      <c r="C75" s="203"/>
      <c r="D75" s="203"/>
      <c r="E75" s="203"/>
      <c r="F75" s="203"/>
      <c r="G75" s="203"/>
      <c r="H75" s="203"/>
      <c r="I75" s="203"/>
      <c r="J75" s="527">
        <v>41496</v>
      </c>
      <c r="K75" s="527">
        <v>41275</v>
      </c>
      <c r="L75" s="203"/>
      <c r="M75" s="203"/>
      <c r="N75" s="527">
        <v>49553</v>
      </c>
      <c r="O75" s="527">
        <v>48288</v>
      </c>
      <c r="P75" s="527"/>
      <c r="Q75" s="527"/>
      <c r="R75" s="527"/>
      <c r="S75" s="527"/>
      <c r="T75" s="527"/>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row>
    <row r="76" spans="1:61">
      <c r="A76" s="203"/>
      <c r="B76" s="203" t="s">
        <v>2885</v>
      </c>
      <c r="C76" s="203"/>
      <c r="D76" s="203"/>
      <c r="E76" s="203"/>
      <c r="F76" s="203"/>
      <c r="G76" s="203"/>
      <c r="H76" s="203"/>
      <c r="I76" s="203"/>
      <c r="J76" s="527">
        <v>5409</v>
      </c>
      <c r="K76" s="527">
        <v>5804</v>
      </c>
      <c r="L76" s="203"/>
      <c r="M76" s="203"/>
      <c r="N76" s="527">
        <v>7073</v>
      </c>
      <c r="O76" s="527">
        <v>7077</v>
      </c>
      <c r="P76" s="527"/>
      <c r="Q76" s="527"/>
      <c r="R76" s="527"/>
      <c r="S76" s="527"/>
      <c r="T76" s="527"/>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row>
    <row r="77" spans="1:61">
      <c r="A77" s="203"/>
      <c r="B77" s="358" t="s">
        <v>815</v>
      </c>
      <c r="C77" s="358"/>
      <c r="D77" s="358"/>
      <c r="E77" s="358"/>
      <c r="F77" s="358"/>
      <c r="G77" s="358"/>
      <c r="H77" s="358"/>
      <c r="I77" s="358"/>
      <c r="J77" s="620">
        <v>4166</v>
      </c>
      <c r="K77" s="620">
        <v>3237</v>
      </c>
      <c r="L77" s="358"/>
      <c r="M77" s="358"/>
      <c r="N77" s="620">
        <v>1890</v>
      </c>
      <c r="O77" s="620">
        <v>4445</v>
      </c>
      <c r="P77" s="527"/>
      <c r="Q77" s="527"/>
      <c r="R77" s="527"/>
      <c r="S77" s="527"/>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row>
    <row r="78" spans="1:61">
      <c r="A78" s="203"/>
      <c r="B78" s="203" t="s">
        <v>2886</v>
      </c>
      <c r="C78" s="203"/>
      <c r="D78" s="203"/>
      <c r="E78" s="203"/>
      <c r="F78" s="203"/>
      <c r="G78" s="203"/>
      <c r="H78" s="203"/>
      <c r="I78" s="203"/>
      <c r="J78" s="527">
        <f>J75+J76-J77</f>
        <v>42739</v>
      </c>
      <c r="K78" s="527">
        <f>K75+K76-K77</f>
        <v>43842</v>
      </c>
      <c r="L78" s="203"/>
      <c r="M78" s="203"/>
      <c r="N78" s="527">
        <f>N75+N76-N77</f>
        <v>54736</v>
      </c>
      <c r="O78" s="527">
        <f>O75+O76-O77</f>
        <v>50920</v>
      </c>
      <c r="P78" s="527"/>
      <c r="Q78" s="527"/>
      <c r="R78" s="527"/>
      <c r="S78" s="527"/>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row>
    <row r="79" spans="1:61">
      <c r="A79" s="203"/>
      <c r="B79" s="203" t="s">
        <v>1435</v>
      </c>
      <c r="C79" s="203"/>
      <c r="D79" s="203"/>
      <c r="E79" s="203"/>
      <c r="F79" s="203"/>
      <c r="G79" s="203"/>
      <c r="H79" s="203"/>
      <c r="I79" s="203"/>
      <c r="J79" s="659">
        <f>J78/SUM(G10:J10)</f>
        <v>3.551520691374439</v>
      </c>
      <c r="K79" s="659">
        <f>K78/SUM(H10:K10)</f>
        <v>3.3502980284273267</v>
      </c>
      <c r="L79" s="203"/>
      <c r="M79" s="203"/>
      <c r="N79" s="659">
        <f>N78/SUM(K10:N10)</f>
        <v>3.4280703951900797</v>
      </c>
      <c r="O79" s="659">
        <f>O78/SUM(L10:O10)</f>
        <v>3.0540394650032989</v>
      </c>
      <c r="P79" s="659"/>
      <c r="Q79" s="659"/>
      <c r="R79" s="659"/>
      <c r="S79" s="659"/>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row>
    <row r="80" spans="1:61">
      <c r="A80" s="203"/>
      <c r="B80" s="203"/>
      <c r="C80" s="203"/>
      <c r="D80" s="203"/>
      <c r="E80" s="203"/>
      <c r="F80" s="203"/>
      <c r="G80" s="203"/>
      <c r="H80" s="203"/>
      <c r="I80" s="203"/>
      <c r="J80" s="527"/>
      <c r="K80" s="203"/>
      <c r="L80" s="203"/>
      <c r="M80" s="203"/>
      <c r="N80" s="527"/>
      <c r="O80" s="527"/>
      <c r="P80" s="527"/>
      <c r="Q80" s="527"/>
      <c r="R80" s="527"/>
      <c r="S80" s="527"/>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row>
    <row r="81" spans="1:60">
      <c r="A81" s="203"/>
      <c r="B81" s="203" t="s">
        <v>22</v>
      </c>
      <c r="C81" s="203"/>
      <c r="D81" s="203"/>
      <c r="E81" s="203"/>
      <c r="F81" s="203"/>
      <c r="G81" s="203"/>
      <c r="H81" s="203"/>
      <c r="I81" s="203"/>
      <c r="J81" s="527"/>
      <c r="K81" s="203"/>
      <c r="L81" s="203"/>
      <c r="M81" s="203"/>
      <c r="N81" s="527"/>
      <c r="O81" s="527"/>
      <c r="P81" s="527"/>
      <c r="Q81" s="527"/>
      <c r="R81" s="527"/>
      <c r="S81" s="527"/>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row>
    <row r="82" spans="1:60">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row>
    <row r="83" spans="1:60">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row>
    <row r="84" spans="1:60">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row>
    <row r="85" spans="1:60">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row>
    <row r="86" spans="1:60">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row>
    <row r="87" spans="1:60">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row>
    <row r="88" spans="1:60">
      <c r="A88" s="203"/>
      <c r="B88" s="203"/>
      <c r="C88" s="203"/>
      <c r="D88" s="203"/>
      <c r="E88" s="203"/>
      <c r="F88" s="203"/>
      <c r="G88" s="203"/>
      <c r="H88" s="203"/>
      <c r="I88" s="203"/>
      <c r="J88" s="203"/>
      <c r="K88" s="392">
        <f t="shared" ref="K88:M88" si="108">K34-J34</f>
        <v>274</v>
      </c>
      <c r="L88" s="392">
        <f t="shared" si="108"/>
        <v>244</v>
      </c>
      <c r="M88" s="392">
        <f t="shared" si="108"/>
        <v>223</v>
      </c>
      <c r="N88" s="392">
        <f>N34-M34</f>
        <v>97</v>
      </c>
      <c r="O88" s="392">
        <f>O34-N34</f>
        <v>107.21000000000004</v>
      </c>
      <c r="P88" s="392"/>
      <c r="Q88" s="392"/>
      <c r="R88" s="392"/>
      <c r="S88" s="392"/>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row>
    <row r="89" spans="1:60">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row>
    <row r="90" spans="1:60">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row>
    <row r="91" spans="1:60">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row>
    <row r="92" spans="1:60">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row>
    <row r="93" spans="1:60">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row>
    <row r="94" spans="1:60">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row>
    <row r="95" spans="1:60">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row>
    <row r="96" spans="1:60">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row>
    <row r="97" spans="1:60">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row>
    <row r="98" spans="1:60">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row>
    <row r="99" spans="1:60">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row>
    <row r="100" spans="1:60">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row>
    <row r="101" spans="1:60">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row>
    <row r="102" spans="1:60">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row>
    <row r="103" spans="1:60">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row>
    <row r="104" spans="1:60">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row>
    <row r="105" spans="1:60">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row>
    <row r="106" spans="1:60">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row>
    <row r="107" spans="1:60">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row>
    <row r="108" spans="1:60">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row>
    <row r="109" spans="1:60">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row>
    <row r="110" spans="1:60">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row>
    <row r="111" spans="1:60">
      <c r="A111" s="203"/>
      <c r="B111" s="392"/>
      <c r="C111" s="392"/>
      <c r="D111" s="392">
        <f t="shared" ref="D111:F116" si="109">D34-C34</f>
        <v>254.07012666048809</v>
      </c>
      <c r="E111" s="392">
        <f t="shared" si="109"/>
        <v>277.43589743589746</v>
      </c>
      <c r="F111" s="392">
        <f t="shared" si="109"/>
        <v>289</v>
      </c>
      <c r="G111" s="392">
        <f t="shared" ref="G111:N111" si="110">G34-F34</f>
        <v>251</v>
      </c>
      <c r="H111" s="392">
        <f t="shared" si="110"/>
        <v>234</v>
      </c>
      <c r="I111" s="392">
        <f t="shared" si="110"/>
        <v>279</v>
      </c>
      <c r="J111" s="392">
        <f t="shared" si="110"/>
        <v>250</v>
      </c>
      <c r="K111" s="392">
        <f t="shared" si="110"/>
        <v>274</v>
      </c>
      <c r="L111" s="392">
        <f t="shared" si="110"/>
        <v>244</v>
      </c>
      <c r="M111" s="392">
        <f t="shared" si="110"/>
        <v>223</v>
      </c>
      <c r="N111" s="392">
        <f t="shared" si="110"/>
        <v>97</v>
      </c>
      <c r="O111" s="392"/>
      <c r="P111" s="392"/>
      <c r="Q111" s="392"/>
      <c r="R111" s="392"/>
      <c r="S111" s="392"/>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row>
    <row r="112" spans="1:60">
      <c r="A112" s="203"/>
      <c r="B112" s="203" t="str">
        <f>B35</f>
        <v>MEGA (Cable)</v>
      </c>
      <c r="C112" s="392"/>
      <c r="D112" s="392">
        <f t="shared" si="109"/>
        <v>83.019000000000233</v>
      </c>
      <c r="E112" s="392">
        <f t="shared" si="109"/>
        <v>184.5949999999998</v>
      </c>
      <c r="F112" s="392">
        <f t="shared" si="109"/>
        <v>96.329000000000178</v>
      </c>
      <c r="G112" s="392">
        <f t="shared" ref="G112" si="111">G35-F35</f>
        <v>79.415999999999713</v>
      </c>
      <c r="H112" s="392">
        <f t="shared" ref="H112:I112" si="112">H35-G35</f>
        <v>58.160000000000309</v>
      </c>
      <c r="I112" s="392">
        <f t="shared" si="112"/>
        <v>105.01199999999972</v>
      </c>
      <c r="J112" s="392">
        <f t="shared" ref="J112" si="113">J35-I35</f>
        <v>80.981000000000222</v>
      </c>
      <c r="K112" s="392">
        <f t="shared" ref="K112:L112" si="114">K35-J35</f>
        <v>59.403999999999996</v>
      </c>
      <c r="L112" s="392">
        <f t="shared" si="114"/>
        <v>19.177999999999884</v>
      </c>
      <c r="M112" s="392">
        <f t="shared" ref="M112:N116" si="115">M35-L35</f>
        <v>100.65700000000015</v>
      </c>
      <c r="N112" s="392">
        <f t="shared" si="115"/>
        <v>124.72799999999961</v>
      </c>
      <c r="O112" s="392"/>
      <c r="P112" s="392"/>
      <c r="Q112" s="392"/>
      <c r="R112" s="392"/>
      <c r="S112" s="392"/>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row>
    <row r="113" spans="1:60">
      <c r="A113" s="203"/>
      <c r="B113" s="203" t="str">
        <f>B36</f>
        <v>TV (Retail)</v>
      </c>
      <c r="C113" s="392"/>
      <c r="D113" s="392">
        <f t="shared" si="109"/>
        <v>252</v>
      </c>
      <c r="E113" s="392">
        <f t="shared" si="109"/>
        <v>234</v>
      </c>
      <c r="F113" s="392">
        <f t="shared" si="109"/>
        <v>128.80057500770636</v>
      </c>
      <c r="G113" s="392">
        <f t="shared" ref="G113" si="116">G36-F36</f>
        <v>103.19942499229364</v>
      </c>
      <c r="H113" s="392">
        <f t="shared" ref="H113:I113" si="117">H36-G36</f>
        <v>31</v>
      </c>
      <c r="I113" s="392">
        <f t="shared" si="117"/>
        <v>25</v>
      </c>
      <c r="J113" s="392">
        <f t="shared" ref="J113" si="118">J36-I36</f>
        <v>58.101999999999862</v>
      </c>
      <c r="K113" s="392">
        <f t="shared" ref="K113:L113" si="119">K36-J36</f>
        <v>82.923999999999978</v>
      </c>
      <c r="L113" s="392">
        <f t="shared" si="119"/>
        <v>77.564000000000306</v>
      </c>
      <c r="M113" s="392">
        <f t="shared" si="115"/>
        <v>96.233999999999469</v>
      </c>
      <c r="N113" s="392">
        <f t="shared" si="115"/>
        <v>78.176000000000386</v>
      </c>
      <c r="O113" s="392"/>
      <c r="P113" s="392"/>
      <c r="Q113" s="392"/>
      <c r="R113" s="392"/>
      <c r="S113" s="392"/>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row>
    <row r="114" spans="1:60">
      <c r="A114" s="203"/>
      <c r="B114" s="203" t="str">
        <f>B37</f>
        <v>Telmex total BB</v>
      </c>
      <c r="C114" s="392"/>
      <c r="D114" s="392">
        <f t="shared" si="109"/>
        <v>63</v>
      </c>
      <c r="E114" s="392">
        <f t="shared" si="109"/>
        <v>117</v>
      </c>
      <c r="F114" s="392">
        <f t="shared" si="109"/>
        <v>33</v>
      </c>
      <c r="G114" s="392">
        <f t="shared" ref="G114" si="120">G37-F37</f>
        <v>-19</v>
      </c>
      <c r="H114" s="392">
        <f t="shared" ref="H114:I114" si="121">H37-G37</f>
        <v>-38</v>
      </c>
      <c r="I114" s="392">
        <f t="shared" si="121"/>
        <v>94</v>
      </c>
      <c r="J114" s="392">
        <f t="shared" ref="J114" si="122">J37-I37</f>
        <v>-11</v>
      </c>
      <c r="K114" s="392">
        <f t="shared" ref="K114:L114" si="123">K37-J37</f>
        <v>63</v>
      </c>
      <c r="L114" s="392">
        <f t="shared" si="123"/>
        <v>20</v>
      </c>
      <c r="M114" s="392">
        <f t="shared" si="115"/>
        <v>1</v>
      </c>
      <c r="N114" s="392">
        <f t="shared" si="115"/>
        <v>-96</v>
      </c>
      <c r="O114" s="392"/>
      <c r="P114" s="392"/>
      <c r="Q114" s="392"/>
      <c r="R114" s="392"/>
      <c r="S114" s="392"/>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row>
    <row r="115" spans="1:60">
      <c r="A115" s="203"/>
      <c r="B115" s="392"/>
      <c r="C115" s="392"/>
      <c r="D115" s="392">
        <f t="shared" si="109"/>
        <v>3317</v>
      </c>
      <c r="E115" s="392">
        <f t="shared" si="109"/>
        <v>-3317</v>
      </c>
      <c r="F115" s="392">
        <f t="shared" si="109"/>
        <v>0</v>
      </c>
      <c r="G115" s="392">
        <f t="shared" ref="G115" si="124">G38-F38</f>
        <v>0</v>
      </c>
      <c r="H115" s="392">
        <f t="shared" ref="H115:I115" si="125">H38-G38</f>
        <v>4281</v>
      </c>
      <c r="I115" s="392">
        <f t="shared" si="125"/>
        <v>-4281</v>
      </c>
      <c r="J115" s="392">
        <f t="shared" ref="J115" si="126">J38-I38</f>
        <v>0</v>
      </c>
      <c r="K115" s="392">
        <f t="shared" ref="K115:L115" si="127">K38-J38</f>
        <v>0</v>
      </c>
      <c r="L115" s="392">
        <f t="shared" si="127"/>
        <v>0</v>
      </c>
      <c r="M115" s="392">
        <f t="shared" si="115"/>
        <v>0</v>
      </c>
      <c r="N115" s="392">
        <f t="shared" si="115"/>
        <v>0</v>
      </c>
      <c r="O115" s="392"/>
      <c r="P115" s="392"/>
      <c r="Q115" s="392"/>
      <c r="R115" s="392"/>
      <c r="S115" s="392"/>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row>
    <row r="116" spans="1:60">
      <c r="A116" s="203"/>
      <c r="B116" s="393"/>
      <c r="C116" s="393"/>
      <c r="D116" s="393">
        <f t="shared" si="109"/>
        <v>652.08912666048855</v>
      </c>
      <c r="E116" s="393">
        <f t="shared" si="109"/>
        <v>813.03089743589589</v>
      </c>
      <c r="F116" s="393">
        <f t="shared" si="109"/>
        <v>547.1295750077079</v>
      </c>
      <c r="G116" s="393">
        <f t="shared" ref="G116" si="128">G39-F39</f>
        <v>414.61542499229108</v>
      </c>
      <c r="H116" s="393">
        <f t="shared" ref="H116:I116" si="129">H39-G39</f>
        <v>285.16000000000349</v>
      </c>
      <c r="I116" s="393">
        <f t="shared" si="129"/>
        <v>503.01199999999881</v>
      </c>
      <c r="J116" s="393">
        <f t="shared" ref="J116" si="130">J39-I39</f>
        <v>378.08299999999872</v>
      </c>
      <c r="K116" s="393">
        <f t="shared" ref="K116:L116" si="131">K39-J39</f>
        <v>479.32800000000134</v>
      </c>
      <c r="L116" s="393">
        <f t="shared" si="131"/>
        <v>360.74200000000201</v>
      </c>
      <c r="M116" s="393">
        <f t="shared" si="115"/>
        <v>420.89099999999598</v>
      </c>
      <c r="N116" s="393">
        <f t="shared" si="115"/>
        <v>203.90400000000227</v>
      </c>
      <c r="O116" s="393"/>
      <c r="P116" s="393"/>
      <c r="Q116" s="393"/>
      <c r="R116" s="393"/>
      <c r="S116" s="39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row>
    <row r="117" spans="1:60">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row>
    <row r="118" spans="1:60">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row>
    <row r="119" spans="1:60">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row>
    <row r="120" spans="1:60">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row>
    <row r="121" spans="1:60">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row>
    <row r="122" spans="1:60">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row>
    <row r="123" spans="1:60">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row>
    <row r="124" spans="1:60">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row>
    <row r="125" spans="1:60">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row>
    <row r="126" spans="1:60">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row>
    <row r="127" spans="1:60">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row>
    <row r="128" spans="1:60">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row>
    <row r="129" spans="1:60">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row>
    <row r="130" spans="1:60">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row>
    <row r="131" spans="1:60">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row>
    <row r="132" spans="1:60">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row>
    <row r="133" spans="1:60">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row>
    <row r="134" spans="1:60">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row>
    <row r="135" spans="1:60">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row>
    <row r="136" spans="1:60">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row>
    <row r="137" spans="1:60">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row>
    <row r="138" spans="1:60">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row>
    <row r="139" spans="1:60">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row>
    <row r="140" spans="1:60">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row>
    <row r="141" spans="1:60">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row>
    <row r="142" spans="1:60">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row>
    <row r="143" spans="1:60">
      <c r="A143" s="203"/>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row>
    <row r="144" spans="1:60">
      <c r="A144" s="203"/>
      <c r="B144" s="203"/>
      <c r="C144" s="203"/>
      <c r="D144" s="203"/>
      <c r="E144" s="203"/>
      <c r="F144" s="203"/>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row>
    <row r="145" spans="1:60">
      <c r="A145" s="203"/>
      <c r="B145" s="203"/>
      <c r="C145" s="203"/>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row>
    <row r="146" spans="1:60">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row>
    <row r="147" spans="1:60">
      <c r="A147" s="203"/>
      <c r="B147" s="203"/>
      <c r="C147" s="203"/>
      <c r="D147" s="203"/>
      <c r="E147" s="203" t="s">
        <v>2982</v>
      </c>
      <c r="F147" s="337">
        <v>0.06</v>
      </c>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row>
    <row r="148" spans="1:60">
      <c r="A148" s="203"/>
      <c r="B148" s="203"/>
      <c r="C148" s="203" t="s">
        <v>823</v>
      </c>
      <c r="D148" s="203"/>
      <c r="E148" s="203" t="s">
        <v>2981</v>
      </c>
      <c r="F148" s="337">
        <v>0.03</v>
      </c>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row>
    <row r="149" spans="1:60">
      <c r="A149" s="203"/>
      <c r="B149" s="203"/>
      <c r="C149" s="203"/>
      <c r="D149" s="203"/>
      <c r="E149" s="203" t="s">
        <v>2983</v>
      </c>
      <c r="F149" s="337">
        <v>0.03</v>
      </c>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row>
    <row r="150" spans="1:60">
      <c r="A150" s="203"/>
      <c r="B150" s="203"/>
      <c r="C150" s="203"/>
      <c r="D150" s="203"/>
      <c r="E150" s="203" t="s">
        <v>2984</v>
      </c>
      <c r="F150" s="337">
        <v>0.03</v>
      </c>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row>
    <row r="151" spans="1:60">
      <c r="A151" s="203"/>
      <c r="B151" s="203"/>
      <c r="C151" s="203"/>
      <c r="D151" s="203"/>
      <c r="E151" s="203" t="s">
        <v>605</v>
      </c>
      <c r="F151" s="337">
        <v>0</v>
      </c>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row>
    <row r="152" spans="1:60">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row>
    <row r="153" spans="1:60">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row>
    <row r="154" spans="1:60">
      <c r="A154" s="203"/>
      <c r="B154" s="203"/>
      <c r="C154" s="203"/>
      <c r="D154" s="203"/>
      <c r="E154" s="203"/>
      <c r="F154" s="203"/>
      <c r="G154" s="203"/>
      <c r="H154" s="203"/>
      <c r="I154" s="203"/>
      <c r="J154" s="203"/>
      <c r="K154" s="203"/>
      <c r="L154" s="203"/>
      <c r="M154" s="203"/>
      <c r="N154" s="203"/>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row>
    <row r="155" spans="1:60">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row>
    <row r="156" spans="1:60">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row>
    <row r="157" spans="1:60">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row>
    <row r="158" spans="1:60">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row>
    <row r="159" spans="1:60">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row>
    <row r="160" spans="1:60">
      <c r="A160" s="203"/>
      <c r="B160" s="203"/>
      <c r="C160" s="203"/>
      <c r="D160" s="203"/>
      <c r="E160" s="203"/>
      <c r="F160" s="203"/>
      <c r="G160" s="203"/>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row>
    <row r="161" spans="1:60">
      <c r="A161" s="203"/>
      <c r="B161" s="203"/>
      <c r="C161" s="203"/>
      <c r="D161" s="203"/>
      <c r="E161" s="203"/>
      <c r="F161" s="203"/>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row>
    <row r="162" spans="1:60">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row>
    <row r="163" spans="1:60">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row>
    <row r="164" spans="1:60">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row>
    <row r="165" spans="1:60">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row>
    <row r="166" spans="1:60">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row>
    <row r="167" spans="1:60">
      <c r="A167" s="203"/>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row>
    <row r="168" spans="1:60">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row>
    <row r="169" spans="1:60">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row>
    <row r="170" spans="1:60">
      <c r="A170" s="203"/>
      <c r="B170" s="203"/>
      <c r="C170" s="203"/>
      <c r="D170" s="203"/>
      <c r="E170" s="203"/>
      <c r="F170" s="203"/>
      <c r="G170" s="203"/>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row>
    <row r="171" spans="1:60">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row>
    <row r="172" spans="1:60">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row>
    <row r="173" spans="1:60">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row>
    <row r="174" spans="1:60">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row>
    <row r="175" spans="1:60">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row>
    <row r="176" spans="1:60">
      <c r="A176" s="203"/>
      <c r="B176" s="205" t="s">
        <v>169</v>
      </c>
      <c r="C176" s="395" t="str">
        <f>Quarts!AU4</f>
        <v>Q1 19</v>
      </c>
      <c r="D176" s="395" t="str">
        <f>Quarts!AV4</f>
        <v>Q2 19</v>
      </c>
      <c r="E176" s="395" t="str">
        <f>Quarts!AW4</f>
        <v>Q3 19</v>
      </c>
      <c r="F176" s="395" t="str">
        <f>Quarts!AX4</f>
        <v>Q4 19</v>
      </c>
      <c r="G176" s="395" t="str">
        <f>Quarts!AY4</f>
        <v>Q1 20</v>
      </c>
      <c r="H176" s="395" t="str">
        <f>Quarts!AZ4</f>
        <v>Q2 20</v>
      </c>
      <c r="I176" s="395" t="str">
        <f>Quarts!BA4</f>
        <v>Q3 20</v>
      </c>
      <c r="J176" s="395" t="str">
        <f>Quarts!BB4</f>
        <v>Q4 20</v>
      </c>
      <c r="K176" s="395" t="str">
        <f>Quarts!BC4</f>
        <v>Q1 21</v>
      </c>
      <c r="L176" s="395" t="str">
        <f>Quarts!BD4</f>
        <v>Q2 21</v>
      </c>
      <c r="M176" s="395" t="str">
        <f>Quarts!BE4</f>
        <v>Q3 21</v>
      </c>
      <c r="N176" s="395" t="str">
        <f>Quarts!BF4</f>
        <v>Q4 21</v>
      </c>
      <c r="O176" s="395" t="str">
        <f>Quarts!BG4</f>
        <v>Q1 22</v>
      </c>
      <c r="P176" s="395" t="str">
        <f>Quarts!BH4</f>
        <v>Q2 22</v>
      </c>
      <c r="Q176" s="395" t="str">
        <f>Quarts!BI4</f>
        <v>Q3 22</v>
      </c>
      <c r="R176" s="395" t="str">
        <f>Quarts!BJ4</f>
        <v>Q4 22</v>
      </c>
      <c r="S176" s="395" t="str">
        <f>Quarts!BK4</f>
        <v>Q1 23</v>
      </c>
      <c r="T176" s="395" t="str">
        <f>Quarts!BL4</f>
        <v>Q2 23</v>
      </c>
      <c r="U176" s="395" t="str">
        <f>Quarts!BM4</f>
        <v>Q3 23</v>
      </c>
      <c r="V176" s="395" t="str">
        <f>Quarts!BN4</f>
        <v>Q4 23</v>
      </c>
      <c r="W176" s="225"/>
      <c r="X176" s="225"/>
      <c r="Y176" s="225"/>
      <c r="Z176" s="225"/>
      <c r="AA176" s="225"/>
      <c r="AB176" s="225"/>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row>
    <row r="177" spans="1:60">
      <c r="A177" s="203"/>
      <c r="B177" s="203" t="s">
        <v>2987</v>
      </c>
      <c r="C177" s="394">
        <f>Quarts!AU7</f>
        <v>8057</v>
      </c>
      <c r="D177" s="394">
        <f>Quarts!AV7</f>
        <v>8702.1319999999996</v>
      </c>
      <c r="E177" s="394">
        <f>Quarts!AW7</f>
        <v>8764</v>
      </c>
      <c r="F177" s="394">
        <f>Quarts!AX7</f>
        <v>8836.6749999999993</v>
      </c>
      <c r="G177" s="394">
        <f>Quarts!AY7</f>
        <v>8853.7849999999999</v>
      </c>
      <c r="H177" s="394">
        <f>Quarts!AZ7</f>
        <v>8876.2999999999993</v>
      </c>
      <c r="I177" s="394">
        <f>Quarts!BA7</f>
        <v>8901.7469999999994</v>
      </c>
      <c r="J177" s="394">
        <f>Quarts!BB7</f>
        <v>8955.4570000000003</v>
      </c>
      <c r="K177" s="394">
        <f>Quarts!BC7</f>
        <v>9007.223</v>
      </c>
      <c r="L177" s="394">
        <f>Quarts!BD7</f>
        <v>9097</v>
      </c>
      <c r="M177" s="394">
        <f>Quarts!BE7</f>
        <v>9292.1260000000002</v>
      </c>
      <c r="N177" s="394">
        <f>Quarts!BF7</f>
        <v>9568.6</v>
      </c>
      <c r="O177" s="394">
        <f>Quarts!BG7</f>
        <v>9686.3050000000003</v>
      </c>
      <c r="P177" s="394">
        <f>Quarts!BH7</f>
        <v>10114.51</v>
      </c>
      <c r="Q177" s="394">
        <f>Quarts!BI7</f>
        <v>10566.498</v>
      </c>
      <c r="R177" s="394">
        <f>Quarts!BJ7</f>
        <v>11560.218000000001</v>
      </c>
      <c r="S177" s="394">
        <f>Quarts!BK7</f>
        <v>12487.578</v>
      </c>
      <c r="T177" s="394">
        <f>Quarts!BL7</f>
        <v>13450.7</v>
      </c>
      <c r="U177" s="394">
        <f>Quarts!BM7</f>
        <v>14552.598</v>
      </c>
      <c r="V177" s="394">
        <f>Quarts!BN7</f>
        <v>15437.906999999999</v>
      </c>
      <c r="W177" s="394"/>
      <c r="X177" s="394"/>
      <c r="Y177" s="394"/>
      <c r="Z177" s="394"/>
      <c r="AA177" s="394"/>
      <c r="AB177" s="394"/>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row>
    <row r="178" spans="1:60">
      <c r="A178" s="203"/>
      <c r="B178" s="203" t="s">
        <v>2986</v>
      </c>
      <c r="C178" s="203"/>
      <c r="D178" s="394">
        <f>D177-C177</f>
        <v>645.13199999999961</v>
      </c>
      <c r="E178" s="394">
        <f t="shared" ref="E178:V178" si="132">E177-D177</f>
        <v>61.868000000000393</v>
      </c>
      <c r="F178" s="394">
        <f t="shared" si="132"/>
        <v>72.674999999999272</v>
      </c>
      <c r="G178" s="394">
        <f t="shared" si="132"/>
        <v>17.110000000000582</v>
      </c>
      <c r="H178" s="394">
        <f t="shared" si="132"/>
        <v>22.514999999999418</v>
      </c>
      <c r="I178" s="394">
        <f t="shared" si="132"/>
        <v>25.447000000000116</v>
      </c>
      <c r="J178" s="394">
        <f t="shared" si="132"/>
        <v>53.710000000000946</v>
      </c>
      <c r="K178" s="394">
        <f t="shared" si="132"/>
        <v>51.765999999999622</v>
      </c>
      <c r="L178" s="394">
        <f t="shared" si="132"/>
        <v>89.777000000000044</v>
      </c>
      <c r="M178" s="394">
        <f t="shared" si="132"/>
        <v>195.1260000000002</v>
      </c>
      <c r="N178" s="394">
        <f t="shared" si="132"/>
        <v>276.47400000000016</v>
      </c>
      <c r="O178" s="394">
        <f t="shared" si="132"/>
        <v>117.70499999999993</v>
      </c>
      <c r="P178" s="394">
        <f t="shared" si="132"/>
        <v>428.20499999999993</v>
      </c>
      <c r="Q178" s="394">
        <f t="shared" si="132"/>
        <v>451.98799999999937</v>
      </c>
      <c r="R178" s="394">
        <f t="shared" si="132"/>
        <v>993.72000000000116</v>
      </c>
      <c r="S178" s="394">
        <f t="shared" si="132"/>
        <v>927.35999999999876</v>
      </c>
      <c r="T178" s="394">
        <f t="shared" si="132"/>
        <v>963.12200000000121</v>
      </c>
      <c r="U178" s="394">
        <f t="shared" si="132"/>
        <v>1101.8979999999992</v>
      </c>
      <c r="V178" s="394">
        <f t="shared" si="132"/>
        <v>885.30899999999929</v>
      </c>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row>
    <row r="179" spans="1:60">
      <c r="A179" s="203"/>
      <c r="B179" s="203"/>
      <c r="C179" s="203"/>
      <c r="D179" s="203"/>
      <c r="E179" s="203"/>
      <c r="F179" s="203"/>
      <c r="G179" s="203"/>
      <c r="H179" s="203"/>
      <c r="I179" s="203"/>
      <c r="J179" s="392">
        <f>SUM(G178:J178)</f>
        <v>118.78200000000106</v>
      </c>
      <c r="K179" s="203"/>
      <c r="L179" s="203"/>
      <c r="M179" s="203"/>
      <c r="N179" s="392">
        <f>SUM(K178:N178)</f>
        <v>613.14300000000003</v>
      </c>
      <c r="O179" s="203"/>
      <c r="P179" s="203"/>
      <c r="Q179" s="203"/>
      <c r="R179" s="392">
        <f>SUM(O178:R178)</f>
        <v>1991.6180000000004</v>
      </c>
      <c r="S179" s="203"/>
      <c r="T179" s="203"/>
      <c r="U179" s="203"/>
      <c r="V179" s="392">
        <f>SUM(S178:V178)</f>
        <v>3877.6889999999985</v>
      </c>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row>
    <row r="180" spans="1:60">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row>
    <row r="181" spans="1:60">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row>
    <row r="182" spans="1:60">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row>
    <row r="183" spans="1:60">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row>
    <row r="184" spans="1:60">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row>
    <row r="185" spans="1:60">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row>
    <row r="186" spans="1:60">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row>
    <row r="187" spans="1:60">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row>
    <row r="188" spans="1:60">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row>
    <row r="189" spans="1:60">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row>
    <row r="190" spans="1:60">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row>
    <row r="191" spans="1:60">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row>
    <row r="192" spans="1:60">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row>
    <row r="193" spans="1:60">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row>
    <row r="194" spans="1:60">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row>
    <row r="195" spans="1:60">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row>
    <row r="196" spans="1:60">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row>
    <row r="197" spans="1:60">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row>
    <row r="198" spans="1:60">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row>
    <row r="199" spans="1:60">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row>
    <row r="200" spans="1:60">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row>
    <row r="201" spans="1:60">
      <c r="A201" s="203"/>
      <c r="B201" s="205" t="s">
        <v>169</v>
      </c>
      <c r="C201" s="395">
        <v>2022</v>
      </c>
      <c r="D201" s="395" t="s">
        <v>2988</v>
      </c>
      <c r="E201" s="395" t="s">
        <v>2989</v>
      </c>
      <c r="F201" s="395" t="s">
        <v>2990</v>
      </c>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row>
    <row r="202" spans="1:60">
      <c r="A202" s="203"/>
      <c r="B202" s="203" t="s">
        <v>350</v>
      </c>
      <c r="C202" s="394">
        <v>18600</v>
      </c>
      <c r="D202" s="394">
        <v>19100</v>
      </c>
      <c r="E202" s="394">
        <v>19600</v>
      </c>
      <c r="F202" s="394">
        <v>20100</v>
      </c>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row>
    <row r="203" spans="1:60">
      <c r="A203" s="203"/>
      <c r="B203" s="203" t="s">
        <v>2114</v>
      </c>
      <c r="C203" s="394">
        <v>17300</v>
      </c>
      <c r="D203" s="394">
        <v>17992.015999999996</v>
      </c>
      <c r="E203" s="394">
        <v>18225.234999999993</v>
      </c>
      <c r="F203" s="394">
        <v>18548.453999999991</v>
      </c>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row>
    <row r="204" spans="1:60">
      <c r="A204" s="203"/>
      <c r="B204" s="203" t="s">
        <v>367</v>
      </c>
      <c r="C204" s="394">
        <f>Fixed!Q3</f>
        <v>11560.218000000001</v>
      </c>
      <c r="D204" s="394">
        <f>Fixed!R3</f>
        <v>15437.906999999999</v>
      </c>
      <c r="E204" s="394">
        <f>Fixed!S3</f>
        <v>16937.906999999999</v>
      </c>
      <c r="F204" s="394">
        <f>Fixed!T3</f>
        <v>17937.906999999999</v>
      </c>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row>
    <row r="205" spans="1:60">
      <c r="A205" s="203"/>
      <c r="B205" s="203" t="s">
        <v>605</v>
      </c>
      <c r="C205" s="394">
        <v>11500</v>
      </c>
      <c r="D205" s="394">
        <v>13000</v>
      </c>
      <c r="E205" s="394">
        <v>14500</v>
      </c>
      <c r="F205" s="394">
        <v>16000</v>
      </c>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row>
    <row r="206" spans="1:60">
      <c r="A206" s="203"/>
      <c r="B206" s="203"/>
      <c r="C206" s="394"/>
      <c r="D206" s="394"/>
      <c r="E206" s="394"/>
      <c r="F206" s="394"/>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row>
    <row r="207" spans="1:60">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row>
    <row r="208" spans="1:60">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row>
    <row r="209" spans="1:59">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row>
    <row r="210" spans="1:59">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row>
    <row r="211" spans="1:59">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row>
    <row r="212" spans="1:59">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row>
    <row r="213" spans="1:59">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row>
    <row r="214" spans="1:59">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row>
    <row r="215" spans="1:59">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row>
    <row r="216" spans="1:59">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row>
    <row r="217" spans="1:59">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row>
    <row r="218" spans="1:59">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row>
    <row r="219" spans="1:59">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row>
    <row r="220" spans="1:59">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row>
    <row r="221" spans="1:59">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row>
    <row r="222" spans="1:59">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row>
    <row r="223" spans="1:59">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row>
    <row r="224" spans="1:59">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row>
    <row r="225" spans="1:59">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row>
    <row r="226" spans="1:59">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row>
    <row r="227" spans="1:59">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row>
    <row r="228" spans="1:59">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row>
    <row r="229" spans="1:59">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row>
    <row r="230" spans="1:59">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row>
    <row r="231" spans="1:59">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row>
    <row r="232" spans="1:59">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row>
    <row r="233" spans="1:59">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row>
    <row r="234" spans="1:59">
      <c r="A234" s="203"/>
      <c r="B234" s="205" t="s">
        <v>177</v>
      </c>
      <c r="C234" s="395" t="str">
        <f>Quarts!AU4</f>
        <v>Q1 19</v>
      </c>
      <c r="D234" s="395" t="str">
        <f>Quarts!AV4</f>
        <v>Q2 19</v>
      </c>
      <c r="E234" s="395" t="str">
        <f>Quarts!AW4</f>
        <v>Q3 19</v>
      </c>
      <c r="F234" s="395" t="str">
        <f>Quarts!AX4</f>
        <v>Q4 19</v>
      </c>
      <c r="G234" s="395" t="str">
        <f>Quarts!AY4</f>
        <v>Q1 20</v>
      </c>
      <c r="H234" s="395" t="str">
        <f>Quarts!AZ4</f>
        <v>Q2 20</v>
      </c>
      <c r="I234" s="395" t="str">
        <f>Quarts!BA4</f>
        <v>Q3 20</v>
      </c>
      <c r="J234" s="395" t="str">
        <f>Quarts!BB4</f>
        <v>Q4 20</v>
      </c>
      <c r="K234" s="395" t="str">
        <f>Quarts!BC4</f>
        <v>Q1 21</v>
      </c>
      <c r="L234" s="395" t="str">
        <f>Quarts!BD4</f>
        <v>Q2 21</v>
      </c>
      <c r="M234" s="395" t="str">
        <f>Quarts!BE4</f>
        <v>Q3 21</v>
      </c>
      <c r="N234" s="395" t="str">
        <f>Quarts!BF4</f>
        <v>Q4 21</v>
      </c>
      <c r="O234" s="395" t="str">
        <f>Quarts!BG4</f>
        <v>Q1 22</v>
      </c>
      <c r="P234" s="395" t="str">
        <f>Quarts!BH4</f>
        <v>Q2 22</v>
      </c>
      <c r="Q234" s="395" t="str">
        <f>Quarts!BI4</f>
        <v>Q3 22</v>
      </c>
      <c r="R234" s="395" t="str">
        <f>Quarts!BJ4</f>
        <v>Q4 22</v>
      </c>
      <c r="S234" s="395" t="str">
        <f>Quarts!BK4</f>
        <v>Q1 23</v>
      </c>
      <c r="T234" s="395" t="str">
        <f>Quarts!BL4</f>
        <v>Q2 23</v>
      </c>
      <c r="U234" s="395" t="str">
        <f>Quarts!BM4</f>
        <v>Q3 23</v>
      </c>
      <c r="V234" s="395" t="str">
        <f>Quarts!BN4</f>
        <v>Q4 23</v>
      </c>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row>
    <row r="235" spans="1:59">
      <c r="A235" s="203"/>
      <c r="B235" s="336" t="s">
        <v>2030</v>
      </c>
      <c r="C235" s="394">
        <f>Quarts!AU57</f>
        <v>5150.2</v>
      </c>
      <c r="D235" s="394">
        <f>Quarts!AV57</f>
        <v>5345.0529999999999</v>
      </c>
      <c r="E235" s="394">
        <f>Quarts!AW57</f>
        <v>5405.4</v>
      </c>
      <c r="F235" s="394">
        <f>Quarts!AX57</f>
        <v>5624.95</v>
      </c>
      <c r="G235" s="394">
        <f>Quarts!AY57</f>
        <v>5520.0889999999999</v>
      </c>
      <c r="H235" s="394">
        <f>Quarts!AZ57</f>
        <v>5460.4750000000004</v>
      </c>
      <c r="I235" s="394">
        <f>Quarts!BA57</f>
        <v>5621.4369999999999</v>
      </c>
      <c r="J235" s="394">
        <f>Quarts!BB57</f>
        <v>5780.8639999999996</v>
      </c>
      <c r="K235" s="394">
        <f>Quarts!BC57</f>
        <v>5951.9790000000003</v>
      </c>
      <c r="L235" s="394">
        <f>Quarts!BD57</f>
        <v>6063.8</v>
      </c>
      <c r="M235" s="394">
        <f>Quarts!BE57</f>
        <v>6144.9260000000004</v>
      </c>
      <c r="N235" s="394">
        <f>Quarts!BF57</f>
        <v>6473.45</v>
      </c>
      <c r="O235" s="394">
        <f>Quarts!BG57</f>
        <v>6562.4260000000004</v>
      </c>
      <c r="P235" s="394">
        <f>Quarts!BH57</f>
        <v>6681.1859999999997</v>
      </c>
      <c r="Q235" s="394">
        <f>Quarts!BI57</f>
        <v>6736.8850000000002</v>
      </c>
      <c r="R235" s="394">
        <f>Quarts!BJ57</f>
        <v>7175.058</v>
      </c>
      <c r="S235" s="394">
        <f>Quarts!BK57</f>
        <v>7152.1880000000001</v>
      </c>
      <c r="T235" s="394">
        <f>Quarts!BL57</f>
        <v>7373.6940000000004</v>
      </c>
      <c r="U235" s="394">
        <f>Quarts!BM57</f>
        <v>7490.7309999999998</v>
      </c>
      <c r="V235" s="394">
        <f>Quarts!BN57</f>
        <v>7853.9269999999997</v>
      </c>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row>
    <row r="236" spans="1:59">
      <c r="A236" s="203"/>
      <c r="B236" s="336" t="s">
        <v>350</v>
      </c>
      <c r="C236" s="394">
        <v>9898.1</v>
      </c>
      <c r="D236" s="394">
        <v>10215.700000000001</v>
      </c>
      <c r="E236" s="394">
        <v>10572.1</v>
      </c>
      <c r="F236" s="394">
        <v>11016.1</v>
      </c>
      <c r="G236" s="394">
        <v>10824.7</v>
      </c>
      <c r="H236" s="394">
        <v>11308.8</v>
      </c>
      <c r="I236" s="394">
        <v>11407.9</v>
      </c>
      <c r="J236" s="394">
        <v>11825.699999999995</v>
      </c>
      <c r="K236" s="394">
        <v>11676.5</v>
      </c>
      <c r="L236" s="394">
        <v>11981.6</v>
      </c>
      <c r="M236" s="394">
        <v>12066.6</v>
      </c>
      <c r="N236" s="394">
        <v>12296.2</v>
      </c>
      <c r="O236" s="394">
        <v>11804.5</v>
      </c>
      <c r="P236" s="394">
        <v>11750</v>
      </c>
      <c r="Q236" s="394">
        <v>12394</v>
      </c>
      <c r="R236" s="394">
        <v>12463.3</v>
      </c>
      <c r="S236" s="394">
        <v>12122.7</v>
      </c>
      <c r="T236" s="394">
        <v>12108.248000000001</v>
      </c>
      <c r="U236" s="394">
        <v>12716.57</v>
      </c>
      <c r="V236" s="394">
        <v>12795.606500000009</v>
      </c>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row>
    <row r="237" spans="1:59">
      <c r="A237" s="203"/>
      <c r="B237" s="205" t="s">
        <v>2999</v>
      </c>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row>
    <row r="238" spans="1:59">
      <c r="A238" s="203"/>
      <c r="B238" s="336" t="s">
        <v>2030</v>
      </c>
      <c r="C238" s="394">
        <f>Quarts!AU70</f>
        <v>4202.1000000000004</v>
      </c>
      <c r="D238" s="394">
        <f>Quarts!AV70</f>
        <v>4354.26</v>
      </c>
      <c r="E238" s="394">
        <f>Quarts!AW70</f>
        <v>4335</v>
      </c>
      <c r="F238" s="394">
        <f>Quarts!AX70</f>
        <v>4454.3169999999991</v>
      </c>
      <c r="G238" s="394">
        <f>Quarts!AY70</f>
        <v>4560.21</v>
      </c>
      <c r="H238" s="394">
        <f>Quarts!AZ70</f>
        <v>4487.7829999999994</v>
      </c>
      <c r="I238" s="394">
        <f>Quarts!BA70</f>
        <v>4646.1129999999994</v>
      </c>
      <c r="J238" s="394">
        <f>Quarts!BB70</f>
        <v>4791.8230000000003</v>
      </c>
      <c r="K238" s="394">
        <f>Quarts!BC70</f>
        <v>4960.8999999999996</v>
      </c>
      <c r="L238" s="394">
        <f>Quarts!BD70</f>
        <v>5033</v>
      </c>
      <c r="M238" s="394">
        <f>Quarts!BE70</f>
        <v>5101.3719999999994</v>
      </c>
      <c r="N238" s="394">
        <f>Quarts!BF70</f>
        <v>5341.2420000000002</v>
      </c>
      <c r="O238" s="394">
        <f>Quarts!BG70</f>
        <v>5423.3630000000003</v>
      </c>
      <c r="P238" s="394">
        <f>Quarts!BH70</f>
        <v>5499.848</v>
      </c>
      <c r="Q238" s="394">
        <f>Quarts!BI70</f>
        <v>5431.3499999999985</v>
      </c>
      <c r="R238" s="394">
        <f>Quarts!BJ70</f>
        <v>5621</v>
      </c>
      <c r="S238" s="394">
        <f>Quarts!BK70</f>
        <v>5818.8560000000007</v>
      </c>
      <c r="T238" s="394">
        <f>Quarts!BL70</f>
        <v>6020.732</v>
      </c>
      <c r="U238" s="394">
        <f ca="1">Quarts!BM70</f>
        <v>6190.4939999999997</v>
      </c>
      <c r="V238" s="394">
        <f ca="1">Quarts!BN70</f>
        <v>6437.558</v>
      </c>
      <c r="W238" s="394"/>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row>
    <row r="239" spans="1:59">
      <c r="A239" s="203"/>
      <c r="B239" s="336" t="s">
        <v>350</v>
      </c>
      <c r="C239" s="394">
        <v>8874.2000000000007</v>
      </c>
      <c r="D239" s="394">
        <v>9216.7999999999993</v>
      </c>
      <c r="E239" s="394">
        <v>9603.7999999999993</v>
      </c>
      <c r="F239" s="394">
        <v>9800.9</v>
      </c>
      <c r="G239" s="394">
        <v>9755.7999999999993</v>
      </c>
      <c r="H239" s="394">
        <v>9928.9</v>
      </c>
      <c r="I239" s="394">
        <v>10227.4</v>
      </c>
      <c r="J239" s="394">
        <v>10529.4</v>
      </c>
      <c r="K239" s="394">
        <v>10465.4</v>
      </c>
      <c r="L239" s="394">
        <v>10564.7</v>
      </c>
      <c r="M239" s="394">
        <v>10823</v>
      </c>
      <c r="N239" s="394">
        <v>11036.9</v>
      </c>
      <c r="O239" s="394">
        <v>10820.6</v>
      </c>
      <c r="P239" s="394">
        <v>10965.6</v>
      </c>
      <c r="Q239" s="394">
        <v>11034</v>
      </c>
      <c r="R239" s="394">
        <v>11138.2</v>
      </c>
      <c r="S239" s="394">
        <v>11255.2</v>
      </c>
      <c r="T239" s="394">
        <v>11294.568000000001</v>
      </c>
      <c r="U239" s="394">
        <v>11365.02</v>
      </c>
      <c r="V239" s="394">
        <v>11472.346000000001</v>
      </c>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row>
    <row r="240" spans="1:59">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row>
    <row r="241" spans="1:59">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row>
    <row r="242" spans="1:59">
      <c r="A242" s="203"/>
      <c r="B242" s="205" t="s">
        <v>2545</v>
      </c>
      <c r="C242" s="395" t="str">
        <f>C234</f>
        <v>Q1 19</v>
      </c>
      <c r="D242" s="395" t="str">
        <f t="shared" ref="D242:V242" si="133">D234</f>
        <v>Q2 19</v>
      </c>
      <c r="E242" s="395" t="str">
        <f t="shared" si="133"/>
        <v>Q3 19</v>
      </c>
      <c r="F242" s="395" t="str">
        <f t="shared" si="133"/>
        <v>Q4 19</v>
      </c>
      <c r="G242" s="395" t="str">
        <f t="shared" si="133"/>
        <v>Q1 20</v>
      </c>
      <c r="H242" s="395" t="str">
        <f t="shared" si="133"/>
        <v>Q2 20</v>
      </c>
      <c r="I242" s="395" t="str">
        <f t="shared" si="133"/>
        <v>Q3 20</v>
      </c>
      <c r="J242" s="395" t="str">
        <f t="shared" si="133"/>
        <v>Q4 20</v>
      </c>
      <c r="K242" s="395" t="str">
        <f t="shared" si="133"/>
        <v>Q1 21</v>
      </c>
      <c r="L242" s="395" t="str">
        <f t="shared" si="133"/>
        <v>Q2 21</v>
      </c>
      <c r="M242" s="395" t="str">
        <f t="shared" si="133"/>
        <v>Q3 21</v>
      </c>
      <c r="N242" s="395" t="str">
        <f t="shared" si="133"/>
        <v>Q4 21</v>
      </c>
      <c r="O242" s="395" t="str">
        <f t="shared" si="133"/>
        <v>Q1 22</v>
      </c>
      <c r="P242" s="395" t="str">
        <f t="shared" si="133"/>
        <v>Q2 22</v>
      </c>
      <c r="Q242" s="395" t="str">
        <f t="shared" si="133"/>
        <v>Q3 22</v>
      </c>
      <c r="R242" s="395" t="str">
        <f t="shared" si="133"/>
        <v>Q4 22</v>
      </c>
      <c r="S242" s="395" t="str">
        <f t="shared" si="133"/>
        <v>Q1 23</v>
      </c>
      <c r="T242" s="395" t="str">
        <f t="shared" si="133"/>
        <v>Q2 23</v>
      </c>
      <c r="U242" s="395" t="str">
        <f t="shared" si="133"/>
        <v>Q3 23</v>
      </c>
      <c r="V242" s="395" t="str">
        <f t="shared" si="133"/>
        <v>Q4 23</v>
      </c>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row>
    <row r="243" spans="1:59">
      <c r="A243" s="203"/>
      <c r="B243" s="336" t="s">
        <v>2030</v>
      </c>
      <c r="C243" s="396"/>
      <c r="D243" s="396"/>
      <c r="E243" s="396"/>
      <c r="F243" s="396"/>
      <c r="G243" s="397">
        <f>G235/C235-1</f>
        <v>7.182031765756669E-2</v>
      </c>
      <c r="H243" s="397">
        <f t="shared" ref="H243:V243" si="134">H235/D235-1</f>
        <v>2.1594173154129814E-2</v>
      </c>
      <c r="I243" s="397">
        <f t="shared" si="134"/>
        <v>3.9966884966885052E-2</v>
      </c>
      <c r="J243" s="397">
        <f t="shared" si="134"/>
        <v>2.7718290829251702E-2</v>
      </c>
      <c r="K243" s="397">
        <f t="shared" si="134"/>
        <v>7.8239680555875157E-2</v>
      </c>
      <c r="L243" s="397">
        <f t="shared" si="134"/>
        <v>0.11048947206973758</v>
      </c>
      <c r="M243" s="397">
        <f t="shared" si="134"/>
        <v>9.3123697730669308E-2</v>
      </c>
      <c r="N243" s="397">
        <f t="shared" si="134"/>
        <v>0.1198066586586366</v>
      </c>
      <c r="O243" s="397">
        <f t="shared" si="134"/>
        <v>0.10256202180820861</v>
      </c>
      <c r="P243" s="397">
        <f t="shared" si="134"/>
        <v>0.10181503347735732</v>
      </c>
      <c r="Q243" s="397">
        <f t="shared" si="134"/>
        <v>9.6332974554941719E-2</v>
      </c>
      <c r="R243" s="397">
        <f t="shared" si="134"/>
        <v>0.10838239269632122</v>
      </c>
      <c r="S243" s="397">
        <f t="shared" si="134"/>
        <v>8.9869508623792393E-2</v>
      </c>
      <c r="T243" s="397">
        <f t="shared" si="134"/>
        <v>0.10365045966389808</v>
      </c>
      <c r="U243" s="397">
        <f t="shared" si="134"/>
        <v>0.11189830314752292</v>
      </c>
      <c r="V243" s="397">
        <f t="shared" si="134"/>
        <v>9.461512366868674E-2</v>
      </c>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row>
    <row r="244" spans="1:59">
      <c r="A244" s="203"/>
      <c r="B244" s="336" t="s">
        <v>3001</v>
      </c>
      <c r="C244" s="203"/>
      <c r="D244" s="203"/>
      <c r="E244" s="203"/>
      <c r="F244" s="203"/>
      <c r="G244" s="397">
        <f>G238/C238-1</f>
        <v>8.5221674876847286E-2</v>
      </c>
      <c r="H244" s="397">
        <f t="shared" ref="H244:T244" si="135">H238/D238-1</f>
        <v>3.0664912063128824E-2</v>
      </c>
      <c r="I244" s="397">
        <f t="shared" si="135"/>
        <v>7.1767704728950221E-2</v>
      </c>
      <c r="J244" s="397">
        <f t="shared" si="135"/>
        <v>7.5770539007439686E-2</v>
      </c>
      <c r="K244" s="397">
        <f t="shared" si="135"/>
        <v>8.7866567548424257E-2</v>
      </c>
      <c r="L244" s="397">
        <f t="shared" si="135"/>
        <v>0.12148916291184331</v>
      </c>
      <c r="M244" s="397">
        <f t="shared" si="135"/>
        <v>9.7987070051890779E-2</v>
      </c>
      <c r="N244" s="397">
        <f t="shared" si="135"/>
        <v>0.1146576156923993</v>
      </c>
      <c r="O244" s="397">
        <f t="shared" si="135"/>
        <v>9.3221592856135072E-2</v>
      </c>
      <c r="P244" s="397">
        <f t="shared" si="135"/>
        <v>9.275740115239417E-2</v>
      </c>
      <c r="Q244" s="397">
        <f t="shared" si="135"/>
        <v>6.4684167318125319E-2</v>
      </c>
      <c r="R244" s="397">
        <f t="shared" si="135"/>
        <v>5.2376956520599371E-2</v>
      </c>
      <c r="S244" s="397">
        <f t="shared" si="135"/>
        <v>7.2923940366890427E-2</v>
      </c>
      <c r="T244" s="397">
        <f t="shared" si="135"/>
        <v>9.4708799224996865E-2</v>
      </c>
      <c r="U244" s="397">
        <f t="shared" ref="U244" ca="1" si="136">U238/Q238-1</f>
        <v>0.13977077522163017</v>
      </c>
      <c r="V244" s="397">
        <f t="shared" ref="V244" ca="1" si="137">V238/R238-1</f>
        <v>0.14526916918697741</v>
      </c>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row>
    <row r="245" spans="1:59">
      <c r="A245" s="203"/>
      <c r="B245" s="336" t="s">
        <v>2998</v>
      </c>
      <c r="C245" s="396"/>
      <c r="D245" s="396"/>
      <c r="E245" s="396"/>
      <c r="F245" s="396"/>
      <c r="G245" s="397">
        <f>G236/C236-1</f>
        <v>9.3613925904971751E-2</v>
      </c>
      <c r="H245" s="397">
        <f t="shared" ref="H245:V245" si="138">H236/D236-1</f>
        <v>0.10700196755973623</v>
      </c>
      <c r="I245" s="397">
        <f t="shared" si="138"/>
        <v>7.9057140965371087E-2</v>
      </c>
      <c r="J245" s="397">
        <f t="shared" si="138"/>
        <v>7.3492433801435553E-2</v>
      </c>
      <c r="K245" s="397">
        <f t="shared" si="138"/>
        <v>7.8690402505381174E-2</v>
      </c>
      <c r="L245" s="397">
        <f t="shared" si="138"/>
        <v>5.9493491794001319E-2</v>
      </c>
      <c r="M245" s="397">
        <f t="shared" si="138"/>
        <v>5.7740688470270696E-2</v>
      </c>
      <c r="N245" s="397">
        <f t="shared" si="138"/>
        <v>3.9786228299382387E-2</v>
      </c>
      <c r="O245" s="397">
        <f t="shared" si="138"/>
        <v>1.0962189012118317E-2</v>
      </c>
      <c r="P245" s="397">
        <f t="shared" si="138"/>
        <v>-1.9329638779461922E-2</v>
      </c>
      <c r="Q245" s="397">
        <f t="shared" si="138"/>
        <v>2.7132746589760171E-2</v>
      </c>
      <c r="R245" s="397">
        <f t="shared" si="138"/>
        <v>1.3589564255623632E-2</v>
      </c>
      <c r="S245" s="397">
        <f t="shared" si="138"/>
        <v>2.695582193231405E-2</v>
      </c>
      <c r="T245" s="397">
        <f t="shared" si="138"/>
        <v>3.0489191489361911E-2</v>
      </c>
      <c r="U245" s="397">
        <f t="shared" si="138"/>
        <v>2.6026303049862864E-2</v>
      </c>
      <c r="V245" s="397">
        <f t="shared" si="138"/>
        <v>2.6662801986633511E-2</v>
      </c>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row>
    <row r="246" spans="1:59">
      <c r="A246" s="203"/>
      <c r="B246" s="336" t="s">
        <v>3000</v>
      </c>
      <c r="C246" s="203"/>
      <c r="D246" s="203"/>
      <c r="E246" s="203"/>
      <c r="F246" s="203"/>
      <c r="G246" s="397">
        <f>G239/C239-1</f>
        <v>9.9344166234702769E-2</v>
      </c>
      <c r="H246" s="397">
        <f t="shared" ref="H246:V246" si="139">H239/D239-1</f>
        <v>7.7261088447183379E-2</v>
      </c>
      <c r="I246" s="397">
        <f t="shared" si="139"/>
        <v>6.4932630833628435E-2</v>
      </c>
      <c r="J246" s="397">
        <f t="shared" si="139"/>
        <v>7.4329908477792861E-2</v>
      </c>
      <c r="K246" s="397">
        <f t="shared" si="139"/>
        <v>7.2736218454662938E-2</v>
      </c>
      <c r="L246" s="397">
        <f t="shared" si="139"/>
        <v>6.4035290918430077E-2</v>
      </c>
      <c r="M246" s="397">
        <f t="shared" si="139"/>
        <v>5.823571973326569E-2</v>
      </c>
      <c r="N246" s="397">
        <f t="shared" si="139"/>
        <v>4.8198377875282583E-2</v>
      </c>
      <c r="O246" s="397">
        <f t="shared" si="139"/>
        <v>3.3940413171020811E-2</v>
      </c>
      <c r="P246" s="397">
        <f t="shared" si="139"/>
        <v>3.7947125805749327E-2</v>
      </c>
      <c r="Q246" s="397">
        <f t="shared" si="139"/>
        <v>1.9495518802550071E-2</v>
      </c>
      <c r="R246" s="397">
        <f t="shared" si="139"/>
        <v>9.1783018782449766E-3</v>
      </c>
      <c r="S246" s="397">
        <f t="shared" si="139"/>
        <v>4.0164131379036405E-2</v>
      </c>
      <c r="T246" s="397">
        <f t="shared" si="139"/>
        <v>3.0000000000000027E-2</v>
      </c>
      <c r="U246" s="397">
        <f t="shared" si="139"/>
        <v>3.0000000000000027E-2</v>
      </c>
      <c r="V246" s="397">
        <f t="shared" si="139"/>
        <v>3.0000000000000027E-2</v>
      </c>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c r="BG246" s="203"/>
    </row>
    <row r="247" spans="1:59">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row>
    <row r="248" spans="1:59">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row>
    <row r="249" spans="1:59">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row>
    <row r="250" spans="1:59">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row>
    <row r="251" spans="1:59">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row>
    <row r="252" spans="1:59">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row>
    <row r="253" spans="1:59">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row>
    <row r="254" spans="1:59">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row>
    <row r="255" spans="1:59">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row>
    <row r="256" spans="1:59">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row>
    <row r="257" spans="1:59">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row>
    <row r="258" spans="1:59">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row>
    <row r="259" spans="1:59">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row>
    <row r="260" spans="1:59">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row>
    <row r="261" spans="1:59">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row>
    <row r="262" spans="1:59">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row>
    <row r="263" spans="1:59">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row>
    <row r="264" spans="1:59">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row>
    <row r="265" spans="1:59">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row>
    <row r="266" spans="1:59">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row>
    <row r="267" spans="1:59">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row>
    <row r="268" spans="1:59">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row>
    <row r="269" spans="1:59">
      <c r="A269" s="203"/>
      <c r="B269" s="203"/>
      <c r="C269" s="398">
        <v>3.2121360808933241E-2</v>
      </c>
      <c r="D269" s="398">
        <v>8.0496006527492669E-2</v>
      </c>
      <c r="E269" s="398">
        <v>1.6405334659213011E-2</v>
      </c>
      <c r="F269" s="398">
        <v>2.8916842053741787E-2</v>
      </c>
      <c r="G269" s="398">
        <v>0.105191421383521</v>
      </c>
      <c r="H269" s="398">
        <v>2.6421530669903603E-2</v>
      </c>
      <c r="I269" s="398">
        <v>0.17154922849089926</v>
      </c>
      <c r="J269" s="398">
        <v>0.15874140178291096</v>
      </c>
      <c r="K269" s="398">
        <v>0.10682659326751809</v>
      </c>
      <c r="L269" s="398">
        <v>0.13202706330516212</v>
      </c>
      <c r="M269" s="398">
        <v>9.2810972417269211E-2</v>
      </c>
      <c r="N269" s="398">
        <v>0.15410551327793631</v>
      </c>
      <c r="O269" s="398">
        <v>8.2609511208057818E-2</v>
      </c>
      <c r="P269" s="398">
        <v>7.8082551594746752E-2</v>
      </c>
      <c r="Q269" s="398">
        <v>4.1896049796754875E-2</v>
      </c>
      <c r="R269" s="398">
        <v>-3.6172315248714781E-3</v>
      </c>
      <c r="S269" s="398">
        <v>3.1391663657878155E-3</v>
      </c>
      <c r="T269" s="398">
        <v>-1.5210736734665442E-2</v>
      </c>
      <c r="U269" s="398">
        <v>3.9555442537334118E-2</v>
      </c>
      <c r="V269" s="398">
        <v>2.5137932711715605E-2</v>
      </c>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row>
    <row r="270" spans="1:59">
      <c r="A270" s="203"/>
      <c r="B270" s="205" t="s">
        <v>2993</v>
      </c>
      <c r="C270" s="395" t="str">
        <f>Quarts!AU4</f>
        <v>Q1 19</v>
      </c>
      <c r="D270" s="395" t="str">
        <f>Quarts!AV4</f>
        <v>Q2 19</v>
      </c>
      <c r="E270" s="395" t="str">
        <f>Quarts!AW4</f>
        <v>Q3 19</v>
      </c>
      <c r="F270" s="395" t="str">
        <f>Quarts!AX4</f>
        <v>Q4 19</v>
      </c>
      <c r="G270" s="395" t="str">
        <f>Quarts!AY4</f>
        <v>Q1 20</v>
      </c>
      <c r="H270" s="395" t="str">
        <f>Quarts!AZ4</f>
        <v>Q2 20</v>
      </c>
      <c r="I270" s="395" t="str">
        <f>Quarts!BA4</f>
        <v>Q3 20</v>
      </c>
      <c r="J270" s="395" t="str">
        <f>Quarts!BB4</f>
        <v>Q4 20</v>
      </c>
      <c r="K270" s="395" t="str">
        <f>Quarts!BC4</f>
        <v>Q1 21</v>
      </c>
      <c r="L270" s="395" t="str">
        <f>Quarts!BD4</f>
        <v>Q2 21</v>
      </c>
      <c r="M270" s="395" t="str">
        <f>Quarts!BE4</f>
        <v>Q3 21</v>
      </c>
      <c r="N270" s="395" t="str">
        <f>Quarts!BF4</f>
        <v>Q4 21</v>
      </c>
      <c r="O270" s="395" t="str">
        <f>Quarts!BG4</f>
        <v>Q1 22</v>
      </c>
      <c r="P270" s="395" t="str">
        <f>Quarts!BH4</f>
        <v>Q2 22</v>
      </c>
      <c r="Q270" s="395" t="str">
        <f>Quarts!BI4</f>
        <v>Q3 22</v>
      </c>
      <c r="R270" s="395" t="str">
        <f>Quarts!BJ4</f>
        <v>Q4 22</v>
      </c>
      <c r="S270" s="395" t="str">
        <f>Quarts!BK4</f>
        <v>Q1 23</v>
      </c>
      <c r="T270" s="395" t="str">
        <f>Quarts!BL4</f>
        <v>Q2 23</v>
      </c>
      <c r="U270" s="395" t="str">
        <f>Quarts!BM4</f>
        <v>Q3 23</v>
      </c>
      <c r="V270" s="395" t="str">
        <f>Quarts!BN4</f>
        <v>Q4 23</v>
      </c>
      <c r="W270" s="395"/>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row>
    <row r="271" spans="1:59">
      <c r="A271" s="203"/>
      <c r="B271" s="336" t="s">
        <v>2030</v>
      </c>
      <c r="C271" s="398">
        <f>Quarts!CV133</f>
        <v>7.4520915006519806E-2</v>
      </c>
      <c r="D271" s="398">
        <f>Quarts!CW133</f>
        <v>9.9988715637431946E-2</v>
      </c>
      <c r="E271" s="398">
        <f>Quarts!CX133</f>
        <v>7.1173242543703052E-2</v>
      </c>
      <c r="F271" s="398">
        <f>Quarts!CY133</f>
        <v>0.10280615600473553</v>
      </c>
      <c r="G271" s="398">
        <f>Quarts!CZ133</f>
        <v>8.4779994455799867E-2</v>
      </c>
      <c r="H271" s="398">
        <f>Quarts!DA133</f>
        <v>4.1193704884096682E-2</v>
      </c>
      <c r="I271" s="398">
        <f>Quarts!DB133</f>
        <v>0.12108672010311361</v>
      </c>
      <c r="J271" s="398">
        <f>Quarts!DC133</f>
        <v>0.10022662484046796</v>
      </c>
      <c r="K271" s="398">
        <f>Quarts!DD133</f>
        <v>8.5425735288004789E-2</v>
      </c>
      <c r="L271" s="398">
        <f>Quarts!DE133</f>
        <v>0.10696331764001732</v>
      </c>
      <c r="M271" s="398">
        <f>Quarts!DF133</f>
        <v>8.3462136253009689E-2</v>
      </c>
      <c r="N271" s="398">
        <f>Quarts!DG133</f>
        <v>0.11560798292316177</v>
      </c>
      <c r="O271" s="398">
        <f>Quarts!DH133</f>
        <v>7.5095097235112318E-2</v>
      </c>
      <c r="P271" s="398">
        <f>Quarts!DI133</f>
        <v>8.190036532713374E-2</v>
      </c>
      <c r="Q271" s="398">
        <f>Quarts!DJ133</f>
        <v>5.0537467535740621E-2</v>
      </c>
      <c r="R271" s="398">
        <f>Quarts!DK133</f>
        <v>8.982001014520069E-3</v>
      </c>
      <c r="S271" s="398">
        <f>Quarts!DL133</f>
        <v>1.2453817390679633E-2</v>
      </c>
      <c r="T271" s="398">
        <f>Quarts!DM133</f>
        <v>9.1392380039059251E-3</v>
      </c>
      <c r="U271" s="398">
        <f>Quarts!DN133</f>
        <v>4.3630639395005E-2</v>
      </c>
      <c r="V271" s="398">
        <f>Quarts!DO133</f>
        <v>0.11004291305379343</v>
      </c>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row>
    <row r="272" spans="1:59">
      <c r="A272" s="203"/>
      <c r="B272" s="336" t="s">
        <v>3002</v>
      </c>
      <c r="C272" s="398">
        <f>Quarts!CV111</f>
        <v>5.4539840838028431E-2</v>
      </c>
      <c r="D272" s="398">
        <f>Quarts!CW111</f>
        <v>9.0788988639036727E-2</v>
      </c>
      <c r="E272" s="398">
        <f>Quarts!CX111</f>
        <v>4.5404742518822205E-2</v>
      </c>
      <c r="F272" s="398">
        <f>Quarts!CY111</f>
        <v>6.7891669364910534E-2</v>
      </c>
      <c r="G272" s="398">
        <f>Quarts!CZ111</f>
        <v>9.4194525292563558E-2</v>
      </c>
      <c r="H272" s="398">
        <f>Quarts!DA111</f>
        <v>3.428765708755499E-2</v>
      </c>
      <c r="I272" s="398">
        <f>Quarts!DB111</f>
        <v>0.14417089160839147</v>
      </c>
      <c r="J272" s="398">
        <f>Quarts!DC111</f>
        <v>0.12686714240852437</v>
      </c>
      <c r="K272" s="398">
        <f>Quarts!DD111</f>
        <v>9.5395834234278887E-2</v>
      </c>
      <c r="L272" s="398">
        <f>Quarts!DE111</f>
        <v>0.11859159936920571</v>
      </c>
      <c r="M272" s="398">
        <f>Quarts!DF111</f>
        <v>8.7841113152216099E-2</v>
      </c>
      <c r="N272" s="398">
        <f>Quarts!DG111</f>
        <v>0.13363084598915265</v>
      </c>
      <c r="O272" s="398">
        <f>Quarts!DH111</f>
        <v>7.8632397287918154E-2</v>
      </c>
      <c r="P272" s="398">
        <f>Quarts!DI111</f>
        <v>8.0107822410147911E-2</v>
      </c>
      <c r="Q272" s="398">
        <f>Quarts!DJ111</f>
        <v>4.6471352287487333E-2</v>
      </c>
      <c r="R272" s="398">
        <f>Quarts!DK111</f>
        <v>2.9770583408494922E-3</v>
      </c>
      <c r="S272" s="398">
        <f>Quarts!DL111</f>
        <v>8.0529148597552336E-3</v>
      </c>
      <c r="T272" s="398">
        <f>Quarts!DM111</f>
        <v>9.2038549644968271E-3</v>
      </c>
      <c r="U272" s="398">
        <f>Quarts!DN111</f>
        <v>5.3525631668893014E-2</v>
      </c>
      <c r="V272" s="398">
        <f>Quarts!DO111</f>
        <v>0.11403042596348878</v>
      </c>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row>
    <row r="273" spans="1:59">
      <c r="A273" s="203"/>
      <c r="B273" s="336" t="s">
        <v>2998</v>
      </c>
      <c r="C273" s="398">
        <v>0.17250129607901998</v>
      </c>
      <c r="D273" s="398">
        <v>0.20118676833852422</v>
      </c>
      <c r="E273" s="398">
        <v>0.14694817658349324</v>
      </c>
      <c r="F273" s="398">
        <v>0.13463314776443558</v>
      </c>
      <c r="G273" s="398">
        <v>4.4960554792767171E-2</v>
      </c>
      <c r="H273" s="398">
        <v>4.0861032255180341E-2</v>
      </c>
      <c r="I273" s="398">
        <v>7.0285829038088332E-2</v>
      </c>
      <c r="J273" s="398">
        <v>9.0165016501650097E-2</v>
      </c>
      <c r="K273" s="398">
        <v>7.6676391332427762E-2</v>
      </c>
      <c r="L273" s="398">
        <v>7.8084398153119405E-2</v>
      </c>
      <c r="M273" s="398">
        <v>5.5830049825922101E-2</v>
      </c>
      <c r="N273" s="398">
        <v>8.2949866795834382E-2</v>
      </c>
      <c r="O273" s="398">
        <v>2.9930087287469487E-2</v>
      </c>
      <c r="P273" s="398">
        <v>-1.3605306667197947E-2</v>
      </c>
      <c r="Q273" s="398">
        <v>-3.0032579721591568E-2</v>
      </c>
      <c r="R273" s="398">
        <v>-5.7121025755712096E-2</v>
      </c>
      <c r="S273" s="398">
        <v>-4.478541160404137E-3</v>
      </c>
      <c r="T273" s="398">
        <v>-3.0655519205137538E-2</v>
      </c>
      <c r="U273" s="398">
        <v>7.6540998290042239E-3</v>
      </c>
      <c r="V273" s="398">
        <v>-2.3277098116339934E-2</v>
      </c>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c r="BG273" s="203"/>
    </row>
    <row r="274" spans="1:59">
      <c r="A274" s="203"/>
      <c r="B274" s="336" t="s">
        <v>3000</v>
      </c>
      <c r="C274" s="398">
        <v>0.17363690832834022</v>
      </c>
      <c r="D274" s="398">
        <v>0.19216538438949904</v>
      </c>
      <c r="E274" s="398">
        <v>0.16096942370015488</v>
      </c>
      <c r="F274" s="398">
        <v>0.13105909920710612</v>
      </c>
      <c r="G274" s="398">
        <v>5.2353481723504069E-2</v>
      </c>
      <c r="H274" s="398">
        <v>2.8203359771417302E-2</v>
      </c>
      <c r="I274" s="398">
        <v>4.9372527125761678E-2</v>
      </c>
      <c r="J274" s="398">
        <v>7.716027077160259E-2</v>
      </c>
      <c r="K274" s="398">
        <v>8.7466951269798976E-2</v>
      </c>
      <c r="L274" s="398">
        <v>7.1964161655846404E-2</v>
      </c>
      <c r="M274" s="398">
        <v>6.0211422358955158E-2</v>
      </c>
      <c r="N274" s="398">
        <v>8.379925750324313E-2</v>
      </c>
      <c r="O274" s="398">
        <v>4.2647157227934773E-2</v>
      </c>
      <c r="P274" s="398">
        <v>4.983574317831363E-2</v>
      </c>
      <c r="Q274" s="398">
        <v>2.9017759741676308E-3</v>
      </c>
      <c r="R274" s="398">
        <v>1.0338210107096124E-2</v>
      </c>
      <c r="S274" s="398">
        <v>1.4375869076906689E-2</v>
      </c>
      <c r="T274" s="398">
        <v>-1.4246784596717466E-2</v>
      </c>
      <c r="U274" s="398">
        <v>1.3696390889116117E-2</v>
      </c>
      <c r="V274" s="398">
        <v>-3.9323994117887229E-2</v>
      </c>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row>
    <row r="275" spans="1:59">
      <c r="A275" s="203"/>
      <c r="B275" s="336" t="s">
        <v>2994</v>
      </c>
      <c r="C275" s="398">
        <f>C279/3/100</f>
        <v>4.1033333333333324E-2</v>
      </c>
      <c r="D275" s="398">
        <f t="shared" ref="D275:T275" si="140">D279/3/100</f>
        <v>4.2139999999999997E-2</v>
      </c>
      <c r="E275" s="398">
        <f t="shared" si="140"/>
        <v>3.3136666666666661E-2</v>
      </c>
      <c r="F275" s="398">
        <f t="shared" si="140"/>
        <v>2.9410000000000002E-2</v>
      </c>
      <c r="G275" s="398">
        <f t="shared" si="140"/>
        <v>3.3943333333333332E-2</v>
      </c>
      <c r="H275" s="398">
        <f t="shared" si="140"/>
        <v>2.7730000000000001E-2</v>
      </c>
      <c r="I275" s="398">
        <f t="shared" si="140"/>
        <v>3.8949999999999999E-2</v>
      </c>
      <c r="J275" s="398">
        <f t="shared" si="140"/>
        <v>3.5229999999999997E-2</v>
      </c>
      <c r="K275" s="398">
        <f t="shared" si="140"/>
        <v>3.9870000000000003E-2</v>
      </c>
      <c r="L275" s="398">
        <f t="shared" si="140"/>
        <v>5.9526666666666658E-2</v>
      </c>
      <c r="M275" s="398">
        <f t="shared" si="140"/>
        <v>5.7993333333333334E-2</v>
      </c>
      <c r="N275" s="398">
        <f t="shared" si="140"/>
        <v>6.989999999999999E-2</v>
      </c>
      <c r="O275" s="398">
        <f t="shared" si="140"/>
        <v>7.2680000000000008E-2</v>
      </c>
      <c r="P275" s="398">
        <f t="shared" si="140"/>
        <v>7.7740000000000004E-2</v>
      </c>
      <c r="Q275" s="398">
        <f t="shared" si="140"/>
        <v>8.5153333333333331E-2</v>
      </c>
      <c r="R275" s="398">
        <f t="shared" si="140"/>
        <v>8.0070000000000002E-2</v>
      </c>
      <c r="S275" s="398">
        <f t="shared" si="140"/>
        <v>7.4593333333333331E-2</v>
      </c>
      <c r="T275" s="398">
        <f t="shared" si="140"/>
        <v>5.7146666666666672E-2</v>
      </c>
      <c r="U275" s="398"/>
      <c r="V275" s="398"/>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row>
    <row r="276" spans="1:59">
      <c r="A276" s="203"/>
      <c r="B276" s="336" t="s">
        <v>350</v>
      </c>
      <c r="C276" s="398">
        <v>3.1026706231454426E-2</v>
      </c>
      <c r="D276" s="398">
        <v>-7.5397223951951919E-2</v>
      </c>
      <c r="E276" s="398">
        <v>5.7294554138769493E-2</v>
      </c>
      <c r="F276" s="398">
        <v>0.19678158832474635</v>
      </c>
      <c r="G276" s="398">
        <v>-5.6905046969976003E-2</v>
      </c>
      <c r="H276" s="398">
        <v>-0.13888919062774929</v>
      </c>
      <c r="I276" s="398">
        <v>-2.8234345064035438E-3</v>
      </c>
      <c r="J276" s="398">
        <v>9.0491001156858486E-2</v>
      </c>
      <c r="K276" s="398">
        <v>6.3268270650992831E-2</v>
      </c>
      <c r="L276" s="398">
        <v>0.1617827002888752</v>
      </c>
      <c r="M276" s="398">
        <v>2.9325513196481134E-2</v>
      </c>
      <c r="N276" s="398">
        <v>0.34803175624559834</v>
      </c>
      <c r="O276" s="398">
        <v>-0.22907099559147692</v>
      </c>
      <c r="P276" s="398">
        <v>-0.27042932528393671</v>
      </c>
      <c r="Q276" s="398">
        <v>-0.35828666863149627</v>
      </c>
      <c r="R276" s="398">
        <v>-0.64271569101757786</v>
      </c>
      <c r="S276" s="398">
        <v>-2.5301186877336179E-2</v>
      </c>
      <c r="T276" s="398">
        <v>-6.2388379568996455E-2</v>
      </c>
      <c r="U276" s="398">
        <v>-2.0973668095529585E-2</v>
      </c>
      <c r="V276" s="398">
        <v>5.3890797574570826E-2</v>
      </c>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row>
    <row r="277" spans="1:59">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c r="BG277" s="203"/>
    </row>
    <row r="278" spans="1:59">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row>
    <row r="279" spans="1:59">
      <c r="A279" s="203"/>
      <c r="B279" s="203"/>
      <c r="C279" s="203">
        <f>4.366+3.94+4.004</f>
        <v>12.309999999999999</v>
      </c>
      <c r="D279" s="203">
        <f>4.413+4.282+3.947</f>
        <v>12.641999999999999</v>
      </c>
      <c r="E279" s="203">
        <f>3.781+3.162+2.998</f>
        <v>9.9409999999999989</v>
      </c>
      <c r="F279" s="203">
        <f>3.02+2.974+2.829</f>
        <v>8.8230000000000004</v>
      </c>
      <c r="G279" s="203">
        <f>3.238+3.696+3.249</f>
        <v>10.183</v>
      </c>
      <c r="H279" s="203">
        <f>2.148+2.837+3.334</f>
        <v>8.3190000000000008</v>
      </c>
      <c r="I279" s="203">
        <f>3.623+4.048+4.014</f>
        <v>11.685</v>
      </c>
      <c r="J279" s="203">
        <f>4.087+3.332+3.15</f>
        <v>10.568999999999999</v>
      </c>
      <c r="K279" s="203">
        <f>3.535+3.759+4.667</f>
        <v>11.961</v>
      </c>
      <c r="L279" s="203">
        <f>6.085+5.894+5.879</f>
        <v>17.857999999999997</v>
      </c>
      <c r="M279" s="203">
        <f>5.806+5.592+6</f>
        <v>17.398</v>
      </c>
      <c r="N279" s="203">
        <f>6.24+7.375+7.355</f>
        <v>20.97</v>
      </c>
      <c r="O279" s="203">
        <f>7.07+7.28+7.454</f>
        <v>21.804000000000002</v>
      </c>
      <c r="P279" s="203">
        <f>7.683+7.653+7.986</f>
        <v>23.321999999999999</v>
      </c>
      <c r="Q279" s="203">
        <f>8.151+8.695+8.7</f>
        <v>25.545999999999999</v>
      </c>
      <c r="R279" s="203">
        <f>8.407+7.797+7.817</f>
        <v>24.021000000000001</v>
      </c>
      <c r="S279" s="203">
        <f>7.91+7.619+6.849</f>
        <v>22.378</v>
      </c>
      <c r="T279" s="203">
        <f>6.253+5.835+5.056</f>
        <v>17.144000000000002</v>
      </c>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row>
    <row r="280" spans="1:59">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row>
    <row r="281" spans="1:59">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row>
    <row r="282" spans="1:59">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row>
    <row r="283" spans="1:59">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row>
    <row r="284" spans="1:59">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row>
    <row r="285" spans="1:59">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row>
    <row r="286" spans="1:59">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row>
    <row r="287" spans="1:59">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row>
    <row r="288" spans="1:59">
      <c r="A288" s="203"/>
      <c r="B288" s="205" t="s">
        <v>280</v>
      </c>
      <c r="C288" s="395">
        <v>2022</v>
      </c>
      <c r="D288" s="395" t="s">
        <v>2988</v>
      </c>
      <c r="E288" s="395" t="s">
        <v>2989</v>
      </c>
      <c r="F288" s="395" t="s">
        <v>2990</v>
      </c>
      <c r="G288" s="395" t="s">
        <v>2991</v>
      </c>
      <c r="H288" s="395" t="s">
        <v>2992</v>
      </c>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row>
    <row r="289" spans="1:59">
      <c r="A289" s="203"/>
      <c r="B289" s="336" t="s">
        <v>2030</v>
      </c>
      <c r="C289" s="398">
        <f>Master!V13</f>
        <v>0.47021753007810002</v>
      </c>
      <c r="D289" s="398">
        <f>Master!W13</f>
        <v>0.44592407770331571</v>
      </c>
      <c r="E289" s="398">
        <f>Master!X13</f>
        <v>0.45496431252884467</v>
      </c>
      <c r="F289" s="398">
        <f>Master!Y13</f>
        <v>0.46365487563887503</v>
      </c>
      <c r="G289" s="398">
        <f>Master!Z13</f>
        <v>0.47298782317584032</v>
      </c>
      <c r="H289" s="398">
        <f>Master!AA13</f>
        <v>0.47284057893930931</v>
      </c>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row>
    <row r="290" spans="1:59">
      <c r="A290" s="203"/>
      <c r="B290" s="336" t="s">
        <v>3002</v>
      </c>
      <c r="C290" s="398">
        <f>Fixed!Q109</f>
        <v>0.49102636189359133</v>
      </c>
      <c r="D290" s="398">
        <f>Fixed!R109</f>
        <v>0.46186161532699932</v>
      </c>
      <c r="E290" s="398">
        <f>Fixed!S109</f>
        <v>0.47</v>
      </c>
      <c r="F290" s="398">
        <f>Fixed!T109</f>
        <v>0.48</v>
      </c>
      <c r="G290" s="398">
        <f>Fixed!U109</f>
        <v>0.49</v>
      </c>
      <c r="H290" s="398">
        <f>Fixed!V109</f>
        <v>0.49</v>
      </c>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row>
    <row r="291" spans="1:59">
      <c r="A291" s="203"/>
      <c r="B291" s="336" t="s">
        <v>2998</v>
      </c>
      <c r="C291" s="398">
        <v>0.41111464560293148</v>
      </c>
      <c r="D291" s="398">
        <v>0.39499999999999996</v>
      </c>
      <c r="E291" s="398">
        <v>0.39400000000000007</v>
      </c>
      <c r="F291" s="398">
        <v>0.39300000000000002</v>
      </c>
      <c r="G291" s="398">
        <v>0.39200000000000002</v>
      </c>
      <c r="H291" s="398">
        <v>0.39100000000000007</v>
      </c>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row>
    <row r="292" spans="1:59">
      <c r="A292" s="203"/>
      <c r="B292" s="336" t="s">
        <v>3000</v>
      </c>
      <c r="C292" s="398">
        <v>0.41299999999999998</v>
      </c>
      <c r="D292" s="398"/>
      <c r="E292" s="398"/>
      <c r="F292" s="398"/>
      <c r="G292" s="398"/>
      <c r="H292" s="398"/>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row>
    <row r="293" spans="1:59">
      <c r="A293" s="203"/>
      <c r="B293" s="336" t="s">
        <v>350</v>
      </c>
      <c r="C293" s="398">
        <v>0.33769466651484376</v>
      </c>
      <c r="D293" s="398">
        <v>0.33183074521740308</v>
      </c>
      <c r="E293" s="398">
        <v>0.32983180467896489</v>
      </c>
      <c r="F293" s="398">
        <v>0.32604267575499329</v>
      </c>
      <c r="G293" s="398">
        <v>0.32320453412064409</v>
      </c>
      <c r="H293" s="398">
        <v>0.32078848494505746</v>
      </c>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row>
    <row r="294" spans="1:59">
      <c r="A294" s="203"/>
      <c r="B294" s="203"/>
      <c r="C294" s="398"/>
      <c r="D294" s="398"/>
      <c r="E294" s="398"/>
      <c r="F294" s="398"/>
      <c r="G294" s="398"/>
      <c r="H294" s="398"/>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row>
    <row r="295" spans="1:59">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row>
    <row r="296" spans="1:59">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row>
    <row r="297" spans="1:59">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row>
    <row r="298" spans="1:59">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row>
    <row r="299" spans="1:59">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row>
    <row r="300" spans="1:59">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row>
    <row r="301" spans="1:59">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row>
    <row r="302" spans="1:59">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row>
    <row r="303" spans="1:59">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row>
    <row r="304" spans="1:59">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row>
    <row r="305" spans="1:59">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c r="BG305" s="203"/>
    </row>
    <row r="306" spans="1:59">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row>
    <row r="307" spans="1:59">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3"/>
      <c r="BC307" s="203"/>
      <c r="BD307" s="203"/>
      <c r="BE307" s="203"/>
      <c r="BF307" s="203"/>
      <c r="BG307" s="203"/>
    </row>
    <row r="308" spans="1:59">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row>
    <row r="309" spans="1:59">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row>
    <row r="310" spans="1:59">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c r="BG310" s="203"/>
    </row>
    <row r="311" spans="1:59">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row>
    <row r="312" spans="1:59">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row>
    <row r="313" spans="1:59">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row>
    <row r="314" spans="1:59">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row>
    <row r="315" spans="1:59">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row>
    <row r="316" spans="1:59">
      <c r="A316" s="203"/>
      <c r="B316" s="205" t="s">
        <v>2995</v>
      </c>
      <c r="C316" s="395" t="str">
        <f>Quarts!BG4</f>
        <v>Q1 22</v>
      </c>
      <c r="D316" s="395" t="str">
        <f>Quarts!BH4</f>
        <v>Q2 22</v>
      </c>
      <c r="E316" s="395" t="str">
        <f>Quarts!BI4</f>
        <v>Q3 22</v>
      </c>
      <c r="F316" s="395" t="str">
        <f>Quarts!BJ4</f>
        <v>Q4 22</v>
      </c>
      <c r="G316" s="395" t="str">
        <f>Quarts!BK4</f>
        <v>Q1 23</v>
      </c>
      <c r="H316" s="395" t="str">
        <f>Quarts!BL4</f>
        <v>Q2 23</v>
      </c>
      <c r="I316" s="395" t="str">
        <f>Quarts!BM4</f>
        <v>Q3 23</v>
      </c>
      <c r="J316" s="395" t="str">
        <f>Quarts!BN4</f>
        <v>Q4 23</v>
      </c>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row>
    <row r="317" spans="1:59">
      <c r="A317" s="203"/>
      <c r="B317" s="336" t="s">
        <v>2030</v>
      </c>
      <c r="C317" s="398">
        <f>Quarts!BG148</f>
        <v>0.35657544938411495</v>
      </c>
      <c r="D317" s="398">
        <f>Quarts!BH148</f>
        <v>0.41848857373526199</v>
      </c>
      <c r="E317" s="398">
        <f>Quarts!BI148</f>
        <v>0.40739555447361803</v>
      </c>
      <c r="F317" s="398">
        <f>Quarts!BJ148</f>
        <v>0.5512150563800321</v>
      </c>
      <c r="G317" s="398">
        <f>Quarts!BK148</f>
        <v>0.3124917857304646</v>
      </c>
      <c r="H317" s="398">
        <f>Quarts!BL148</f>
        <v>0.3973585017224745</v>
      </c>
      <c r="I317" s="398">
        <f>Quarts!BM148</f>
        <v>0.50649262401760253</v>
      </c>
      <c r="J317" s="398">
        <f>Quarts!BN148</f>
        <v>0.50802611228752192</v>
      </c>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row>
    <row r="318" spans="1:59">
      <c r="A318" s="203"/>
      <c r="B318" s="336" t="s">
        <v>2996</v>
      </c>
      <c r="C318" s="398">
        <v>0.29230576196170288</v>
      </c>
      <c r="D318" s="398">
        <v>0.31365276090343691</v>
      </c>
      <c r="E318" s="398">
        <v>0.26577376042170947</v>
      </c>
      <c r="F318" s="398">
        <v>0.20578417273113853</v>
      </c>
      <c r="G318" s="398">
        <v>0.25767230072508601</v>
      </c>
      <c r="H318" s="398">
        <v>0.21894325346784368</v>
      </c>
      <c r="I318" s="398">
        <v>0.19813054108117453</v>
      </c>
      <c r="J318" s="398">
        <v>0.24703972092415283</v>
      </c>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row>
    <row r="319" spans="1:59">
      <c r="A319" s="203"/>
      <c r="B319" s="203" t="s">
        <v>2114</v>
      </c>
      <c r="C319" s="398">
        <v>0.6105038022813688</v>
      </c>
      <c r="D319" s="398">
        <v>0.6294256490952006</v>
      </c>
      <c r="E319" s="398">
        <v>0.66645168225303664</v>
      </c>
      <c r="F319" s="398">
        <v>0.56491372226787184</v>
      </c>
      <c r="G319" s="398">
        <v>0.41726032973743132</v>
      </c>
      <c r="H319" s="398">
        <v>0.40336475119083814</v>
      </c>
      <c r="I319" s="398">
        <v>0.36888318863456987</v>
      </c>
      <c r="J319" s="398">
        <v>0.35666104553119732</v>
      </c>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3"/>
      <c r="BC319" s="203"/>
      <c r="BD319" s="203"/>
      <c r="BE319" s="203"/>
      <c r="BF319" s="203"/>
      <c r="BG319" s="203"/>
    </row>
    <row r="320" spans="1:59">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row>
    <row r="321" spans="1:59">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row>
    <row r="322" spans="1:59">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row>
    <row r="323" spans="1:59">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row>
    <row r="324" spans="1:59">
      <c r="A324" s="203"/>
      <c r="B324" s="205" t="s">
        <v>2995</v>
      </c>
      <c r="C324" s="395" t="s">
        <v>2988</v>
      </c>
      <c r="D324" s="395" t="s">
        <v>2989</v>
      </c>
      <c r="E324" s="395" t="s">
        <v>2990</v>
      </c>
      <c r="F324" s="395" t="s">
        <v>2991</v>
      </c>
      <c r="G324" s="395" t="s">
        <v>2992</v>
      </c>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row>
    <row r="325" spans="1:59">
      <c r="A325" s="203"/>
      <c r="B325" s="336" t="s">
        <v>2030</v>
      </c>
      <c r="C325" s="399">
        <f>Master!W45</f>
        <v>0.43350404780094365</v>
      </c>
      <c r="D325" s="399">
        <f>Master!X45</f>
        <v>0.33</v>
      </c>
      <c r="E325" s="399">
        <f>Master!Y45</f>
        <v>0.28000000000000003</v>
      </c>
      <c r="F325" s="399">
        <f>Master!Z45</f>
        <v>0.25</v>
      </c>
      <c r="G325" s="399">
        <f>Master!AA45</f>
        <v>0.23</v>
      </c>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row>
    <row r="326" spans="1:59">
      <c r="A326" s="203"/>
      <c r="B326" s="336" t="s">
        <v>2996</v>
      </c>
      <c r="C326" s="399">
        <v>0.25</v>
      </c>
      <c r="D326" s="399">
        <v>0.25</v>
      </c>
      <c r="E326" s="399">
        <v>0.25</v>
      </c>
      <c r="F326" s="399">
        <v>0.25</v>
      </c>
      <c r="G326" s="399">
        <v>0.23</v>
      </c>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row>
    <row r="327" spans="1:59">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row>
    <row r="328" spans="1:59">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row>
    <row r="329" spans="1:59">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c r="BG329" s="203"/>
    </row>
    <row r="330" spans="1:59">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c r="BG330" s="203"/>
    </row>
    <row r="331" spans="1:59">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c r="BG331" s="203"/>
    </row>
    <row r="332" spans="1:59">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c r="BG332" s="203"/>
    </row>
    <row r="333" spans="1:59">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row>
    <row r="334" spans="1:59">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row>
    <row r="335" spans="1:59">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row>
    <row r="336" spans="1:59">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c r="BG336" s="203"/>
    </row>
    <row r="337" spans="1:59">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row>
    <row r="338" spans="1:59">
      <c r="A338" s="203"/>
      <c r="B338" s="203"/>
      <c r="C338" s="225"/>
      <c r="D338" s="225"/>
      <c r="E338" s="665" t="s">
        <v>620</v>
      </c>
      <c r="F338" s="395" t="s">
        <v>3178</v>
      </c>
      <c r="G338" s="395" t="s">
        <v>3161</v>
      </c>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c r="BG338" s="203"/>
    </row>
    <row r="339" spans="1:59">
      <c r="A339" s="203"/>
      <c r="B339" s="205" t="s">
        <v>2995</v>
      </c>
      <c r="C339" s="395" t="s">
        <v>3183</v>
      </c>
      <c r="D339" s="395" t="s">
        <v>3184</v>
      </c>
      <c r="E339" s="662" t="s">
        <v>3185</v>
      </c>
      <c r="F339" s="395" t="s">
        <v>3185</v>
      </c>
      <c r="G339" s="395" t="s">
        <v>3185</v>
      </c>
      <c r="I339" s="395" t="s">
        <v>3187</v>
      </c>
      <c r="J339" s="395"/>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row>
    <row r="340" spans="1:59">
      <c r="A340" s="203"/>
      <c r="B340" s="666" t="s">
        <v>2030</v>
      </c>
      <c r="C340" s="667">
        <f>AVERAGE(C317:F317)</f>
        <v>0.43341865849325678</v>
      </c>
      <c r="D340" s="667">
        <f>AVERAGE(G317:J317)</f>
        <v>0.43109225593951594</v>
      </c>
      <c r="E340" s="668" t="s">
        <v>3172</v>
      </c>
      <c r="F340" s="667">
        <f>11465/32757</f>
        <v>0.35000152639130566</v>
      </c>
      <c r="G340" s="667">
        <f>AVERAGE(Quarts!BO148:BR148)</f>
        <v>0.32973260765808715</v>
      </c>
      <c r="I340" s="398">
        <v>0.2</v>
      </c>
      <c r="J340" s="398"/>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row>
    <row r="341" spans="1:59">
      <c r="A341" s="203"/>
      <c r="B341" s="336" t="s">
        <v>3191</v>
      </c>
      <c r="C341" s="398">
        <f t="shared" ref="C341" si="141">AVERAGE(C318:F318)</f>
        <v>0.26937911400449693</v>
      </c>
      <c r="D341" s="398">
        <f>AVERAGE(G318:J318)</f>
        <v>0.23044645404956426</v>
      </c>
      <c r="E341" s="663" t="s">
        <v>3201</v>
      </c>
      <c r="F341" s="398">
        <f>11351/49786</f>
        <v>0.2279958221186679</v>
      </c>
      <c r="G341" s="398">
        <v>0.22</v>
      </c>
      <c r="H341" s="398"/>
      <c r="I341" s="398"/>
      <c r="J341" s="398"/>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c r="BG341" s="203"/>
    </row>
    <row r="342" spans="1:59">
      <c r="A342" s="203"/>
      <c r="B342" s="669" t="s">
        <v>2114</v>
      </c>
      <c r="C342" s="667">
        <f t="shared" ref="C342" si="142">AVERAGE(C319:F319)</f>
        <v>0.61782371397436953</v>
      </c>
      <c r="D342" s="667">
        <f>AVERAGE(G319:J319)</f>
        <v>0.38654232877350919</v>
      </c>
      <c r="E342" s="668" t="s">
        <v>3186</v>
      </c>
      <c r="F342" s="667" t="s">
        <v>3190</v>
      </c>
      <c r="G342" s="667">
        <v>0.34</v>
      </c>
      <c r="H342" s="398"/>
      <c r="I342" s="398"/>
      <c r="J342" s="398"/>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c r="BG342" s="203"/>
    </row>
    <row r="343" spans="1:59">
      <c r="A343" s="203"/>
      <c r="B343" s="203" t="s">
        <v>3192</v>
      </c>
      <c r="C343" s="398">
        <v>0.18922180080307779</v>
      </c>
      <c r="D343" s="398">
        <v>0.19158862174989857</v>
      </c>
      <c r="E343" s="664" t="s">
        <v>3202</v>
      </c>
      <c r="F343" s="398">
        <f>126738/822739</f>
        <v>0.15404399208011288</v>
      </c>
      <c r="G343" s="398">
        <v>0.15</v>
      </c>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3"/>
      <c r="BC343" s="203"/>
      <c r="BD343" s="203"/>
      <c r="BE343" s="203"/>
      <c r="BF343" s="203"/>
      <c r="BG343" s="203"/>
    </row>
    <row r="344" spans="1:59">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row>
    <row r="345" spans="1:59">
      <c r="A345" s="203"/>
      <c r="B345" s="203"/>
      <c r="C345" s="203"/>
      <c r="D345" s="203"/>
      <c r="E345" s="665" t="s">
        <v>620</v>
      </c>
      <c r="F345" s="395" t="s">
        <v>3178</v>
      </c>
      <c r="G345" s="395" t="s">
        <v>3161</v>
      </c>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row>
    <row r="346" spans="1:59">
      <c r="A346" s="203"/>
      <c r="B346" s="205" t="s">
        <v>3189</v>
      </c>
      <c r="C346" s="395" t="s">
        <v>3183</v>
      </c>
      <c r="D346" s="395" t="s">
        <v>3184</v>
      </c>
      <c r="E346" s="662" t="s">
        <v>3185</v>
      </c>
      <c r="F346" s="395" t="s">
        <v>3185</v>
      </c>
      <c r="G346" s="395" t="s">
        <v>3185</v>
      </c>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c r="BG346" s="203"/>
    </row>
    <row r="347" spans="1:59">
      <c r="A347" s="203"/>
      <c r="B347" s="666" t="s">
        <v>2030</v>
      </c>
      <c r="C347" s="670">
        <f>Quarts!BG151+Quarts!BH151+Quarts!BI151+Quarts!BJ151</f>
        <v>591.15403467761621</v>
      </c>
      <c r="D347" s="670">
        <f>Quarts!BK151+Quarts!BL151+Quarts!BM151+Quarts!BN151</f>
        <v>735.20439429092448</v>
      </c>
      <c r="E347" s="682" t="s">
        <v>3199</v>
      </c>
      <c r="F347" s="670">
        <f>11465/17.08</f>
        <v>671.25292740046848</v>
      </c>
      <c r="G347" s="670">
        <f>Quarts!BO151+Quarts!BP151+Quarts!BQ151+Quarts!BR151</f>
        <v>640.13782601803132</v>
      </c>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row>
    <row r="348" spans="1:59">
      <c r="A348" s="203"/>
      <c r="B348" s="336" t="s">
        <v>3191</v>
      </c>
      <c r="C348" s="661">
        <v>645.9</v>
      </c>
      <c r="D348" s="661">
        <v>633</v>
      </c>
      <c r="E348" s="663" t="s">
        <v>3188</v>
      </c>
      <c r="F348" s="661">
        <f>11351/17.08</f>
        <v>664.57845433255272</v>
      </c>
      <c r="G348" s="661">
        <v>630</v>
      </c>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row>
    <row r="349" spans="1:59">
      <c r="A349" s="203"/>
      <c r="B349" s="669" t="s">
        <v>2114</v>
      </c>
      <c r="C349" s="670">
        <v>1117</v>
      </c>
      <c r="D349" s="670">
        <v>880.9</v>
      </c>
      <c r="E349" s="671" t="s">
        <v>3200</v>
      </c>
      <c r="F349" s="683" t="s">
        <v>3190</v>
      </c>
      <c r="G349" s="670">
        <f>13000/17.08</f>
        <v>761.12412177985959</v>
      </c>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c r="BG349" s="203"/>
    </row>
    <row r="350" spans="1:59">
      <c r="A350" s="203"/>
      <c r="B350" s="203" t="s">
        <v>3192</v>
      </c>
      <c r="C350" s="661">
        <v>7946.1959224266539</v>
      </c>
      <c r="D350" s="661">
        <v>8812.7850056369789</v>
      </c>
      <c r="E350" s="664" t="s">
        <v>3203</v>
      </c>
      <c r="F350" s="661">
        <f>126738/17.08</f>
        <v>7420.2576112412189</v>
      </c>
      <c r="G350" s="661">
        <v>7159.4588888482867</v>
      </c>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c r="BG350" s="203"/>
    </row>
    <row r="351" spans="1:59">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row>
    <row r="352" spans="1:59">
      <c r="A352" s="203"/>
      <c r="B352" s="672"/>
      <c r="C352" s="672"/>
      <c r="D352" s="672"/>
      <c r="E352" s="673" t="s">
        <v>620</v>
      </c>
      <c r="F352" s="674" t="s">
        <v>3178</v>
      </c>
      <c r="G352" s="674" t="s">
        <v>3161</v>
      </c>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c r="BG352" s="203"/>
    </row>
    <row r="353" spans="1:59">
      <c r="A353" s="203"/>
      <c r="B353" s="675" t="s">
        <v>3189</v>
      </c>
      <c r="C353" s="674" t="s">
        <v>3183</v>
      </c>
      <c r="D353" s="674" t="s">
        <v>3184</v>
      </c>
      <c r="E353" s="676" t="s">
        <v>3185</v>
      </c>
      <c r="F353" s="674" t="s">
        <v>3185</v>
      </c>
      <c r="G353" s="674" t="s">
        <v>3185</v>
      </c>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row>
    <row r="354" spans="1:59">
      <c r="A354" s="203"/>
      <c r="B354" s="677" t="s">
        <v>2030</v>
      </c>
      <c r="C354" s="678">
        <v>591.15403467761621</v>
      </c>
      <c r="D354" s="678">
        <v>735.20439429092448</v>
      </c>
      <c r="E354" s="679">
        <v>650</v>
      </c>
      <c r="F354" s="678">
        <v>671.25292740046848</v>
      </c>
      <c r="G354" s="678">
        <v>650.49537117803288</v>
      </c>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row>
    <row r="355" spans="1:59">
      <c r="A355" s="203"/>
      <c r="B355" s="677" t="s">
        <v>3191</v>
      </c>
      <c r="C355" s="678">
        <v>645.9</v>
      </c>
      <c r="D355" s="678">
        <v>633</v>
      </c>
      <c r="E355" s="678">
        <v>630</v>
      </c>
      <c r="F355" s="678">
        <v>664.57845433255272</v>
      </c>
      <c r="G355" s="678">
        <v>630</v>
      </c>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row>
    <row r="356" spans="1:59">
      <c r="A356" s="203"/>
      <c r="B356" s="672" t="s">
        <v>2114</v>
      </c>
      <c r="C356" s="678">
        <v>1117</v>
      </c>
      <c r="D356" s="678">
        <v>880.9</v>
      </c>
      <c r="E356" s="680">
        <f>(790+730)/2</f>
        <v>760</v>
      </c>
      <c r="F356" s="681" t="s">
        <v>3190</v>
      </c>
      <c r="G356" s="678">
        <v>761.12412177985959</v>
      </c>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row>
    <row r="357" spans="1:59">
      <c r="A357" s="203"/>
      <c r="B357" s="672" t="s">
        <v>3192</v>
      </c>
      <c r="C357" s="678">
        <v>7946.1959224266539</v>
      </c>
      <c r="D357" s="678">
        <v>8812.7850056369789</v>
      </c>
      <c r="E357" s="678">
        <v>7000</v>
      </c>
      <c r="F357" s="678">
        <v>7420.2576112412189</v>
      </c>
      <c r="G357" s="678">
        <v>7159.4588888482867</v>
      </c>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row>
    <row r="358" spans="1:59">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3"/>
      <c r="BC358" s="203"/>
      <c r="BD358" s="203"/>
      <c r="BE358" s="203"/>
      <c r="BF358" s="203"/>
      <c r="BG358" s="203"/>
    </row>
    <row r="359" spans="1:59">
      <c r="A359" s="203"/>
      <c r="B359" s="203"/>
      <c r="C359" s="203"/>
      <c r="D359" s="203"/>
      <c r="E359" s="203"/>
      <c r="F359" s="203"/>
      <c r="G359" s="674" t="s">
        <v>3161</v>
      </c>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3"/>
      <c r="BC359" s="203"/>
      <c r="BD359" s="203"/>
      <c r="BE359" s="203"/>
      <c r="BF359" s="203"/>
      <c r="BG359" s="203"/>
    </row>
    <row r="360" spans="1:59">
      <c r="A360" s="203"/>
      <c r="B360" s="675" t="s">
        <v>3198</v>
      </c>
      <c r="C360" s="203"/>
      <c r="D360" s="203"/>
      <c r="E360" s="203"/>
      <c r="F360" s="203"/>
      <c r="G360" s="674" t="s">
        <v>3185</v>
      </c>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row>
    <row r="361" spans="1:59">
      <c r="A361" s="203"/>
      <c r="B361" s="677" t="s">
        <v>2030</v>
      </c>
      <c r="C361" s="203"/>
      <c r="D361" s="203"/>
      <c r="E361" s="203"/>
      <c r="F361" s="203"/>
      <c r="G361" s="678">
        <f>SUM(Quarts!BO99:BR99)</f>
        <v>33085.7435653906</v>
      </c>
      <c r="H361" s="203">
        <f>34%*G361/17.08</f>
        <v>658.61550422908704</v>
      </c>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row>
    <row r="362" spans="1:59">
      <c r="A362" s="203"/>
      <c r="B362" s="677" t="s">
        <v>3191</v>
      </c>
      <c r="C362" s="203"/>
      <c r="D362" s="203"/>
      <c r="E362" s="663">
        <f>630/(50366/17.08)</f>
        <v>0.21364412500496366</v>
      </c>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row>
    <row r="363" spans="1:59">
      <c r="A363" s="203"/>
      <c r="B363" s="672" t="s">
        <v>2114</v>
      </c>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row>
    <row r="364" spans="1:59">
      <c r="A364" s="203"/>
      <c r="B364" s="672" t="s">
        <v>3192</v>
      </c>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row>
    <row r="365" spans="1:59">
      <c r="A365" s="203"/>
      <c r="H365" s="395"/>
      <c r="I365" s="395"/>
      <c r="J365" s="395"/>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row>
    <row r="366" spans="1:59">
      <c r="A366" s="203"/>
      <c r="B366" s="677" t="s">
        <v>608</v>
      </c>
      <c r="C366">
        <v>17.079999999999998</v>
      </c>
      <c r="H366" s="398"/>
      <c r="I366" s="398"/>
      <c r="J366" s="398"/>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c r="BG366" s="203"/>
    </row>
    <row r="367" spans="1:59">
      <c r="A367" s="203"/>
      <c r="H367" s="398"/>
      <c r="I367" s="398"/>
      <c r="J367" s="398"/>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c r="BC367" s="203"/>
      <c r="BD367" s="203"/>
      <c r="BE367" s="203"/>
      <c r="BF367" s="203"/>
      <c r="BG367" s="203"/>
    </row>
    <row r="368" spans="1:59">
      <c r="A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c r="BC368" s="203"/>
      <c r="BD368" s="203"/>
      <c r="BE368" s="203"/>
      <c r="BF368" s="203"/>
      <c r="BG368" s="203"/>
    </row>
    <row r="369" spans="1:59">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c r="BF369" s="203"/>
      <c r="BG369" s="203"/>
    </row>
    <row r="370" spans="1:59">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3"/>
      <c r="BC370" s="203"/>
      <c r="BD370" s="203"/>
      <c r="BE370" s="203"/>
      <c r="BF370" s="203"/>
      <c r="BG370" s="203"/>
    </row>
    <row r="371" spans="1:59">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3"/>
      <c r="BC371" s="203"/>
      <c r="BD371" s="203"/>
      <c r="BE371" s="203"/>
      <c r="BF371" s="203"/>
      <c r="BG371" s="203"/>
    </row>
    <row r="372" spans="1:59">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row>
    <row r="373" spans="1:59">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row>
    <row r="374" spans="1:59">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row>
    <row r="375" spans="1:59">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3"/>
      <c r="BC375" s="203"/>
      <c r="BD375" s="203"/>
      <c r="BE375" s="203"/>
      <c r="BF375" s="203"/>
      <c r="BG375" s="203"/>
    </row>
    <row r="376" spans="1:59">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3"/>
      <c r="BC376" s="203"/>
      <c r="BD376" s="203"/>
      <c r="BE376" s="203"/>
      <c r="BF376" s="203"/>
      <c r="BG376" s="203"/>
    </row>
    <row r="377" spans="1:59">
      <c r="A377" s="203"/>
      <c r="B377" s="205"/>
      <c r="C377" s="205">
        <v>2012</v>
      </c>
      <c r="D377" s="205">
        <v>2013</v>
      </c>
      <c r="E377" s="205">
        <v>2014</v>
      </c>
      <c r="F377" s="205">
        <v>2015</v>
      </c>
      <c r="G377" s="205">
        <v>2016</v>
      </c>
      <c r="H377" s="205">
        <v>2017</v>
      </c>
      <c r="I377" s="205">
        <v>2018</v>
      </c>
      <c r="J377" s="205">
        <v>2019</v>
      </c>
      <c r="K377" s="205">
        <v>2020</v>
      </c>
      <c r="L377" s="205">
        <v>2021</v>
      </c>
      <c r="M377" s="205">
        <v>2022</v>
      </c>
      <c r="N377" s="205" t="s">
        <v>2988</v>
      </c>
      <c r="O377" s="205" t="s">
        <v>2989</v>
      </c>
      <c r="P377" s="205" t="s">
        <v>2990</v>
      </c>
      <c r="Q377" s="205" t="s">
        <v>2991</v>
      </c>
      <c r="R377" s="205" t="s">
        <v>2992</v>
      </c>
      <c r="S377" s="205" t="s">
        <v>3070</v>
      </c>
      <c r="T377" s="205" t="s">
        <v>3071</v>
      </c>
      <c r="U377" s="205" t="s">
        <v>3072</v>
      </c>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row>
    <row r="378" spans="1:59">
      <c r="A378" s="203"/>
      <c r="B378" s="203" t="s">
        <v>2995</v>
      </c>
      <c r="C378" s="660">
        <f>Anna!Q22/Anna!Q18</f>
        <v>0.22112064163974601</v>
      </c>
      <c r="D378" s="660">
        <f>Anna!R22/Anna!R18</f>
        <v>0.1986491855383393</v>
      </c>
      <c r="E378" s="660">
        <f>Anna!S22/Anna!S18</f>
        <v>0.20357298474945534</v>
      </c>
      <c r="F378" s="660">
        <f>Anna!T22/Anna!T18</f>
        <v>0.25863845572576766</v>
      </c>
      <c r="G378" s="660">
        <f>Anna!U22/Anna!U18</f>
        <v>0.28743291855870734</v>
      </c>
      <c r="H378" s="660">
        <f>Anna!V22/Anna!V18</f>
        <v>0.27141782842598483</v>
      </c>
      <c r="I378" s="660">
        <f>Anna!W22/Anna!W18</f>
        <v>0.29600344721136035</v>
      </c>
      <c r="J378" s="660">
        <f>Anna!X22/Anna!X18</f>
        <v>0.30249027957785596</v>
      </c>
      <c r="K378" s="660">
        <f>Anna!Y22/Anna!Y18</f>
        <v>0.36103292677478444</v>
      </c>
      <c r="L378" s="660">
        <f>Anna!Z22/Anna!Z18</f>
        <v>0.38428890963708695</v>
      </c>
      <c r="M378" s="660">
        <f>Anna!AA22/Anna!AA18</f>
        <v>0.4358592560527671</v>
      </c>
      <c r="N378" s="660">
        <f>Anna!AB22/Anna!AB18</f>
        <v>0.43350404780094365</v>
      </c>
      <c r="O378" s="660">
        <f>Anna!AC22/Anna!AC18</f>
        <v>0.33</v>
      </c>
      <c r="P378" s="660">
        <f>Anna!AD22/Anna!AD18</f>
        <v>0.28000000000000003</v>
      </c>
      <c r="Q378" s="660">
        <f>Anna!AE22/Anna!AE18</f>
        <v>0.25</v>
      </c>
      <c r="R378" s="660">
        <f>Anna!AF22/Anna!AF18</f>
        <v>0.23</v>
      </c>
      <c r="S378" s="660">
        <f>Anna!AG22/Anna!AG18</f>
        <v>0.23</v>
      </c>
      <c r="T378" s="660">
        <f>Anna!AH22/Anna!AH18</f>
        <v>0.22999999999999998</v>
      </c>
      <c r="U378" s="660">
        <f>Anna!AI22/Anna!AI18</f>
        <v>0.23000000000000004</v>
      </c>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3"/>
      <c r="BC378" s="203"/>
      <c r="BD378" s="203"/>
      <c r="BE378" s="203"/>
      <c r="BF378" s="203"/>
      <c r="BG378" s="203"/>
    </row>
    <row r="379" spans="1:59">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c r="BG379" s="203"/>
    </row>
    <row r="380" spans="1:59">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row>
    <row r="381" spans="1:59">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3"/>
      <c r="BC381" s="203"/>
      <c r="BD381" s="203"/>
      <c r="BE381" s="203"/>
      <c r="BF381" s="203"/>
      <c r="BG381" s="203"/>
    </row>
    <row r="382" spans="1:59">
      <c r="A382" s="203"/>
      <c r="B382" s="203"/>
      <c r="C382" s="205">
        <v>2012</v>
      </c>
      <c r="D382" s="205">
        <v>2013</v>
      </c>
      <c r="E382" s="205">
        <v>2014</v>
      </c>
      <c r="F382" s="205">
        <v>2015</v>
      </c>
      <c r="G382" s="205">
        <v>2016</v>
      </c>
      <c r="H382" s="205">
        <v>2017</v>
      </c>
      <c r="I382" s="205">
        <v>2018</v>
      </c>
      <c r="J382" s="205">
        <v>2019</v>
      </c>
      <c r="K382" s="205">
        <v>2020</v>
      </c>
      <c r="L382" s="205">
        <v>2021</v>
      </c>
      <c r="M382" s="205">
        <v>2022</v>
      </c>
      <c r="N382" s="205" t="s">
        <v>2988</v>
      </c>
      <c r="O382" s="205" t="s">
        <v>2989</v>
      </c>
      <c r="P382" s="205" t="s">
        <v>2990</v>
      </c>
      <c r="Q382" s="205" t="s">
        <v>2991</v>
      </c>
      <c r="R382" s="205" t="s">
        <v>2992</v>
      </c>
      <c r="S382" s="205" t="s">
        <v>3070</v>
      </c>
      <c r="T382" s="205" t="s">
        <v>3071</v>
      </c>
      <c r="U382" s="205" t="s">
        <v>3072</v>
      </c>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row>
    <row r="383" spans="1:59">
      <c r="A383" s="203"/>
      <c r="B383" s="203" t="s">
        <v>3073</v>
      </c>
      <c r="C383" s="614">
        <f>Anna!Q109/1000</f>
        <v>1.792</v>
      </c>
      <c r="D383" s="614">
        <f>Anna!R109/1000</f>
        <v>2.3559999999999999</v>
      </c>
      <c r="E383" s="614">
        <f>Anna!S109/1000</f>
        <v>2.5110000000000001</v>
      </c>
      <c r="F383" s="614">
        <f>Anna!T109/1000</f>
        <v>2.0779999999999998</v>
      </c>
      <c r="G383" s="614">
        <f>Anna!U109/1000</f>
        <v>2.0409999999999999</v>
      </c>
      <c r="H383" s="614">
        <f>Anna!V109/1000</f>
        <v>3.0230000000000001</v>
      </c>
      <c r="I383" s="614">
        <f>Anna!W109/1000</f>
        <v>3.5938770000000004</v>
      </c>
      <c r="J383" s="614">
        <f>Anna!X109/1000</f>
        <v>3.6259999999999999</v>
      </c>
      <c r="K383" s="614">
        <f>Anna!Y109/1000</f>
        <v>2.956</v>
      </c>
      <c r="L383" s="614">
        <f>Anna!Z109/1000</f>
        <v>2.6494269999999998</v>
      </c>
      <c r="M383" s="614">
        <f>Anna!AA109/1000</f>
        <v>0.93301800000000001</v>
      </c>
      <c r="N383" s="614">
        <f>Anna!AB109/1000</f>
        <v>0.37099300000000041</v>
      </c>
      <c r="O383" s="614">
        <f>Anna!AC109/1000</f>
        <v>4.134537199154682</v>
      </c>
      <c r="P383" s="614">
        <f>Anna!AD109/1000</f>
        <v>6.6164801158187236</v>
      </c>
      <c r="Q383" s="614">
        <f>Anna!AE109/1000</f>
        <v>8.6405245983139594</v>
      </c>
      <c r="R383" s="614">
        <f>Anna!AF109/1000</f>
        <v>9.953593332301562</v>
      </c>
      <c r="S383" s="614">
        <f>Anna!AG109/1000</f>
        <v>10.444827373889973</v>
      </c>
      <c r="T383" s="614">
        <f>Anna!AH109/1000</f>
        <v>10.922089516628052</v>
      </c>
      <c r="U383" s="614">
        <f>Anna!AI109/1000</f>
        <v>11.406958735792134</v>
      </c>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3"/>
      <c r="BC383" s="203"/>
      <c r="BD383" s="203"/>
      <c r="BE383" s="203"/>
      <c r="BF383" s="203"/>
      <c r="BG383" s="203"/>
    </row>
    <row r="384" spans="1:59">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row>
    <row r="385" spans="1:59">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row>
    <row r="386" spans="1:59">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3"/>
      <c r="BC386" s="203"/>
      <c r="BD386" s="203"/>
      <c r="BE386" s="203"/>
      <c r="BF386" s="203"/>
      <c r="BG386" s="203"/>
    </row>
    <row r="387" spans="1:59">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row>
    <row r="388" spans="1:59">
      <c r="A388" s="203"/>
      <c r="B388" s="203"/>
      <c r="C388" s="205">
        <v>2012</v>
      </c>
      <c r="D388" s="205">
        <v>2013</v>
      </c>
      <c r="E388" s="205">
        <v>2014</v>
      </c>
      <c r="F388" s="205">
        <v>2015</v>
      </c>
      <c r="G388" s="205">
        <v>2016</v>
      </c>
      <c r="H388" s="205">
        <v>2017</v>
      </c>
      <c r="I388" s="205">
        <v>2018</v>
      </c>
      <c r="J388" s="205">
        <v>2019</v>
      </c>
      <c r="K388" s="205">
        <v>2020</v>
      </c>
      <c r="L388" s="205">
        <v>2021</v>
      </c>
      <c r="M388" s="205">
        <v>2022</v>
      </c>
      <c r="N388" s="205">
        <v>2023</v>
      </c>
      <c r="O388" s="205">
        <v>2024</v>
      </c>
      <c r="P388" s="205">
        <v>2025</v>
      </c>
      <c r="Q388" s="205">
        <v>2026</v>
      </c>
      <c r="R388" s="205">
        <v>2027</v>
      </c>
      <c r="S388" s="205">
        <v>2028</v>
      </c>
      <c r="T388" s="205">
        <v>2029</v>
      </c>
      <c r="U388" s="205">
        <v>2030</v>
      </c>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3"/>
      <c r="BC388" s="203"/>
      <c r="BD388" s="203"/>
      <c r="BE388" s="203"/>
      <c r="BF388" s="203"/>
      <c r="BG388" s="203"/>
    </row>
    <row r="389" spans="1:59">
      <c r="A389" s="203"/>
      <c r="B389" s="203" t="s">
        <v>367</v>
      </c>
      <c r="C389" s="392">
        <f>Anna!Q18</f>
        <v>8977</v>
      </c>
      <c r="D389" s="392">
        <f>Anna!R18</f>
        <v>10068</v>
      </c>
      <c r="E389" s="392">
        <f>Anna!S18</f>
        <v>11475</v>
      </c>
      <c r="F389" s="392">
        <f>Anna!T18</f>
        <v>14557</v>
      </c>
      <c r="G389" s="392">
        <f>Anna!U18</f>
        <v>16957</v>
      </c>
      <c r="H389" s="392">
        <f>Anna!V18</f>
        <v>17287</v>
      </c>
      <c r="I389" s="392">
        <f>Anna!W18</f>
        <v>19436</v>
      </c>
      <c r="J389" s="392">
        <f>Anna!X18</f>
        <v>21604</v>
      </c>
      <c r="K389" s="392">
        <f>Anna!Y18</f>
        <v>22383</v>
      </c>
      <c r="L389" s="392">
        <f>Anna!Z18</f>
        <v>24634</v>
      </c>
      <c r="M389" s="392">
        <f>Anna!AA18</f>
        <v>27155.555</v>
      </c>
      <c r="N389" s="392">
        <f>Anna!AB18</f>
        <v>29870.54</v>
      </c>
      <c r="O389" s="392">
        <f>Anna!AC18</f>
        <v>33085.7435653906</v>
      </c>
      <c r="P389" s="392">
        <f>Anna!AD18</f>
        <v>36026.705486593608</v>
      </c>
      <c r="Q389" s="392">
        <f>Anna!AE18</f>
        <v>38748.862943517532</v>
      </c>
      <c r="R389" s="392">
        <f>Anna!AF18</f>
        <v>40988.179882362921</v>
      </c>
      <c r="S389" s="392">
        <f>Anna!AG18</f>
        <v>43060.801348991758</v>
      </c>
      <c r="T389" s="392">
        <f>Anna!AH18</f>
        <v>45094.405156194065</v>
      </c>
      <c r="U389" s="392">
        <f>Anna!AI18</f>
        <v>47173.29426766243</v>
      </c>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row>
    <row r="390" spans="1:59">
      <c r="A390" s="203"/>
      <c r="B390" s="203" t="s">
        <v>2114</v>
      </c>
      <c r="C390" s="392"/>
      <c r="D390" s="392"/>
      <c r="E390" s="392"/>
      <c r="F390" s="392"/>
      <c r="G390" s="392"/>
      <c r="H390" s="392"/>
      <c r="I390" s="392"/>
      <c r="J390" s="392"/>
      <c r="K390" s="392">
        <v>19558.143</v>
      </c>
      <c r="L390" s="392">
        <v>28088</v>
      </c>
      <c r="M390" s="392">
        <v>36352</v>
      </c>
      <c r="N390" s="392">
        <v>40781.2526975</v>
      </c>
      <c r="O390" s="392">
        <v>44280.485716349998</v>
      </c>
      <c r="P390" s="392">
        <v>47156.009165875992</v>
      </c>
      <c r="Q390" s="392">
        <v>50089.632555820885</v>
      </c>
      <c r="R390" s="392">
        <v>53082.453430648085</v>
      </c>
      <c r="S390" s="392">
        <v>55742.490149119301</v>
      </c>
      <c r="T390" s="392">
        <v>58056.31393775835</v>
      </c>
      <c r="U390" s="392">
        <v>60418.162269741566</v>
      </c>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row>
    <row r="391" spans="1:59">
      <c r="A391" s="203"/>
      <c r="B391" s="203" t="s">
        <v>605</v>
      </c>
      <c r="C391" s="392">
        <v>104490</v>
      </c>
      <c r="D391" s="392">
        <v>104477</v>
      </c>
      <c r="E391" s="392">
        <v>106326</v>
      </c>
      <c r="F391" s="392">
        <v>99877</v>
      </c>
      <c r="G391" s="392">
        <v>101013</v>
      </c>
      <c r="H391" s="392">
        <v>89371</v>
      </c>
      <c r="I391" s="392">
        <v>76862</v>
      </c>
      <c r="J391" s="392">
        <v>76489</v>
      </c>
      <c r="K391" s="392">
        <v>75636</v>
      </c>
      <c r="L391" s="392">
        <v>76159</v>
      </c>
      <c r="M391" s="392">
        <v>74877</v>
      </c>
      <c r="N391" s="392">
        <v>78489.296975745616</v>
      </c>
      <c r="O391" s="392">
        <v>81657.837778623303</v>
      </c>
      <c r="P391" s="392">
        <v>83908.044069211712</v>
      </c>
      <c r="Q391" s="392">
        <v>86662.556986783777</v>
      </c>
      <c r="R391" s="392">
        <v>90247.5249209717</v>
      </c>
      <c r="S391" s="392">
        <v>92962.694368003387</v>
      </c>
      <c r="T391" s="392">
        <v>95917.119986521997</v>
      </c>
      <c r="U391" s="392">
        <v>99109.658194795949</v>
      </c>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c r="BG391" s="203"/>
    </row>
    <row r="392" spans="1:59">
      <c r="A392" s="203"/>
      <c r="B392" s="203" t="s">
        <v>350</v>
      </c>
      <c r="C392" s="392">
        <v>15570.4</v>
      </c>
      <c r="D392" s="392">
        <v>17138.8</v>
      </c>
      <c r="E392" s="392">
        <v>20937.2</v>
      </c>
      <c r="F392" s="392">
        <v>28488.3</v>
      </c>
      <c r="G392" s="392">
        <v>31891.599999999999</v>
      </c>
      <c r="H392" s="392">
        <v>33048</v>
      </c>
      <c r="I392" s="392">
        <v>36233</v>
      </c>
      <c r="J392" s="392">
        <v>41702</v>
      </c>
      <c r="K392" s="392">
        <v>45367.1</v>
      </c>
      <c r="L392" s="392">
        <v>48020.9</v>
      </c>
      <c r="M392" s="392">
        <v>48411.8</v>
      </c>
      <c r="N392" s="392">
        <v>49137.976999999999</v>
      </c>
      <c r="O392" s="392">
        <v>50366.426424999998</v>
      </c>
      <c r="P392" s="392">
        <v>51625.587085624997</v>
      </c>
      <c r="Q392" s="392">
        <v>53045.29073047969</v>
      </c>
      <c r="R392" s="392">
        <v>54636.649452394086</v>
      </c>
      <c r="S392" s="392">
        <v>56412.340559596894</v>
      </c>
      <c r="T392" s="392">
        <v>58386.772479182779</v>
      </c>
      <c r="U392" s="392">
        <v>60430.30951595417</v>
      </c>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row>
    <row r="393" spans="1:59">
      <c r="A393" s="203"/>
      <c r="B393" s="203"/>
      <c r="C393" s="392"/>
      <c r="D393" s="392"/>
      <c r="E393" s="392"/>
      <c r="F393" s="392"/>
      <c r="G393" s="392"/>
      <c r="H393" s="392"/>
      <c r="I393" s="392"/>
      <c r="J393" s="392"/>
      <c r="K393" s="392"/>
      <c r="L393" s="392"/>
      <c r="M393" s="392"/>
      <c r="N393" s="392"/>
      <c r="O393" s="392"/>
      <c r="P393" s="392"/>
      <c r="Q393" s="392"/>
      <c r="R393" s="392"/>
      <c r="S393" s="392"/>
      <c r="T393" s="392"/>
      <c r="U393" s="392"/>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row>
    <row r="394" spans="1:59">
      <c r="A394" s="203"/>
      <c r="B394" s="203"/>
      <c r="C394" s="392"/>
      <c r="D394" s="392"/>
      <c r="E394" s="392"/>
      <c r="F394" s="392"/>
      <c r="G394" s="392"/>
      <c r="H394" s="392"/>
      <c r="I394" s="392"/>
      <c r="J394" s="392"/>
      <c r="K394" s="392"/>
      <c r="L394" s="392"/>
      <c r="M394" s="392"/>
      <c r="N394" s="392"/>
      <c r="O394" s="392"/>
      <c r="P394" s="392"/>
      <c r="Q394" s="392"/>
      <c r="R394" s="392"/>
      <c r="S394" s="392"/>
      <c r="T394" s="392"/>
      <c r="U394" s="392"/>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row>
    <row r="395" spans="1:59">
      <c r="A395" s="203"/>
      <c r="B395" s="203"/>
      <c r="C395" s="205">
        <v>2012</v>
      </c>
      <c r="D395" s="205">
        <v>2013</v>
      </c>
      <c r="E395" s="205">
        <v>2014</v>
      </c>
      <c r="F395" s="205">
        <v>2015</v>
      </c>
      <c r="G395" s="205">
        <v>2016</v>
      </c>
      <c r="H395" s="205">
        <v>2017</v>
      </c>
      <c r="I395" s="205">
        <v>2018</v>
      </c>
      <c r="J395" s="205">
        <v>2019</v>
      </c>
      <c r="K395" s="205">
        <v>2020</v>
      </c>
      <c r="L395" s="205">
        <v>2021</v>
      </c>
      <c r="M395" s="205">
        <v>2022</v>
      </c>
      <c r="N395" s="205">
        <v>2023</v>
      </c>
      <c r="O395" s="205" t="s">
        <v>2989</v>
      </c>
      <c r="P395" s="205" t="s">
        <v>2990</v>
      </c>
      <c r="Q395" s="205" t="s">
        <v>2991</v>
      </c>
      <c r="R395" s="205" t="s">
        <v>2992</v>
      </c>
      <c r="S395" s="205" t="s">
        <v>3070</v>
      </c>
      <c r="T395" s="205">
        <v>2029</v>
      </c>
      <c r="U395" s="205">
        <v>2030</v>
      </c>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3"/>
      <c r="BC395" s="203"/>
      <c r="BD395" s="203"/>
      <c r="BE395" s="203"/>
      <c r="BF395" s="203"/>
      <c r="BG395" s="203"/>
    </row>
    <row r="396" spans="1:59">
      <c r="A396" s="203"/>
      <c r="B396" s="203" t="str">
        <f>B389</f>
        <v>MEGA</v>
      </c>
      <c r="C396" s="203"/>
      <c r="D396" s="337">
        <f>D389/C389-1</f>
        <v>0.121532806059931</v>
      </c>
      <c r="E396" s="337">
        <f t="shared" ref="E396:U399" si="143">E389/D389-1</f>
        <v>0.13974970202622172</v>
      </c>
      <c r="F396" s="337">
        <f t="shared" si="143"/>
        <v>0.26858387799564265</v>
      </c>
      <c r="G396" s="337">
        <f t="shared" si="143"/>
        <v>0.16486913512399526</v>
      </c>
      <c r="H396" s="337">
        <f t="shared" si="143"/>
        <v>1.9460989561832953E-2</v>
      </c>
      <c r="I396" s="337">
        <f t="shared" si="143"/>
        <v>0.12431306762306926</v>
      </c>
      <c r="J396" s="337">
        <f t="shared" si="143"/>
        <v>0.11154558551142202</v>
      </c>
      <c r="K396" s="337">
        <f t="shared" si="143"/>
        <v>3.6058137381966393E-2</v>
      </c>
      <c r="L396" s="337">
        <f t="shared" si="143"/>
        <v>0.10056739489791355</v>
      </c>
      <c r="M396" s="337">
        <f t="shared" si="143"/>
        <v>0.10236076154907847</v>
      </c>
      <c r="N396" s="337">
        <f t="shared" si="143"/>
        <v>9.9978991407098761E-2</v>
      </c>
      <c r="O396" s="337">
        <f t="shared" si="143"/>
        <v>0.10763794579510777</v>
      </c>
      <c r="P396" s="337">
        <f t="shared" si="143"/>
        <v>8.8889098574753023E-2</v>
      </c>
      <c r="Q396" s="337">
        <f t="shared" si="143"/>
        <v>7.5559433485720806E-2</v>
      </c>
      <c r="R396" s="337">
        <f t="shared" si="143"/>
        <v>5.7790519998213608E-2</v>
      </c>
      <c r="S396" s="337">
        <f t="shared" si="143"/>
        <v>5.0566321133978409E-2</v>
      </c>
      <c r="T396" s="337">
        <f t="shared" si="143"/>
        <v>4.7226334473450926E-2</v>
      </c>
      <c r="U396" s="337">
        <f t="shared" si="143"/>
        <v>4.6100821249724699E-2</v>
      </c>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row>
    <row r="397" spans="1:59">
      <c r="A397" s="203"/>
      <c r="B397" s="203" t="str">
        <f>B390</f>
        <v>Totalplay</v>
      </c>
      <c r="C397" s="203"/>
      <c r="D397" s="337"/>
      <c r="E397" s="337"/>
      <c r="F397" s="337"/>
      <c r="G397" s="337"/>
      <c r="H397" s="337"/>
      <c r="I397" s="337"/>
      <c r="J397" s="337"/>
      <c r="K397" s="337"/>
      <c r="L397" s="337">
        <f t="shared" ref="L397:S397" si="144">L390/K390-1</f>
        <v>0.43612816411046795</v>
      </c>
      <c r="M397" s="337">
        <f t="shared" si="144"/>
        <v>0.29421817146112228</v>
      </c>
      <c r="N397" s="337">
        <f t="shared" si="144"/>
        <v>0.12184343908175621</v>
      </c>
      <c r="O397" s="337">
        <f t="shared" si="144"/>
        <v>8.5804941913040222E-2</v>
      </c>
      <c r="P397" s="337">
        <f t="shared" si="144"/>
        <v>6.4938841636604794E-2</v>
      </c>
      <c r="Q397" s="337">
        <f t="shared" si="144"/>
        <v>6.2211019164611248E-2</v>
      </c>
      <c r="R397" s="337">
        <f t="shared" si="144"/>
        <v>5.9749307833151688E-2</v>
      </c>
      <c r="S397" s="337">
        <f t="shared" si="144"/>
        <v>5.0111412464130645E-2</v>
      </c>
      <c r="T397" s="337">
        <f t="shared" si="143"/>
        <v>4.1509157241616412E-2</v>
      </c>
      <c r="U397" s="337">
        <f t="shared" si="143"/>
        <v>4.0682023569655668E-2</v>
      </c>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row>
    <row r="398" spans="1:59">
      <c r="A398" s="203"/>
      <c r="B398" s="203" t="str">
        <f>B391</f>
        <v>Telmex</v>
      </c>
      <c r="C398" s="203"/>
      <c r="D398" s="337">
        <f>D391/C391-1</f>
        <v>-1.2441381950423214E-4</v>
      </c>
      <c r="E398" s="337">
        <f t="shared" si="143"/>
        <v>1.7697675086382647E-2</v>
      </c>
      <c r="F398" s="337">
        <f t="shared" si="143"/>
        <v>-6.0653085792750638E-2</v>
      </c>
      <c r="G398" s="337">
        <f t="shared" si="143"/>
        <v>1.1373990007709445E-2</v>
      </c>
      <c r="H398" s="337">
        <f t="shared" si="143"/>
        <v>-0.11525249225347234</v>
      </c>
      <c r="I398" s="337">
        <f t="shared" si="143"/>
        <v>-0.13996710342281049</v>
      </c>
      <c r="J398" s="337">
        <f t="shared" si="143"/>
        <v>-4.8528531654132845E-3</v>
      </c>
      <c r="K398" s="337">
        <f t="shared" si="143"/>
        <v>-1.1151930342925165E-2</v>
      </c>
      <c r="L398" s="337">
        <f t="shared" si="143"/>
        <v>6.9146967052726716E-3</v>
      </c>
      <c r="M398" s="337">
        <f t="shared" si="143"/>
        <v>-1.6833204217492348E-2</v>
      </c>
      <c r="N398" s="337">
        <f t="shared" si="143"/>
        <v>4.8243078325061362E-2</v>
      </c>
      <c r="O398" s="337">
        <f t="shared" si="143"/>
        <v>4.0369081199145063E-2</v>
      </c>
      <c r="P398" s="337">
        <f t="shared" si="143"/>
        <v>2.7556525519188746E-2</v>
      </c>
      <c r="Q398" s="337">
        <f t="shared" si="143"/>
        <v>3.2827757435270444E-2</v>
      </c>
      <c r="R398" s="337">
        <f t="shared" si="143"/>
        <v>4.1366976221745233E-2</v>
      </c>
      <c r="S398" s="337">
        <f t="shared" si="143"/>
        <v>3.0085805116642383E-2</v>
      </c>
      <c r="T398" s="337">
        <f t="shared" si="143"/>
        <v>3.1780765807229994E-2</v>
      </c>
      <c r="U398" s="337">
        <f t="shared" si="143"/>
        <v>3.3284341822633623E-2</v>
      </c>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row>
    <row r="399" spans="1:59">
      <c r="A399" s="203"/>
      <c r="B399" s="203" t="str">
        <f>B392</f>
        <v>TV</v>
      </c>
      <c r="C399" s="203"/>
      <c r="D399" s="337">
        <f>D392/C392-1</f>
        <v>0.10072958947747002</v>
      </c>
      <c r="E399" s="337">
        <f t="shared" si="143"/>
        <v>0.22162578476906214</v>
      </c>
      <c r="F399" s="337">
        <f t="shared" si="143"/>
        <v>0.36065471982882125</v>
      </c>
      <c r="G399" s="337">
        <f t="shared" si="143"/>
        <v>0.11946307782493171</v>
      </c>
      <c r="H399" s="337">
        <f t="shared" si="143"/>
        <v>3.6260331874224061E-2</v>
      </c>
      <c r="I399" s="337">
        <f t="shared" si="143"/>
        <v>9.6374969740982808E-2</v>
      </c>
      <c r="J399" s="337">
        <f t="shared" si="143"/>
        <v>0.15093975105566759</v>
      </c>
      <c r="K399" s="337">
        <f t="shared" si="143"/>
        <v>8.7887871085319702E-2</v>
      </c>
      <c r="L399" s="337">
        <f t="shared" si="143"/>
        <v>5.849613486425187E-2</v>
      </c>
      <c r="M399" s="337">
        <f t="shared" si="143"/>
        <v>8.1402056188035754E-3</v>
      </c>
      <c r="N399" s="337">
        <f t="shared" si="143"/>
        <v>1.4999999999999902E-2</v>
      </c>
      <c r="O399" s="337">
        <f t="shared" si="143"/>
        <v>2.4999999999999911E-2</v>
      </c>
      <c r="P399" s="337">
        <f t="shared" si="143"/>
        <v>2.4999999999999911E-2</v>
      </c>
      <c r="Q399" s="337">
        <f t="shared" si="143"/>
        <v>2.750000000000008E-2</v>
      </c>
      <c r="R399" s="337">
        <f t="shared" si="143"/>
        <v>3.0000000000000027E-2</v>
      </c>
      <c r="S399" s="337">
        <f t="shared" si="143"/>
        <v>3.2499999999999973E-2</v>
      </c>
      <c r="T399" s="337">
        <f t="shared" si="143"/>
        <v>3.499999999999992E-2</v>
      </c>
      <c r="U399" s="337">
        <f t="shared" si="143"/>
        <v>3.499999999999992E-2</v>
      </c>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row>
    <row r="400" spans="1:59">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3"/>
      <c r="BC400" s="203"/>
      <c r="BD400" s="203"/>
      <c r="BE400" s="203"/>
      <c r="BF400" s="203"/>
      <c r="BG400" s="203"/>
    </row>
    <row r="401" spans="1:59">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3"/>
      <c r="BC401" s="203"/>
      <c r="BD401" s="203"/>
      <c r="BE401" s="203"/>
      <c r="BF401" s="203"/>
      <c r="BG401" s="203"/>
    </row>
    <row r="402" spans="1:59">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c r="BG402" s="203"/>
    </row>
    <row r="403" spans="1:59">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3"/>
      <c r="BC403" s="203"/>
      <c r="BD403" s="203"/>
      <c r="BE403" s="203"/>
      <c r="BF403" s="203"/>
      <c r="BG403" s="203"/>
    </row>
    <row r="404" spans="1:59">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row>
    <row r="405" spans="1:59">
      <c r="A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c r="BG405" s="203"/>
    </row>
    <row r="406" spans="1:59">
      <c r="A406" s="203"/>
      <c r="B406" s="205" t="s">
        <v>411</v>
      </c>
      <c r="C406" s="395" t="s">
        <v>3204</v>
      </c>
      <c r="D406" s="395" t="s">
        <v>3205</v>
      </c>
      <c r="E406" s="395" t="s">
        <v>3206</v>
      </c>
      <c r="F406" s="395" t="s">
        <v>3207</v>
      </c>
      <c r="H406" s="395" t="s">
        <v>3184</v>
      </c>
      <c r="I406" s="395" t="s">
        <v>3169</v>
      </c>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row>
    <row r="407" spans="1:59">
      <c r="A407" s="203"/>
      <c r="B407" s="203" t="s">
        <v>367</v>
      </c>
      <c r="C407" s="394">
        <f>Quarts!BK57</f>
        <v>7152.1880000000001</v>
      </c>
      <c r="D407" s="394">
        <f>Quarts!BL57</f>
        <v>7373.6940000000004</v>
      </c>
      <c r="E407" s="394">
        <f>Quarts!BM57</f>
        <v>7490.7309999999998</v>
      </c>
      <c r="F407" s="394">
        <f>Quarts!BN57</f>
        <v>7853.9269999999997</v>
      </c>
      <c r="H407" s="394">
        <f>SUM(C407:F407)</f>
        <v>29870.54</v>
      </c>
      <c r="I407" s="394">
        <f>SUM(Quarts!BO57:BR57)</f>
        <v>33085.7435653906</v>
      </c>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3"/>
      <c r="BC407" s="203"/>
      <c r="BD407" s="203"/>
      <c r="BE407" s="203"/>
      <c r="BF407" s="203"/>
      <c r="BG407" s="203"/>
    </row>
    <row r="408" spans="1:59">
      <c r="A408" s="203"/>
      <c r="B408" s="203" t="s">
        <v>2114</v>
      </c>
      <c r="C408" s="394">
        <v>9826</v>
      </c>
      <c r="D408" s="394">
        <v>9867</v>
      </c>
      <c r="E408" s="394">
        <v>10136</v>
      </c>
      <c r="F408" s="394">
        <v>10674</v>
      </c>
      <c r="H408" s="394">
        <f>SUM(C408:F408)</f>
        <v>40503</v>
      </c>
      <c r="I408" s="394">
        <v>44696.244041599995</v>
      </c>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row>
    <row r="409" spans="1:59">
      <c r="A409" s="203"/>
      <c r="B409" s="203" t="s">
        <v>2998</v>
      </c>
      <c r="C409" s="394">
        <v>12122.7</v>
      </c>
      <c r="D409" s="394">
        <v>12291.5</v>
      </c>
      <c r="E409" s="394">
        <v>12147.9</v>
      </c>
      <c r="F409" s="394">
        <v>12240.4</v>
      </c>
      <c r="H409" s="394">
        <f>SUM(C409:F409)</f>
        <v>48802.5</v>
      </c>
      <c r="I409" s="394">
        <v>50366.426424999998</v>
      </c>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3"/>
      <c r="BC409" s="203"/>
      <c r="BD409" s="203"/>
      <c r="BE409" s="203"/>
      <c r="BF409" s="203"/>
      <c r="BG409" s="203"/>
    </row>
    <row r="410" spans="1:59">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c r="BG410" s="203"/>
    </row>
    <row r="411" spans="1:59">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c r="BG411" s="203"/>
    </row>
    <row r="412" spans="1:59">
      <c r="A412" s="203"/>
      <c r="B412" s="205" t="s">
        <v>16</v>
      </c>
      <c r="C412" s="395" t="s">
        <v>3204</v>
      </c>
      <c r="D412" s="395" t="s">
        <v>3205</v>
      </c>
      <c r="E412" s="395" t="s">
        <v>3206</v>
      </c>
      <c r="F412" s="395" t="s">
        <v>3207</v>
      </c>
      <c r="H412" s="395" t="s">
        <v>3184</v>
      </c>
      <c r="I412" s="395" t="s">
        <v>3169</v>
      </c>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c r="BG412" s="203"/>
    </row>
    <row r="413" spans="1:59">
      <c r="A413" s="203"/>
      <c r="B413" s="203" t="s">
        <v>367</v>
      </c>
      <c r="C413" s="394">
        <f>Quarts!BK133</f>
        <v>3268.6950000000002</v>
      </c>
      <c r="D413" s="394">
        <f>Quarts!BL133</f>
        <v>3287.3739999999998</v>
      </c>
      <c r="E413" s="394">
        <f>Quarts!BM133</f>
        <v>3306.2489999999998</v>
      </c>
      <c r="F413" s="394">
        <f>Quarts!BN133</f>
        <v>3457.6759999999999</v>
      </c>
      <c r="H413" s="394">
        <f>SUM(C413:F413)</f>
        <v>13319.993999999999</v>
      </c>
      <c r="I413" s="394">
        <f>SUM(Quarts!BO133:BR133)</f>
        <v>15052.832575733581</v>
      </c>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row>
    <row r="414" spans="1:59">
      <c r="A414" s="203"/>
      <c r="B414" s="203" t="s">
        <v>2114</v>
      </c>
      <c r="C414" s="394">
        <v>4434</v>
      </c>
      <c r="D414" s="394">
        <v>4377</v>
      </c>
      <c r="E414" s="394">
        <v>4814</v>
      </c>
      <c r="F414" s="394">
        <v>4736</v>
      </c>
      <c r="H414" s="394">
        <f>SUM(C414:F414)</f>
        <v>18361</v>
      </c>
      <c r="I414" s="394">
        <v>20261.900028339074</v>
      </c>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3"/>
      <c r="BC414" s="203"/>
      <c r="BD414" s="203"/>
      <c r="BE414" s="203"/>
      <c r="BF414" s="203"/>
      <c r="BG414" s="203"/>
    </row>
    <row r="415" spans="1:59">
      <c r="A415" s="203"/>
      <c r="B415" s="203" t="s">
        <v>2998</v>
      </c>
      <c r="C415" s="394">
        <v>4957</v>
      </c>
      <c r="D415" s="394">
        <v>4841.3999999999996</v>
      </c>
      <c r="E415" s="394">
        <v>4320.8</v>
      </c>
      <c r="F415" s="394">
        <v>4701.8</v>
      </c>
      <c r="H415" s="394">
        <f>SUM(C415:F415)</f>
        <v>18821</v>
      </c>
      <c r="I415" s="394">
        <v>19164.4252547125</v>
      </c>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row>
    <row r="416" spans="1:59">
      <c r="A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row>
    <row r="417" spans="1:59">
      <c r="A417" s="203"/>
      <c r="C417" s="394"/>
      <c r="D417" s="394"/>
      <c r="E417" s="394"/>
      <c r="F417" s="394"/>
      <c r="H417" s="394"/>
      <c r="I417" s="394"/>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3"/>
      <c r="BC417" s="203"/>
      <c r="BD417" s="203"/>
      <c r="BE417" s="203"/>
      <c r="BF417" s="203"/>
      <c r="BG417" s="203"/>
    </row>
    <row r="418" spans="1:59">
      <c r="A418" s="203"/>
      <c r="B418" s="205" t="s">
        <v>22</v>
      </c>
      <c r="C418" s="395" t="s">
        <v>3204</v>
      </c>
      <c r="D418" s="395" t="s">
        <v>3205</v>
      </c>
      <c r="E418" s="395" t="s">
        <v>3206</v>
      </c>
      <c r="F418" s="395" t="s">
        <v>3207</v>
      </c>
      <c r="H418" s="395" t="s">
        <v>3184</v>
      </c>
      <c r="I418" s="395" t="s">
        <v>3169</v>
      </c>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row>
    <row r="419" spans="1:59">
      <c r="A419" s="203"/>
      <c r="B419" s="203" t="s">
        <v>367</v>
      </c>
      <c r="C419" s="394">
        <f>Quarts!BK147</f>
        <v>2235</v>
      </c>
      <c r="D419" s="394">
        <f>Quarts!BL147</f>
        <v>2930</v>
      </c>
      <c r="E419" s="394">
        <f>Quarts!BM147</f>
        <v>3794</v>
      </c>
      <c r="F419" s="394">
        <f>Quarts!BN147</f>
        <v>3990</v>
      </c>
      <c r="H419" s="394">
        <f>SUM(C419:F419)</f>
        <v>12949</v>
      </c>
      <c r="I419" s="394">
        <f>650*17.1</f>
        <v>11115.000000000002</v>
      </c>
      <c r="L419" s="203"/>
      <c r="M419" s="203"/>
      <c r="N419" s="203"/>
      <c r="O419" s="203"/>
      <c r="P419" s="203"/>
      <c r="Q419" s="203"/>
      <c r="R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394">
        <f>SUM(Quarts!BO147:BR147)</f>
        <v>10918.295376578899</v>
      </c>
      <c r="AY419" s="203"/>
      <c r="AZ419" s="203"/>
      <c r="BA419" s="203"/>
      <c r="BB419" s="203"/>
      <c r="BC419" s="203"/>
      <c r="BD419" s="203"/>
      <c r="BE419" s="203"/>
      <c r="BF419" s="203"/>
      <c r="BG419" s="203"/>
    </row>
    <row r="420" spans="1:59">
      <c r="A420" s="203"/>
      <c r="B420" s="203" t="s">
        <v>2114</v>
      </c>
      <c r="C420" s="394">
        <v>4100</v>
      </c>
      <c r="D420" s="394">
        <v>3980</v>
      </c>
      <c r="E420" s="394">
        <v>3739</v>
      </c>
      <c r="F420" s="394">
        <v>3807</v>
      </c>
      <c r="H420" s="394">
        <f>SUM(C420:F420)</f>
        <v>15626</v>
      </c>
      <c r="I420" s="394">
        <f>760*17.1</f>
        <v>12996.000000000002</v>
      </c>
      <c r="L420" s="203"/>
      <c r="M420" s="203"/>
      <c r="N420" s="203"/>
      <c r="O420" s="203"/>
      <c r="P420" s="203"/>
      <c r="Q420" s="203"/>
      <c r="R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394">
        <v>13185.391992271998</v>
      </c>
      <c r="AY420" s="203"/>
      <c r="AZ420" s="203"/>
      <c r="BA420" s="203"/>
      <c r="BB420" s="203"/>
      <c r="BC420" s="203"/>
      <c r="BD420" s="203"/>
      <c r="BE420" s="203"/>
      <c r="BF420" s="203"/>
      <c r="BG420" s="203"/>
    </row>
    <row r="421" spans="1:59">
      <c r="A421" s="203"/>
      <c r="B421" s="203" t="s">
        <v>2998</v>
      </c>
      <c r="C421" s="394">
        <v>3123.6840000000002</v>
      </c>
      <c r="D421" s="394">
        <v>2691.1410000000005</v>
      </c>
      <c r="E421" s="394">
        <v>2406.87</v>
      </c>
      <c r="F421" s="394">
        <v>3023.8650000000002</v>
      </c>
      <c r="H421" s="394">
        <f>SUM(C421:F421)</f>
        <v>11245.56</v>
      </c>
      <c r="I421" s="394">
        <f>630*17.1</f>
        <v>10773</v>
      </c>
      <c r="L421" s="203"/>
      <c r="M421" s="203"/>
      <c r="N421" s="203"/>
      <c r="O421" s="203"/>
      <c r="P421" s="203"/>
      <c r="Q421" s="203"/>
      <c r="R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394">
        <v>11080.6138135</v>
      </c>
      <c r="AY421" s="203"/>
      <c r="AZ421" s="203"/>
      <c r="BA421" s="203"/>
      <c r="BB421" s="203"/>
      <c r="BC421" s="203"/>
      <c r="BD421" s="203"/>
      <c r="BE421" s="203"/>
      <c r="BF421" s="203"/>
      <c r="BG421" s="203"/>
    </row>
    <row r="422" spans="1:59">
      <c r="A422" s="203"/>
      <c r="B422" s="203"/>
      <c r="C422" s="394"/>
      <c r="D422" s="394"/>
      <c r="E422" s="394"/>
      <c r="F422" s="394"/>
      <c r="H422" s="394"/>
      <c r="I422" s="394"/>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row>
    <row r="423" spans="1:59">
      <c r="A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row>
    <row r="424" spans="1:59">
      <c r="A424" s="203"/>
      <c r="B424" s="205" t="s">
        <v>24</v>
      </c>
      <c r="C424" s="395" t="s">
        <v>3204</v>
      </c>
      <c r="D424" s="395" t="s">
        <v>3205</v>
      </c>
      <c r="E424" s="395" t="s">
        <v>3206</v>
      </c>
      <c r="F424" s="395" t="s">
        <v>3207</v>
      </c>
      <c r="H424" s="395" t="s">
        <v>3184</v>
      </c>
      <c r="I424" s="395" t="s">
        <v>3169</v>
      </c>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row>
    <row r="425" spans="1:59">
      <c r="A425" s="203"/>
      <c r="B425" s="203" t="s">
        <v>367</v>
      </c>
      <c r="C425" s="394">
        <f t="shared" ref="C425:F427" si="145">C413-C419</f>
        <v>1033.6950000000002</v>
      </c>
      <c r="D425" s="394">
        <f t="shared" si="145"/>
        <v>357.3739999999998</v>
      </c>
      <c r="E425" s="394">
        <f t="shared" si="145"/>
        <v>-487.7510000000002</v>
      </c>
      <c r="F425" s="394">
        <f t="shared" si="145"/>
        <v>-532.32400000000007</v>
      </c>
      <c r="H425" s="394">
        <f t="shared" ref="H425:H427" si="146">H413-H419</f>
        <v>370.99399999999878</v>
      </c>
      <c r="I425" s="394">
        <f t="shared" ref="I425" si="147">I413-I419</f>
        <v>3937.8325757335788</v>
      </c>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3"/>
      <c r="BC425" s="203"/>
      <c r="BD425" s="203"/>
      <c r="BE425" s="203"/>
      <c r="BF425" s="203"/>
      <c r="BG425" s="203"/>
    </row>
    <row r="426" spans="1:59">
      <c r="A426" s="203"/>
      <c r="B426" s="203" t="s">
        <v>2114</v>
      </c>
      <c r="C426" s="394">
        <f t="shared" si="145"/>
        <v>334</v>
      </c>
      <c r="D426" s="394">
        <f t="shared" si="145"/>
        <v>397</v>
      </c>
      <c r="E426" s="394">
        <f t="shared" si="145"/>
        <v>1075</v>
      </c>
      <c r="F426" s="394">
        <f t="shared" si="145"/>
        <v>929</v>
      </c>
      <c r="H426" s="394">
        <f t="shared" si="146"/>
        <v>2735</v>
      </c>
      <c r="I426" s="394">
        <f t="shared" ref="I426" si="148">I414-I420</f>
        <v>7265.9000283390724</v>
      </c>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3"/>
      <c r="BC426" s="203"/>
      <c r="BD426" s="203"/>
      <c r="BE426" s="203"/>
      <c r="BF426" s="203"/>
      <c r="BG426" s="203"/>
    </row>
    <row r="427" spans="1:59">
      <c r="A427" s="203"/>
      <c r="B427" s="203" t="s">
        <v>2998</v>
      </c>
      <c r="C427" s="394">
        <f t="shared" si="145"/>
        <v>1833.3159999999998</v>
      </c>
      <c r="D427" s="394">
        <f t="shared" si="145"/>
        <v>2150.2589999999991</v>
      </c>
      <c r="E427" s="394">
        <f t="shared" si="145"/>
        <v>1913.9300000000003</v>
      </c>
      <c r="F427" s="394">
        <f t="shared" si="145"/>
        <v>1677.9349999999999</v>
      </c>
      <c r="H427" s="394">
        <f t="shared" si="146"/>
        <v>7575.4400000000005</v>
      </c>
      <c r="I427" s="394">
        <f t="shared" ref="I427" si="149">I415-I421</f>
        <v>8391.4252547124997</v>
      </c>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row>
    <row r="428" spans="1:59">
      <c r="A428" s="203"/>
      <c r="B428" s="203"/>
      <c r="C428" s="394"/>
      <c r="D428" s="394"/>
      <c r="E428" s="394"/>
      <c r="F428" s="394"/>
      <c r="G428" s="392"/>
      <c r="H428" s="392"/>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c r="BG428" s="203"/>
    </row>
    <row r="429" spans="1:59">
      <c r="A429" s="203"/>
      <c r="B429" s="203"/>
      <c r="D429" s="392"/>
      <c r="E429" s="392"/>
      <c r="F429" s="392"/>
      <c r="G429" s="392"/>
      <c r="H429" s="392"/>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3"/>
      <c r="BC429" s="203"/>
      <c r="BD429" s="203"/>
      <c r="BE429" s="203"/>
      <c r="BF429" s="203"/>
      <c r="BG429" s="203"/>
    </row>
    <row r="430" spans="1:59">
      <c r="A430" s="203"/>
      <c r="B430" s="205" t="str">
        <f>B424</f>
        <v>OpFCF</v>
      </c>
      <c r="C430" s="684" t="str">
        <f>H412</f>
        <v>FY23</v>
      </c>
      <c r="D430" s="684" t="str">
        <f>I412</f>
        <v>FY24</v>
      </c>
      <c r="E430" s="392"/>
      <c r="F430" s="392"/>
      <c r="G430" s="392"/>
      <c r="H430" s="392"/>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row>
    <row r="431" spans="1:59">
      <c r="A431" s="203"/>
      <c r="B431" s="203" t="str">
        <f>B425</f>
        <v>MEGA</v>
      </c>
      <c r="C431" s="394">
        <f t="shared" ref="C431:D433" si="150">H425</f>
        <v>370.99399999999878</v>
      </c>
      <c r="D431" s="394">
        <f t="shared" si="150"/>
        <v>3937.8325757335788</v>
      </c>
      <c r="E431" s="392"/>
      <c r="F431" s="392"/>
      <c r="G431" s="392"/>
      <c r="H431" s="392"/>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3"/>
      <c r="BC431" s="203"/>
      <c r="BD431" s="203"/>
      <c r="BE431" s="203"/>
      <c r="BF431" s="203"/>
      <c r="BG431" s="203"/>
    </row>
    <row r="432" spans="1:59">
      <c r="A432" s="203"/>
      <c r="B432" s="203" t="str">
        <f>B426</f>
        <v>Totalplay</v>
      </c>
      <c r="C432" s="394">
        <f t="shared" si="150"/>
        <v>2735</v>
      </c>
      <c r="D432" s="394">
        <f t="shared" si="150"/>
        <v>7265.9000283390724</v>
      </c>
      <c r="E432" s="392"/>
      <c r="F432" s="392"/>
      <c r="G432" s="392"/>
      <c r="H432" s="392"/>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row>
    <row r="433" spans="1:59">
      <c r="A433" s="203"/>
      <c r="B433" s="203" t="str">
        <f>B427</f>
        <v>TV (Cable)</v>
      </c>
      <c r="C433" s="394">
        <f t="shared" si="150"/>
        <v>7575.4400000000005</v>
      </c>
      <c r="D433" s="394">
        <f t="shared" si="150"/>
        <v>8391.4252547124997</v>
      </c>
      <c r="E433" s="392"/>
      <c r="F433" s="392"/>
      <c r="G433" s="392"/>
      <c r="H433" s="392"/>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row>
    <row r="434" spans="1:59">
      <c r="A434" s="203"/>
      <c r="B434" s="203"/>
      <c r="C434" s="392"/>
      <c r="D434" s="392"/>
      <c r="E434" s="392"/>
      <c r="F434" s="392"/>
      <c r="G434" s="392"/>
      <c r="H434" s="392"/>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row>
    <row r="435" spans="1:59">
      <c r="A435" s="203"/>
      <c r="B435" s="205" t="s">
        <v>3208</v>
      </c>
      <c r="C435" s="684" t="str">
        <f>H406</f>
        <v>FY23</v>
      </c>
      <c r="D435" s="684" t="str">
        <f>I406</f>
        <v>FY24</v>
      </c>
      <c r="E435" s="392"/>
      <c r="F435" s="392"/>
      <c r="G435" s="392"/>
      <c r="H435" s="392"/>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row>
    <row r="436" spans="1:59">
      <c r="A436" s="203"/>
      <c r="B436" s="203" t="str">
        <f>B407</f>
        <v>MEGA</v>
      </c>
      <c r="C436" s="397">
        <f>H425/H407</f>
        <v>1.24200633801732E-2</v>
      </c>
      <c r="D436" s="397">
        <f t="shared" ref="D436:D438" si="151">I425/I407</f>
        <v>0.11901901397352169</v>
      </c>
      <c r="E436" s="392"/>
      <c r="F436" s="392"/>
      <c r="G436" s="392"/>
      <c r="H436" s="392"/>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row>
    <row r="437" spans="1:59">
      <c r="A437" s="203"/>
      <c r="B437" s="203" t="str">
        <f t="shared" ref="B437:B438" si="152">B408</f>
        <v>Totalplay</v>
      </c>
      <c r="C437" s="397">
        <f t="shared" ref="C437:C438" si="153">H426/H408</f>
        <v>6.7525862281806293E-2</v>
      </c>
      <c r="D437" s="397">
        <f t="shared" si="151"/>
        <v>0.16256175846848572</v>
      </c>
      <c r="E437" s="392"/>
      <c r="F437" s="392"/>
      <c r="G437" s="392"/>
      <c r="H437" s="392"/>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c r="BC437" s="203"/>
      <c r="BD437" s="203"/>
      <c r="BE437" s="203"/>
      <c r="BF437" s="203"/>
      <c r="BG437" s="203"/>
    </row>
    <row r="438" spans="1:59">
      <c r="A438" s="203"/>
      <c r="B438" s="203" t="str">
        <f t="shared" si="152"/>
        <v>TV (Cable)</v>
      </c>
      <c r="C438" s="397">
        <f t="shared" si="153"/>
        <v>0.15522647405358334</v>
      </c>
      <c r="D438" s="397">
        <f t="shared" si="151"/>
        <v>0.16660751715645469</v>
      </c>
      <c r="E438" s="392"/>
      <c r="F438" s="392"/>
      <c r="G438" s="392"/>
      <c r="H438" s="392"/>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c r="BG438" s="203"/>
    </row>
    <row r="439" spans="1:59">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3"/>
      <c r="BC439" s="203"/>
      <c r="BD439" s="203"/>
      <c r="BE439" s="203"/>
      <c r="BF439" s="203"/>
      <c r="BG439" s="203"/>
    </row>
    <row r="440" spans="1:59">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row>
    <row r="441" spans="1:59">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row>
    <row r="442" spans="1:59">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row>
    <row r="443" spans="1:59">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c r="BG443" s="203"/>
    </row>
    <row r="444" spans="1:59">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c r="BG444" s="203"/>
    </row>
    <row r="445" spans="1:59">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3"/>
      <c r="BC445" s="203"/>
      <c r="BD445" s="203"/>
      <c r="BE445" s="203"/>
      <c r="BF445" s="203"/>
      <c r="BG445" s="203"/>
    </row>
    <row r="446" spans="1:59">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3"/>
      <c r="BC446" s="203"/>
      <c r="BD446" s="203"/>
      <c r="BE446" s="203"/>
      <c r="BF446" s="203"/>
      <c r="BG446" s="203"/>
    </row>
    <row r="447" spans="1:59">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3"/>
      <c r="BC447" s="203"/>
      <c r="BD447" s="203"/>
      <c r="BE447" s="203"/>
      <c r="BF447" s="203"/>
      <c r="BG447" s="203"/>
    </row>
    <row r="448" spans="1:59">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3"/>
      <c r="BC448" s="203"/>
      <c r="BD448" s="203"/>
      <c r="BE448" s="203"/>
      <c r="BF448" s="203"/>
      <c r="BG448" s="203"/>
    </row>
    <row r="449" spans="1:59">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3"/>
      <c r="BC449" s="203"/>
      <c r="BD449" s="203"/>
      <c r="BE449" s="203"/>
      <c r="BF449" s="203"/>
      <c r="BG449" s="203"/>
    </row>
    <row r="450" spans="1:59">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row>
    <row r="451" spans="1:59">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row>
    <row r="452" spans="1:59">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3"/>
      <c r="BC452" s="203"/>
      <c r="BD452" s="203"/>
      <c r="BE452" s="203"/>
      <c r="BF452" s="203"/>
      <c r="BG452" s="203"/>
    </row>
    <row r="453" spans="1:59">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row>
    <row r="454" spans="1:59">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3"/>
      <c r="BC454" s="203"/>
      <c r="BD454" s="203"/>
      <c r="BE454" s="203"/>
      <c r="BF454" s="203"/>
      <c r="BG454" s="203"/>
    </row>
    <row r="455" spans="1:59">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row>
    <row r="456" spans="1:59">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c r="BG456" s="203"/>
    </row>
    <row r="457" spans="1:59">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3"/>
      <c r="BC457" s="203"/>
      <c r="BD457" s="203"/>
      <c r="BE457" s="203"/>
      <c r="BF457" s="203"/>
      <c r="BG457" s="203"/>
    </row>
    <row r="458" spans="1:59">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row>
    <row r="459" spans="1:59">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row>
    <row r="460" spans="1:59">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row>
    <row r="461" spans="1:59">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row>
    <row r="462" spans="1:59">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3"/>
      <c r="BC462" s="203"/>
      <c r="BD462" s="203"/>
      <c r="BE462" s="203"/>
      <c r="BF462" s="203"/>
      <c r="BG462" s="203"/>
    </row>
    <row r="463" spans="1:59">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row>
    <row r="464" spans="1:59">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row>
    <row r="465" spans="1:59">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3"/>
      <c r="BC465" s="203"/>
      <c r="BD465" s="203"/>
      <c r="BE465" s="203"/>
      <c r="BF465" s="203"/>
      <c r="BG465" s="203"/>
    </row>
    <row r="466" spans="1:59">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row>
    <row r="467" spans="1:59">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row>
    <row r="468" spans="1:59">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3"/>
      <c r="BC468" s="203"/>
      <c r="BD468" s="203"/>
      <c r="BE468" s="203"/>
      <c r="BF468" s="203"/>
      <c r="BG468" s="203"/>
    </row>
    <row r="469" spans="1:59">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row>
    <row r="470" spans="1:59">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row>
    <row r="471" spans="1:59">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3"/>
      <c r="BC471" s="203"/>
      <c r="BD471" s="203"/>
      <c r="BE471" s="203"/>
      <c r="BF471" s="203"/>
      <c r="BG471" s="203"/>
    </row>
    <row r="472" spans="1:59">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row>
    <row r="473" spans="1:59">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c r="BA473" s="203"/>
      <c r="BB473" s="203"/>
      <c r="BC473" s="203"/>
      <c r="BD473" s="203"/>
      <c r="BE473" s="203"/>
      <c r="BF473" s="203"/>
      <c r="BG473" s="203"/>
    </row>
    <row r="474" spans="1:59">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3"/>
      <c r="BC474" s="203"/>
      <c r="BD474" s="203"/>
      <c r="BE474" s="203"/>
      <c r="BF474" s="203"/>
      <c r="BG474" s="203"/>
    </row>
    <row r="475" spans="1:59">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row>
    <row r="476" spans="1:59">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row>
    <row r="477" spans="1:59">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row>
    <row r="478" spans="1:59">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3"/>
      <c r="BC478" s="203"/>
      <c r="BD478" s="203"/>
      <c r="BE478" s="203"/>
      <c r="BF478" s="203"/>
      <c r="BG478" s="203"/>
    </row>
    <row r="479" spans="1:59">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3"/>
      <c r="BC479" s="203"/>
      <c r="BD479" s="203"/>
      <c r="BE479" s="203"/>
      <c r="BF479" s="203"/>
      <c r="BG479" s="203"/>
    </row>
    <row r="480" spans="1:59">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row>
    <row r="481" spans="1:59">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c r="BG481" s="203"/>
    </row>
    <row r="482" spans="1:59">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3"/>
      <c r="BC482" s="203"/>
      <c r="BD482" s="203"/>
      <c r="BE482" s="203"/>
      <c r="BF482" s="203"/>
      <c r="BG482" s="203"/>
    </row>
    <row r="483" spans="1:59">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c r="BA483" s="203"/>
      <c r="BB483" s="203"/>
      <c r="BC483" s="203"/>
      <c r="BD483" s="203"/>
      <c r="BE483" s="203"/>
      <c r="BF483" s="203"/>
      <c r="BG483" s="203"/>
    </row>
    <row r="484" spans="1:59">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c r="BA484" s="203"/>
      <c r="BB484" s="203"/>
      <c r="BC484" s="203"/>
      <c r="BD484" s="203"/>
      <c r="BE484" s="203"/>
      <c r="BF484" s="203"/>
      <c r="BG484" s="203"/>
    </row>
  </sheetData>
  <phoneticPr fontId="122" type="noConversion"/>
  <pageMargins left="0.7" right="0.7" top="0.75" bottom="0.75" header="0.3" footer="0.3"/>
  <pageSetup orientation="portrait" r:id="rId1"/>
  <ignoredErrors>
    <ignoredError sqref="C342:E342 C351:I351 C349:D349 G349:I349 C341:D341 H341:I341 C344:I344 C343:D343 G343:I343 C348:E348 C347:D347 G347:I347 C345:E346 G345:I346 G348:I348 G342:I342 C350:D350 G350:I350 H352:I353" formulaRange="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vt:lpstr>
      <vt:lpstr>Summary</vt:lpstr>
      <vt:lpstr>Valuation</vt:lpstr>
      <vt:lpstr>Master</vt:lpstr>
      <vt:lpstr>Fixed</vt:lpstr>
      <vt:lpstr>Mobile</vt:lpstr>
      <vt:lpstr>Quarts</vt:lpstr>
      <vt:lpstr>Earnings snaps</vt:lpstr>
      <vt:lpstr>Market BB quarts</vt:lpstr>
      <vt:lpstr>Analysis</vt:lpstr>
      <vt:lpstr>Notes</vt:lpstr>
      <vt:lpstr>Anna</vt:lpstr>
      <vt:lpstr>PF model</vt:lpstr>
      <vt:lpstr>FKLink</vt:lpstr>
      <vt:lpstr>Sheet1</vt:lpstr>
      <vt:lpstr>Sheet2</vt:lpstr>
      <vt:lpstr>Master!Print_Area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Soomit Datta</dc:creator>
  <cp:lastModifiedBy>David-Mickael Lopes</cp:lastModifiedBy>
  <cp:lastPrinted>2020-09-11T10:11:38Z</cp:lastPrinted>
  <dcterms:created xsi:type="dcterms:W3CDTF">2014-07-04T07:53:15Z</dcterms:created>
  <dcterms:modified xsi:type="dcterms:W3CDTF">2024-04-30T13:18:46Z</dcterms:modified>
</cp:coreProperties>
</file>